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carlos\Google Drive\ZITRON-ASCAZ\"/>
    </mc:Choice>
  </mc:AlternateContent>
  <bookViews>
    <workbookView xWindow="0" yWindow="0" windowWidth="28770" windowHeight="9105"/>
  </bookViews>
  <sheets>
    <sheet name="LIBRO_SOCIOS" sheetId="5" r:id="rId1"/>
    <sheet name="lista de correo" sheetId="3" r:id="rId2"/>
    <sheet name="TOTALES SOCIOS-PRIMAS" sheetId="6" r:id="rId3"/>
    <sheet name="RANGO DE EDADES COMERCIAL" sheetId="10" r:id="rId4"/>
    <sheet name="RANGO DE EDADES-SOLO USO ASCAZ" sheetId="7" r:id="rId5"/>
  </sheets>
  <definedNames>
    <definedName name="_xlnm._FilterDatabase" localSheetId="0" hidden="1">LIBRO_SOCIOS!$A$1:$AJ$310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5" l="1"/>
  <c r="V3" i="5" l="1"/>
  <c r="V4" i="5"/>
  <c r="V120" i="5"/>
  <c r="V46" i="5"/>
  <c r="V56" i="5"/>
  <c r="V69" i="5"/>
  <c r="V82" i="5"/>
  <c r="V94" i="5"/>
  <c r="V105" i="5"/>
  <c r="V117" i="5"/>
  <c r="V130" i="5"/>
  <c r="V143" i="5"/>
  <c r="V157" i="5"/>
  <c r="V169" i="5"/>
  <c r="V182" i="5"/>
  <c r="V197" i="5"/>
  <c r="V209" i="5"/>
  <c r="V220" i="5"/>
  <c r="V232" i="5"/>
  <c r="V246" i="5"/>
  <c r="V260" i="5"/>
  <c r="V274" i="5"/>
  <c r="V285" i="5"/>
  <c r="V297" i="5"/>
  <c r="V33" i="5"/>
  <c r="V47" i="5"/>
  <c r="V118" i="5"/>
  <c r="V170" i="5"/>
  <c r="V248" i="5"/>
  <c r="V23" i="5"/>
  <c r="V96" i="5"/>
  <c r="V146" i="5"/>
  <c r="V161" i="5"/>
  <c r="V172" i="5"/>
  <c r="V186" i="5"/>
  <c r="V200" i="5"/>
  <c r="V212" i="5"/>
  <c r="V224" i="5"/>
  <c r="V235" i="5"/>
  <c r="V249" i="5"/>
  <c r="V264" i="5"/>
  <c r="V277" i="5"/>
  <c r="V288" i="5"/>
  <c r="V300" i="5"/>
  <c r="V10" i="5"/>
  <c r="V11" i="5"/>
  <c r="V58" i="5"/>
  <c r="V107" i="5"/>
  <c r="V184" i="5"/>
  <c r="V233" i="5"/>
  <c r="V276" i="5"/>
  <c r="V12" i="5"/>
  <c r="V72" i="5"/>
  <c r="V50" i="5"/>
  <c r="V61" i="5"/>
  <c r="V74" i="5"/>
  <c r="V87" i="5"/>
  <c r="V97" i="5"/>
  <c r="V109" i="5"/>
  <c r="V121" i="5"/>
  <c r="V134" i="5"/>
  <c r="V148" i="5"/>
  <c r="V162" i="5"/>
  <c r="V173" i="5"/>
  <c r="V188" i="5"/>
  <c r="V202" i="5"/>
  <c r="V213" i="5"/>
  <c r="V225" i="5"/>
  <c r="V237" i="5"/>
  <c r="V250" i="5"/>
  <c r="V265" i="5"/>
  <c r="V278" i="5"/>
  <c r="V290" i="5"/>
  <c r="V302" i="5"/>
  <c r="V85" i="5"/>
  <c r="V51" i="5"/>
  <c r="V123" i="5"/>
  <c r="V163" i="5"/>
  <c r="V175" i="5"/>
  <c r="V190" i="5"/>
  <c r="V203" i="5"/>
  <c r="V214" i="5"/>
  <c r="V227" i="5"/>
  <c r="V238" i="5"/>
  <c r="V252" i="5"/>
  <c r="V267" i="5"/>
  <c r="V280" i="5"/>
  <c r="V291" i="5"/>
  <c r="V304" i="5"/>
  <c r="V22" i="5"/>
  <c r="V95" i="5"/>
  <c r="V144" i="5"/>
  <c r="V222" i="5"/>
  <c r="V299" i="5"/>
  <c r="V37" i="5"/>
  <c r="V13" i="5"/>
  <c r="V27" i="5"/>
  <c r="V88" i="5"/>
  <c r="V149" i="5"/>
  <c r="V6" i="5"/>
  <c r="V16" i="5"/>
  <c r="V28" i="5"/>
  <c r="V42" i="5"/>
  <c r="V52" i="5"/>
  <c r="V64" i="5"/>
  <c r="V78" i="5"/>
  <c r="V90" i="5"/>
  <c r="V100" i="5"/>
  <c r="V113" i="5"/>
  <c r="V124" i="5"/>
  <c r="V138" i="5"/>
  <c r="V151" i="5"/>
  <c r="V165" i="5"/>
  <c r="V176" i="5"/>
  <c r="V192" i="5"/>
  <c r="V204" i="5"/>
  <c r="V216" i="5"/>
  <c r="V228" i="5"/>
  <c r="V240" i="5"/>
  <c r="V254" i="5"/>
  <c r="V268" i="5"/>
  <c r="V282" i="5"/>
  <c r="V293" i="5"/>
  <c r="V306" i="5"/>
  <c r="V21" i="5"/>
  <c r="V70" i="5"/>
  <c r="V131" i="5"/>
  <c r="V199" i="5"/>
  <c r="V262" i="5"/>
  <c r="V60" i="5"/>
  <c r="V133" i="5"/>
  <c r="V38" i="5"/>
  <c r="V5" i="5"/>
  <c r="V40" i="5"/>
  <c r="V76" i="5"/>
  <c r="V111" i="5"/>
  <c r="V7" i="5"/>
  <c r="V18" i="5"/>
  <c r="V30" i="5"/>
  <c r="V43" i="5"/>
  <c r="V54" i="5"/>
  <c r="V66" i="5"/>
  <c r="V79" i="5"/>
  <c r="V91" i="5"/>
  <c r="V101" i="5"/>
  <c r="V114" i="5"/>
  <c r="V126" i="5"/>
  <c r="V140" i="5"/>
  <c r="V153" i="5"/>
  <c r="V166" i="5"/>
  <c r="V178" i="5"/>
  <c r="V194" i="5"/>
  <c r="V206" i="5"/>
  <c r="V218" i="5"/>
  <c r="V229" i="5"/>
  <c r="V242" i="5"/>
  <c r="V256" i="5"/>
  <c r="V270" i="5"/>
  <c r="V283" i="5"/>
  <c r="V294" i="5"/>
  <c r="V308" i="5"/>
  <c r="V35" i="5"/>
  <c r="V84" i="5"/>
  <c r="V159" i="5"/>
  <c r="V210" i="5"/>
  <c r="V287" i="5"/>
  <c r="V48" i="5"/>
  <c r="V108" i="5"/>
  <c r="V25" i="5"/>
  <c r="V15" i="5"/>
  <c r="V62" i="5"/>
  <c r="V99" i="5"/>
  <c r="V136" i="5"/>
  <c r="V9" i="5"/>
  <c r="V19" i="5"/>
  <c r="V31" i="5"/>
  <c r="V44" i="5"/>
  <c r="V55" i="5"/>
  <c r="V67" i="5"/>
  <c r="V80" i="5"/>
  <c r="V92" i="5"/>
  <c r="V103" i="5"/>
  <c r="V116" i="5"/>
  <c r="V128" i="5"/>
  <c r="V141" i="5"/>
  <c r="V155" i="5"/>
  <c r="V168" i="5"/>
  <c r="V180" i="5"/>
  <c r="V195" i="5"/>
  <c r="V208" i="5"/>
  <c r="V219" i="5"/>
  <c r="V231" i="5"/>
  <c r="V244" i="5"/>
  <c r="V258" i="5"/>
  <c r="V272" i="5"/>
  <c r="V284" i="5"/>
  <c r="V296" i="5"/>
  <c r="V310" i="5"/>
  <c r="M7" i="5"/>
  <c r="M6" i="5"/>
  <c r="M3" i="5"/>
  <c r="M310" i="5"/>
  <c r="M308" i="5"/>
  <c r="M306" i="5"/>
  <c r="M304" i="5"/>
  <c r="M302" i="5"/>
  <c r="M300" i="5"/>
  <c r="M299" i="5"/>
  <c r="M297" i="5"/>
  <c r="M296" i="5"/>
  <c r="M294" i="5"/>
  <c r="M293" i="5"/>
  <c r="M291" i="5"/>
  <c r="M290" i="5"/>
  <c r="M288" i="5"/>
  <c r="M285" i="5"/>
  <c r="M284" i="5"/>
  <c r="M283" i="5"/>
  <c r="M282" i="5"/>
  <c r="M280" i="5"/>
  <c r="M278" i="5"/>
  <c r="M277" i="5"/>
  <c r="M276" i="5"/>
  <c r="M274" i="5"/>
  <c r="M272" i="5"/>
  <c r="M270" i="5"/>
  <c r="M268" i="5"/>
  <c r="M267" i="5"/>
  <c r="M265" i="5"/>
  <c r="M264" i="5"/>
  <c r="M262" i="5"/>
  <c r="M260" i="5"/>
  <c r="M258" i="5"/>
  <c r="M256" i="5"/>
  <c r="M254" i="5"/>
  <c r="M252" i="5"/>
  <c r="M250" i="5"/>
  <c r="M249" i="5"/>
  <c r="M248" i="5"/>
  <c r="M246" i="5"/>
  <c r="M244" i="5"/>
  <c r="M242" i="5"/>
  <c r="M240" i="5"/>
  <c r="M238" i="5"/>
  <c r="M237" i="5"/>
  <c r="M235" i="5"/>
  <c r="M233" i="5"/>
  <c r="M232" i="5"/>
  <c r="M231" i="5"/>
  <c r="M229" i="5"/>
  <c r="M228" i="5"/>
  <c r="M227" i="5"/>
  <c r="M225" i="5"/>
  <c r="M224" i="5"/>
  <c r="M222" i="5"/>
  <c r="M220" i="5"/>
  <c r="M219" i="5"/>
  <c r="M218" i="5"/>
  <c r="M216" i="5"/>
  <c r="M214" i="5"/>
  <c r="M213" i="5"/>
  <c r="M212" i="5"/>
  <c r="M210" i="5"/>
  <c r="M209" i="5"/>
  <c r="M208" i="5"/>
  <c r="M206" i="5"/>
  <c r="M204" i="5"/>
  <c r="M203" i="5"/>
  <c r="M202" i="5"/>
  <c r="M200" i="5"/>
  <c r="M199" i="5"/>
  <c r="M197" i="5"/>
  <c r="M195" i="5"/>
  <c r="M194" i="5"/>
  <c r="M192" i="5"/>
  <c r="M190" i="5"/>
  <c r="M188" i="5"/>
  <c r="M184" i="5"/>
  <c r="M182" i="5"/>
  <c r="M180" i="5"/>
  <c r="M178" i="5"/>
  <c r="M176" i="5"/>
  <c r="M175" i="5"/>
  <c r="M173" i="5"/>
  <c r="M172" i="5"/>
  <c r="M170" i="5"/>
  <c r="M169" i="5"/>
  <c r="M168" i="5"/>
  <c r="M166" i="5"/>
  <c r="M165" i="5"/>
  <c r="M163" i="5"/>
  <c r="M162" i="5"/>
  <c r="M161" i="5"/>
  <c r="M159" i="5"/>
  <c r="M157" i="5"/>
  <c r="M155" i="5"/>
  <c r="M153" i="5"/>
  <c r="M151" i="5"/>
  <c r="M149" i="5"/>
  <c r="M148" i="5"/>
  <c r="M146" i="5"/>
  <c r="M144" i="5"/>
  <c r="M143" i="5"/>
  <c r="M141" i="5"/>
  <c r="M140" i="5"/>
  <c r="M138" i="5"/>
  <c r="M136" i="5"/>
  <c r="M134" i="5"/>
  <c r="M133" i="5"/>
  <c r="M131" i="5"/>
  <c r="M130" i="5"/>
  <c r="M128" i="5"/>
  <c r="M126" i="5"/>
  <c r="M124" i="5"/>
  <c r="M123" i="5"/>
  <c r="M121" i="5"/>
  <c r="M120" i="5"/>
  <c r="M118" i="5"/>
  <c r="M117" i="5"/>
  <c r="M116" i="5"/>
  <c r="M114" i="5"/>
  <c r="M113" i="5"/>
  <c r="M111" i="5"/>
  <c r="M109" i="5"/>
  <c r="M108" i="5"/>
  <c r="M107" i="5"/>
  <c r="M105" i="5"/>
  <c r="M103" i="5"/>
  <c r="M101" i="5"/>
  <c r="M100" i="5"/>
  <c r="M99" i="5"/>
  <c r="M97" i="5"/>
  <c r="M96" i="5"/>
  <c r="M95" i="5"/>
  <c r="M94" i="5"/>
  <c r="M92" i="5"/>
  <c r="M91" i="5"/>
  <c r="M90" i="5"/>
  <c r="M88" i="5"/>
  <c r="M87" i="5"/>
  <c r="M85" i="5"/>
  <c r="M84" i="5"/>
  <c r="M82" i="5"/>
  <c r="M80" i="5"/>
  <c r="M79" i="5"/>
  <c r="M78" i="5"/>
  <c r="M76" i="5"/>
  <c r="M74" i="5"/>
  <c r="M72" i="5"/>
  <c r="M70" i="5"/>
  <c r="M69" i="5"/>
  <c r="M67" i="5"/>
  <c r="M66" i="5"/>
  <c r="M64" i="5"/>
  <c r="M62" i="5"/>
  <c r="M61" i="5"/>
  <c r="M60" i="5"/>
  <c r="M58" i="5"/>
  <c r="M56" i="5"/>
  <c r="M55" i="5"/>
  <c r="M54" i="5"/>
  <c r="M52" i="5"/>
  <c r="M51" i="5"/>
  <c r="M50" i="5"/>
  <c r="M48" i="5"/>
  <c r="M47" i="5"/>
  <c r="M46" i="5"/>
  <c r="M44" i="5"/>
  <c r="M43" i="5"/>
  <c r="M42" i="5"/>
  <c r="M40" i="5"/>
  <c r="M38" i="5"/>
  <c r="M37" i="5"/>
  <c r="M35" i="5"/>
  <c r="M33" i="5"/>
  <c r="M31" i="5"/>
  <c r="M30" i="5"/>
  <c r="M28" i="5"/>
  <c r="M27" i="5"/>
  <c r="M25" i="5"/>
  <c r="M23" i="5"/>
  <c r="M22" i="5"/>
  <c r="M21" i="5"/>
  <c r="M19" i="5"/>
  <c r="M18" i="5"/>
  <c r="M16" i="5"/>
  <c r="M15" i="5"/>
  <c r="M13" i="5"/>
  <c r="M12" i="5"/>
  <c r="M11" i="5"/>
  <c r="M10" i="5"/>
  <c r="M9" i="5"/>
  <c r="M5" i="5"/>
  <c r="M4" i="5"/>
  <c r="AL313" i="5" l="1"/>
  <c r="AM313" i="5"/>
  <c r="AO313" i="5" l="1"/>
  <c r="H9" i="10" l="1"/>
  <c r="H10" i="10"/>
  <c r="C10" i="10"/>
  <c r="C9" i="10"/>
  <c r="C14" i="10"/>
  <c r="C15" i="10"/>
  <c r="C12" i="10"/>
  <c r="C13" i="10"/>
  <c r="H5" i="7"/>
  <c r="H15" i="10"/>
  <c r="H14" i="10"/>
  <c r="H13" i="10"/>
  <c r="H12" i="10"/>
  <c r="C11" i="10"/>
  <c r="H11" i="10"/>
  <c r="Z55" i="7"/>
  <c r="Z53" i="7"/>
  <c r="Z51" i="7"/>
  <c r="Z49" i="7"/>
  <c r="Z47" i="7"/>
  <c r="C48" i="7"/>
  <c r="U55" i="7"/>
  <c r="U53" i="7"/>
  <c r="U51" i="7"/>
  <c r="U49" i="7"/>
  <c r="U47" i="7"/>
  <c r="H55" i="7"/>
  <c r="H53" i="7"/>
  <c r="H51" i="7"/>
  <c r="H49" i="7"/>
  <c r="H47" i="7"/>
  <c r="C55" i="7"/>
  <c r="C53" i="7"/>
  <c r="C51" i="7"/>
  <c r="C49" i="7"/>
  <c r="C47" i="7"/>
  <c r="Z54" i="7"/>
  <c r="Z52" i="7"/>
  <c r="Z50" i="7"/>
  <c r="Z48" i="7"/>
  <c r="C54" i="7"/>
  <c r="U54" i="7"/>
  <c r="U52" i="7"/>
  <c r="U50" i="7"/>
  <c r="U48" i="7"/>
  <c r="C52" i="7"/>
  <c r="H54" i="7"/>
  <c r="H52" i="7"/>
  <c r="H50" i="7"/>
  <c r="H48" i="7"/>
  <c r="C50" i="7"/>
  <c r="Z33" i="7"/>
  <c r="Z34" i="7"/>
  <c r="Z31" i="7"/>
  <c r="Z32" i="7"/>
  <c r="Z29" i="7"/>
  <c r="Z30" i="7"/>
  <c r="Z27" i="7"/>
  <c r="Z28" i="7"/>
  <c r="U34" i="7"/>
  <c r="Z26" i="7"/>
  <c r="U32" i="7"/>
  <c r="U33" i="7"/>
  <c r="U30" i="7"/>
  <c r="U31" i="7"/>
  <c r="U28" i="7"/>
  <c r="U29" i="7"/>
  <c r="U26" i="7"/>
  <c r="U27" i="7"/>
  <c r="H33" i="7"/>
  <c r="H34" i="7"/>
  <c r="H31" i="7"/>
  <c r="H32" i="7"/>
  <c r="H29" i="7"/>
  <c r="H30" i="7"/>
  <c r="H27" i="7"/>
  <c r="H28" i="7"/>
  <c r="C34" i="7"/>
  <c r="H26" i="7"/>
  <c r="C32" i="7"/>
  <c r="C33" i="7"/>
  <c r="C30" i="7"/>
  <c r="C31" i="7"/>
  <c r="C28" i="7"/>
  <c r="C29" i="7"/>
  <c r="C26" i="7"/>
  <c r="C27" i="7"/>
  <c r="U13" i="7"/>
  <c r="C7" i="7"/>
  <c r="U5" i="7"/>
  <c r="C10" i="7"/>
  <c r="U8" i="7"/>
  <c r="C13" i="7"/>
  <c r="U11" i="7"/>
  <c r="C5" i="7"/>
  <c r="C8" i="7"/>
  <c r="U6" i="7"/>
  <c r="C12" i="7"/>
  <c r="C11" i="7"/>
  <c r="U9" i="7"/>
  <c r="U12" i="7"/>
  <c r="C6" i="7"/>
  <c r="U10" i="7"/>
  <c r="C9" i="7"/>
  <c r="U7" i="7"/>
  <c r="AM7" i="7" s="1"/>
  <c r="Z6" i="7"/>
  <c r="Z5" i="7"/>
  <c r="Z7" i="7"/>
  <c r="Z8" i="7"/>
  <c r="H6" i="7"/>
  <c r="H7" i="7"/>
  <c r="Z13" i="7"/>
  <c r="Z9" i="7"/>
  <c r="Z12" i="7"/>
  <c r="Z11" i="7"/>
  <c r="Z10" i="7"/>
  <c r="H8" i="7"/>
  <c r="H9" i="7"/>
  <c r="H13" i="7"/>
  <c r="H12" i="7"/>
  <c r="H11" i="7"/>
  <c r="H10" i="7"/>
  <c r="M9" i="10" l="1"/>
  <c r="M15" i="10"/>
  <c r="C18" i="10"/>
  <c r="E18" i="10" s="1"/>
  <c r="H18" i="10"/>
  <c r="J18" i="10" s="1"/>
  <c r="M11" i="10"/>
  <c r="M13" i="10"/>
  <c r="M14" i="10"/>
  <c r="M12" i="10"/>
  <c r="M10" i="10"/>
  <c r="AE33" i="7"/>
  <c r="AE51" i="7"/>
  <c r="AE55" i="7"/>
  <c r="AM52" i="7"/>
  <c r="M52" i="7"/>
  <c r="AR55" i="7"/>
  <c r="AM34" i="7"/>
  <c r="AE47" i="7"/>
  <c r="U58" i="7"/>
  <c r="U61" i="7" s="1"/>
  <c r="AR52" i="7"/>
  <c r="AR54" i="7"/>
  <c r="AM54" i="7"/>
  <c r="M54" i="7"/>
  <c r="H58" i="7"/>
  <c r="H61" i="7" s="1"/>
  <c r="Z58" i="7"/>
  <c r="AR47" i="7"/>
  <c r="M50" i="7"/>
  <c r="AM50" i="7"/>
  <c r="M48" i="7"/>
  <c r="AM48" i="7"/>
  <c r="M51" i="7"/>
  <c r="AM51" i="7"/>
  <c r="C58" i="7"/>
  <c r="C61" i="7" s="1"/>
  <c r="AM47" i="7"/>
  <c r="M47" i="7"/>
  <c r="AR49" i="7"/>
  <c r="AE48" i="7"/>
  <c r="AR51" i="7"/>
  <c r="AE50" i="7"/>
  <c r="AE53" i="7"/>
  <c r="AM49" i="7"/>
  <c r="M49" i="7"/>
  <c r="AR48" i="7"/>
  <c r="AE52" i="7"/>
  <c r="AR53" i="7"/>
  <c r="AE49" i="7"/>
  <c r="M53" i="7"/>
  <c r="AM53" i="7"/>
  <c r="AR50" i="7"/>
  <c r="AE54" i="7"/>
  <c r="AM55" i="7"/>
  <c r="M55" i="7"/>
  <c r="AR34" i="7"/>
  <c r="AM27" i="7"/>
  <c r="AR26" i="7"/>
  <c r="AM6" i="7"/>
  <c r="AM5" i="7"/>
  <c r="AM29" i="7"/>
  <c r="M29" i="7"/>
  <c r="AE32" i="7"/>
  <c r="M28" i="7"/>
  <c r="AM28" i="7"/>
  <c r="AR28" i="7"/>
  <c r="AE26" i="7"/>
  <c r="U37" i="7"/>
  <c r="U40" i="7" s="1"/>
  <c r="AR32" i="7"/>
  <c r="AE29" i="7"/>
  <c r="AE34" i="7"/>
  <c r="AM26" i="7"/>
  <c r="C37" i="7"/>
  <c r="D34" i="7" s="1"/>
  <c r="M26" i="7"/>
  <c r="AM32" i="7"/>
  <c r="M32" i="7"/>
  <c r="M27" i="7"/>
  <c r="AR29" i="7"/>
  <c r="AR27" i="7"/>
  <c r="AR30" i="7"/>
  <c r="Z37" i="7"/>
  <c r="Z40" i="7" s="1"/>
  <c r="AE30" i="7"/>
  <c r="AE28" i="7"/>
  <c r="AE31" i="7"/>
  <c r="AR33" i="7"/>
  <c r="AE27" i="7"/>
  <c r="H37" i="7"/>
  <c r="H40" i="7" s="1"/>
  <c r="M33" i="7"/>
  <c r="AM33" i="7"/>
  <c r="AM31" i="7"/>
  <c r="M31" i="7"/>
  <c r="M34" i="7"/>
  <c r="AR31" i="7"/>
  <c r="M30" i="7"/>
  <c r="AM30" i="7"/>
  <c r="C16" i="7"/>
  <c r="C19" i="7" s="1"/>
  <c r="Z16" i="7"/>
  <c r="Z19" i="7" s="1"/>
  <c r="U16" i="7"/>
  <c r="U19" i="7" s="1"/>
  <c r="H16" i="7"/>
  <c r="I5" i="7" s="1"/>
  <c r="AR5" i="7"/>
  <c r="AR6" i="7"/>
  <c r="AE5" i="7"/>
  <c r="AE6" i="7"/>
  <c r="M5" i="7"/>
  <c r="M6" i="7"/>
  <c r="AM8" i="7"/>
  <c r="AM9" i="7"/>
  <c r="AM13" i="7"/>
  <c r="AR8" i="7"/>
  <c r="AR12" i="7"/>
  <c r="AR10" i="7"/>
  <c r="AR9" i="7"/>
  <c r="AR11" i="7"/>
  <c r="AR13" i="7"/>
  <c r="AR7" i="7"/>
  <c r="AW7" i="7" s="1"/>
  <c r="AM10" i="7"/>
  <c r="AM11" i="7"/>
  <c r="AM12" i="7"/>
  <c r="AE8" i="7"/>
  <c r="AE12" i="7"/>
  <c r="AE10" i="7"/>
  <c r="AE7" i="7"/>
  <c r="AE11" i="7"/>
  <c r="AE9" i="7"/>
  <c r="AE13" i="7"/>
  <c r="M12" i="7"/>
  <c r="M8" i="7"/>
  <c r="M9" i="7"/>
  <c r="M10" i="7"/>
  <c r="M11" i="7"/>
  <c r="M13" i="7"/>
  <c r="M7" i="7"/>
  <c r="D15" i="10" l="1"/>
  <c r="M18" i="10"/>
  <c r="O18" i="10" s="1"/>
  <c r="I15" i="10"/>
  <c r="I9" i="10"/>
  <c r="I11" i="10"/>
  <c r="I10" i="10"/>
  <c r="I14" i="10"/>
  <c r="I13" i="10"/>
  <c r="I12" i="10"/>
  <c r="D9" i="10"/>
  <c r="D10" i="10"/>
  <c r="D13" i="10"/>
  <c r="D11" i="10"/>
  <c r="D12" i="10"/>
  <c r="D14" i="10"/>
  <c r="D54" i="7"/>
  <c r="AA48" i="7"/>
  <c r="I48" i="7"/>
  <c r="D52" i="7"/>
  <c r="D49" i="7"/>
  <c r="D53" i="7"/>
  <c r="I50" i="7"/>
  <c r="AW49" i="7"/>
  <c r="V48" i="7"/>
  <c r="V47" i="7"/>
  <c r="AW52" i="7"/>
  <c r="AM58" i="7"/>
  <c r="AW47" i="7"/>
  <c r="AE58" i="7"/>
  <c r="AE61" i="7" s="1"/>
  <c r="AW55" i="7"/>
  <c r="AW53" i="7"/>
  <c r="I52" i="7"/>
  <c r="V53" i="7"/>
  <c r="D51" i="7"/>
  <c r="D50" i="7"/>
  <c r="AW54" i="7"/>
  <c r="I53" i="7"/>
  <c r="D55" i="7"/>
  <c r="I49" i="7"/>
  <c r="AW51" i="7"/>
  <c r="AA47" i="7"/>
  <c r="AA54" i="7"/>
  <c r="V55" i="7"/>
  <c r="AW50" i="7"/>
  <c r="I51" i="7"/>
  <c r="I54" i="7"/>
  <c r="V52" i="7"/>
  <c r="V50" i="7"/>
  <c r="AA49" i="7"/>
  <c r="AR58" i="7"/>
  <c r="AR61" i="7" s="1"/>
  <c r="AW48" i="7"/>
  <c r="AA52" i="7"/>
  <c r="Z61" i="7"/>
  <c r="V54" i="7"/>
  <c r="V49" i="7"/>
  <c r="AA51" i="7"/>
  <c r="M58" i="7"/>
  <c r="M61" i="7" s="1"/>
  <c r="AA55" i="7"/>
  <c r="V51" i="7"/>
  <c r="I55" i="7"/>
  <c r="AA50" i="7"/>
  <c r="AA53" i="7"/>
  <c r="D47" i="7"/>
  <c r="D48" i="7"/>
  <c r="I47" i="7"/>
  <c r="AA30" i="7"/>
  <c r="V31" i="7"/>
  <c r="AW6" i="7"/>
  <c r="C40" i="7"/>
  <c r="AW26" i="7"/>
  <c r="AM37" i="7"/>
  <c r="AN34" i="7" s="1"/>
  <c r="AA31" i="7"/>
  <c r="AA26" i="7"/>
  <c r="AA32" i="7"/>
  <c r="AA29" i="7"/>
  <c r="AA27" i="7"/>
  <c r="AA28" i="7"/>
  <c r="AA33" i="7"/>
  <c r="AA34" i="7"/>
  <c r="V26" i="7"/>
  <c r="V27" i="7"/>
  <c r="V32" i="7"/>
  <c r="V30" i="7"/>
  <c r="V28" i="7"/>
  <c r="V29" i="7"/>
  <c r="V33" i="7"/>
  <c r="V34" i="7"/>
  <c r="AW5" i="7"/>
  <c r="I27" i="7"/>
  <c r="I28" i="7"/>
  <c r="I26" i="7"/>
  <c r="I31" i="7"/>
  <c r="I32" i="7"/>
  <c r="I29" i="7"/>
  <c r="I30" i="7"/>
  <c r="I33" i="7"/>
  <c r="D28" i="7"/>
  <c r="I34" i="7"/>
  <c r="D29" i="7"/>
  <c r="D26" i="7"/>
  <c r="D27" i="7"/>
  <c r="D32" i="7"/>
  <c r="D30" i="7"/>
  <c r="D31" i="7"/>
  <c r="D33" i="7"/>
  <c r="H19" i="7"/>
  <c r="AW30" i="7"/>
  <c r="AR37" i="7"/>
  <c r="M37" i="7"/>
  <c r="D24" i="7" s="1"/>
  <c r="AW31" i="7"/>
  <c r="AW27" i="7"/>
  <c r="AW28" i="7"/>
  <c r="AW33" i="7"/>
  <c r="AW34" i="7"/>
  <c r="AW32" i="7"/>
  <c r="AE37" i="7"/>
  <c r="AF27" i="7" s="1"/>
  <c r="AW29" i="7"/>
  <c r="AM16" i="7"/>
  <c r="AN6" i="7" s="1"/>
  <c r="M16" i="7"/>
  <c r="N10" i="7" s="1"/>
  <c r="AW12" i="7"/>
  <c r="AE16" i="7"/>
  <c r="AE19" i="7" s="1"/>
  <c r="AW11" i="7"/>
  <c r="AW13" i="7"/>
  <c r="AR16" i="7"/>
  <c r="AW9" i="7"/>
  <c r="AW10" i="7"/>
  <c r="AW8" i="7"/>
  <c r="V13" i="7"/>
  <c r="V9" i="7"/>
  <c r="V5" i="7"/>
  <c r="V12" i="7"/>
  <c r="V8" i="7"/>
  <c r="V7" i="7"/>
  <c r="V6" i="7"/>
  <c r="V11" i="7"/>
  <c r="V10" i="7"/>
  <c r="AA6" i="7"/>
  <c r="AA5" i="7"/>
  <c r="I6" i="7"/>
  <c r="D6" i="7"/>
  <c r="D5" i="7"/>
  <c r="AA13" i="7"/>
  <c r="AA11" i="7"/>
  <c r="AA9" i="7"/>
  <c r="AA10" i="7"/>
  <c r="AA12" i="7"/>
  <c r="AA8" i="7"/>
  <c r="AA7" i="7"/>
  <c r="D11" i="7"/>
  <c r="D7" i="7"/>
  <c r="D10" i="7"/>
  <c r="D9" i="7"/>
  <c r="D12" i="7"/>
  <c r="D8" i="7"/>
  <c r="D13" i="7"/>
  <c r="I7" i="7"/>
  <c r="I12" i="7"/>
  <c r="I11" i="7"/>
  <c r="I10" i="7"/>
  <c r="I8" i="7"/>
  <c r="I9" i="7"/>
  <c r="I13" i="7"/>
  <c r="N10" i="10" l="1"/>
  <c r="N14" i="10"/>
  <c r="N9" i="10"/>
  <c r="N11" i="10"/>
  <c r="N13" i="10"/>
  <c r="N12" i="10"/>
  <c r="N15" i="10"/>
  <c r="AB54" i="7"/>
  <c r="AB53" i="7" s="1"/>
  <c r="AB52" i="7" s="1"/>
  <c r="AB51" i="7" s="1"/>
  <c r="AB50" i="7" s="1"/>
  <c r="AB49" i="7" s="1"/>
  <c r="AB48" i="7" s="1"/>
  <c r="AB47" i="7" s="1"/>
  <c r="E14" i="10"/>
  <c r="E13" i="10" s="1"/>
  <c r="E12" i="10" s="1"/>
  <c r="E11" i="10" s="1"/>
  <c r="I6" i="10"/>
  <c r="J14" i="10"/>
  <c r="E54" i="7"/>
  <c r="E53" i="7" s="1"/>
  <c r="E52" i="7" s="1"/>
  <c r="E51" i="7" s="1"/>
  <c r="E50" i="7" s="1"/>
  <c r="E49" i="7" s="1"/>
  <c r="E48" i="7" s="1"/>
  <c r="E47" i="7" s="1"/>
  <c r="D6" i="10"/>
  <c r="AS34" i="7"/>
  <c r="AA45" i="7"/>
  <c r="V45" i="7"/>
  <c r="I45" i="7"/>
  <c r="J54" i="7"/>
  <c r="J53" i="7" s="1"/>
  <c r="J52" i="7" s="1"/>
  <c r="J51" i="7" s="1"/>
  <c r="J50" i="7" s="1"/>
  <c r="J49" i="7" s="1"/>
  <c r="J48" i="7" s="1"/>
  <c r="J47" i="7" s="1"/>
  <c r="D45" i="7"/>
  <c r="AS55" i="7"/>
  <c r="AN53" i="7"/>
  <c r="AS48" i="7"/>
  <c r="AN51" i="7"/>
  <c r="AW58" i="7"/>
  <c r="AN48" i="7"/>
  <c r="AS54" i="7"/>
  <c r="AN54" i="7"/>
  <c r="AN55" i="7"/>
  <c r="AS53" i="7"/>
  <c r="AS52" i="7"/>
  <c r="AS49" i="7"/>
  <c r="AS47" i="7"/>
  <c r="AN50" i="7"/>
  <c r="AF53" i="7"/>
  <c r="AN49" i="7"/>
  <c r="AS51" i="7"/>
  <c r="AF54" i="7"/>
  <c r="AF50" i="7"/>
  <c r="AF52" i="7"/>
  <c r="AM61" i="7"/>
  <c r="AN52" i="7"/>
  <c r="N49" i="7"/>
  <c r="N48" i="7"/>
  <c r="AF51" i="7"/>
  <c r="AF49" i="7"/>
  <c r="N51" i="7"/>
  <c r="W54" i="7"/>
  <c r="W53" i="7" s="1"/>
  <c r="W52" i="7" s="1"/>
  <c r="W51" i="7" s="1"/>
  <c r="W50" i="7" s="1"/>
  <c r="W49" i="7" s="1"/>
  <c r="W48" i="7" s="1"/>
  <c r="W47" i="7" s="1"/>
  <c r="N53" i="7"/>
  <c r="AF48" i="7"/>
  <c r="AF32" i="7"/>
  <c r="AF55" i="7"/>
  <c r="AF47" i="7"/>
  <c r="N54" i="7"/>
  <c r="N55" i="7"/>
  <c r="N52" i="7"/>
  <c r="N47" i="7"/>
  <c r="AS50" i="7"/>
  <c r="AN47" i="7"/>
  <c r="N50" i="7"/>
  <c r="AF30" i="7"/>
  <c r="AF26" i="7"/>
  <c r="AF28" i="7"/>
  <c r="AF31" i="7"/>
  <c r="AF29" i="7"/>
  <c r="AE40" i="7"/>
  <c r="AF33" i="7"/>
  <c r="AF34" i="7"/>
  <c r="N31" i="7"/>
  <c r="AS30" i="7"/>
  <c r="AS26" i="7"/>
  <c r="AN26" i="7"/>
  <c r="AS28" i="7"/>
  <c r="AN30" i="7"/>
  <c r="AS32" i="7"/>
  <c r="AN27" i="7"/>
  <c r="AS31" i="7"/>
  <c r="AM40" i="7"/>
  <c r="AN28" i="7"/>
  <c r="AS27" i="7"/>
  <c r="AN31" i="7"/>
  <c r="AS29" i="7"/>
  <c r="AN32" i="7"/>
  <c r="AN29" i="7"/>
  <c r="AS33" i="7"/>
  <c r="AN33" i="7"/>
  <c r="AN9" i="7"/>
  <c r="N28" i="7"/>
  <c r="N30" i="7"/>
  <c r="N26" i="7"/>
  <c r="N29" i="7"/>
  <c r="N32" i="7"/>
  <c r="N27" i="7"/>
  <c r="N33" i="7"/>
  <c r="J33" i="7"/>
  <c r="J32" i="7" s="1"/>
  <c r="J31" i="7" s="1"/>
  <c r="J30" i="7" s="1"/>
  <c r="J29" i="7" s="1"/>
  <c r="J28" i="7" s="1"/>
  <c r="J27" i="7" s="1"/>
  <c r="J26" i="7" s="1"/>
  <c r="N34" i="7"/>
  <c r="E33" i="7"/>
  <c r="E32" i="7" s="1"/>
  <c r="E31" i="7" s="1"/>
  <c r="E30" i="7" s="1"/>
  <c r="E29" i="7" s="1"/>
  <c r="E28" i="7" s="1"/>
  <c r="E27" i="7" s="1"/>
  <c r="E26" i="7" s="1"/>
  <c r="AW16" i="7"/>
  <c r="W33" i="7"/>
  <c r="W32" i="7" s="1"/>
  <c r="W31" i="7" s="1"/>
  <c r="W30" i="7" s="1"/>
  <c r="W29" i="7" s="1"/>
  <c r="W28" i="7" s="1"/>
  <c r="W27" i="7" s="1"/>
  <c r="W26" i="7" s="1"/>
  <c r="AN12" i="7"/>
  <c r="AN13" i="7"/>
  <c r="AN5" i="7"/>
  <c r="AW37" i="7"/>
  <c r="AR40" i="7"/>
  <c r="I24" i="7"/>
  <c r="N24" i="7" s="1"/>
  <c r="AN8" i="7"/>
  <c r="AN11" i="7"/>
  <c r="V24" i="7"/>
  <c r="AA24" i="7"/>
  <c r="AN10" i="7"/>
  <c r="M40" i="7"/>
  <c r="AB33" i="7"/>
  <c r="AB32" i="7" s="1"/>
  <c r="AB31" i="7" s="1"/>
  <c r="AB30" i="7" s="1"/>
  <c r="AB29" i="7" s="1"/>
  <c r="AB28" i="7" s="1"/>
  <c r="AB27" i="7" s="1"/>
  <c r="AB26" i="7" s="1"/>
  <c r="AM19" i="7"/>
  <c r="AN7" i="7"/>
  <c r="AR19" i="7"/>
  <c r="N9" i="7"/>
  <c r="M19" i="7"/>
  <c r="AS7" i="7"/>
  <c r="I3" i="7"/>
  <c r="N12" i="7"/>
  <c r="N5" i="7"/>
  <c r="N13" i="7"/>
  <c r="N8" i="7"/>
  <c r="N11" i="7"/>
  <c r="D3" i="7"/>
  <c r="N7" i="7"/>
  <c r="N6" i="7"/>
  <c r="AS5" i="7"/>
  <c r="AS6" i="7"/>
  <c r="AF5" i="7"/>
  <c r="AF6" i="7"/>
  <c r="AS12" i="7"/>
  <c r="AS10" i="7"/>
  <c r="AS8" i="7"/>
  <c r="AS13" i="7"/>
  <c r="AS9" i="7"/>
  <c r="AS11" i="7"/>
  <c r="AF10" i="7"/>
  <c r="AF7" i="7"/>
  <c r="AF11" i="7"/>
  <c r="AB12" i="7"/>
  <c r="AB11" i="7" s="1"/>
  <c r="AB10" i="7" s="1"/>
  <c r="AB9" i="7" s="1"/>
  <c r="AB8" i="7" s="1"/>
  <c r="AB7" i="7" s="1"/>
  <c r="AB6" i="7" s="1"/>
  <c r="AB5" i="7" s="1"/>
  <c r="AF12" i="7"/>
  <c r="AF9" i="7"/>
  <c r="AF8" i="7"/>
  <c r="AF13" i="7"/>
  <c r="W12" i="7"/>
  <c r="W11" i="7" s="1"/>
  <c r="W10" i="7" s="1"/>
  <c r="W9" i="7" s="1"/>
  <c r="W8" i="7" s="1"/>
  <c r="W7" i="7" s="1"/>
  <c r="W6" i="7" s="1"/>
  <c r="W5" i="7" s="1"/>
  <c r="J12" i="7"/>
  <c r="J11" i="7" s="1"/>
  <c r="J10" i="7" s="1"/>
  <c r="J9" i="7" s="1"/>
  <c r="J8" i="7" s="1"/>
  <c r="J7" i="7" s="1"/>
  <c r="J6" i="7" s="1"/>
  <c r="J5" i="7" s="1"/>
  <c r="AA3" i="7"/>
  <c r="V3" i="7"/>
  <c r="B4" i="6"/>
  <c r="B7" i="6"/>
  <c r="B8" i="6"/>
  <c r="B5" i="6"/>
  <c r="E10" i="10" l="1"/>
  <c r="E9" i="10" s="1"/>
  <c r="J13" i="10"/>
  <c r="O14" i="10"/>
  <c r="O13" i="10" s="1"/>
  <c r="O12" i="10" s="1"/>
  <c r="O11" i="10" s="1"/>
  <c r="O10" i="10" s="1"/>
  <c r="O9" i="10" s="1"/>
  <c r="N6" i="10"/>
  <c r="J12" i="10"/>
  <c r="J11" i="10" s="1"/>
  <c r="J10" i="10" s="1"/>
  <c r="J9" i="10" s="1"/>
  <c r="D5" i="6"/>
  <c r="D8" i="6"/>
  <c r="D4" i="6"/>
  <c r="D7" i="6"/>
  <c r="BB24" i="7"/>
  <c r="BB45" i="7"/>
  <c r="AW61" i="7"/>
  <c r="AS24" i="7"/>
  <c r="AS45" i="7"/>
  <c r="AN3" i="7"/>
  <c r="AF45" i="7"/>
  <c r="N45" i="7"/>
  <c r="O54" i="7"/>
  <c r="O53" i="7" s="1"/>
  <c r="O52" i="7" s="1"/>
  <c r="O51" i="7" s="1"/>
  <c r="O50" i="7" s="1"/>
  <c r="O49" i="7" s="1"/>
  <c r="O48" i="7" s="1"/>
  <c r="O47" i="7" s="1"/>
  <c r="AG54" i="7"/>
  <c r="AG53" i="7" s="1"/>
  <c r="AG52" i="7" s="1"/>
  <c r="AG51" i="7" s="1"/>
  <c r="AG50" i="7" s="1"/>
  <c r="AG49" i="7" s="1"/>
  <c r="AG48" i="7" s="1"/>
  <c r="AG47" i="7" s="1"/>
  <c r="AX48" i="7"/>
  <c r="AN45" i="7"/>
  <c r="AX47" i="7"/>
  <c r="AX52" i="7"/>
  <c r="AX49" i="7"/>
  <c r="AX51" i="7"/>
  <c r="AX53" i="7"/>
  <c r="AT54" i="7"/>
  <c r="AT53" i="7" s="1"/>
  <c r="AT52" i="7" s="1"/>
  <c r="AT51" i="7" s="1"/>
  <c r="AT50" i="7" s="1"/>
  <c r="AT49" i="7" s="1"/>
  <c r="AT48" i="7" s="1"/>
  <c r="AT47" i="7" s="1"/>
  <c r="AX50" i="7"/>
  <c r="AX55" i="7"/>
  <c r="AO54" i="7"/>
  <c r="AO53" i="7" s="1"/>
  <c r="AO52" i="7" s="1"/>
  <c r="AO51" i="7" s="1"/>
  <c r="AO50" i="7" s="1"/>
  <c r="AO49" i="7" s="1"/>
  <c r="AO48" i="7" s="1"/>
  <c r="AO47" i="7" s="1"/>
  <c r="AX54" i="7"/>
  <c r="AX30" i="7"/>
  <c r="AX32" i="7"/>
  <c r="AX26" i="7"/>
  <c r="AX29" i="7"/>
  <c r="AX31" i="7"/>
  <c r="AX27" i="7"/>
  <c r="AX28" i="7"/>
  <c r="AX33" i="7"/>
  <c r="AX34" i="7"/>
  <c r="AS3" i="7"/>
  <c r="AW19" i="7"/>
  <c r="AG33" i="7"/>
  <c r="AF24" i="7"/>
  <c r="AO33" i="7"/>
  <c r="AW40" i="7"/>
  <c r="AT33" i="7"/>
  <c r="AT32" i="7" s="1"/>
  <c r="AT31" i="7" s="1"/>
  <c r="AT30" i="7" s="1"/>
  <c r="AT29" i="7" s="1"/>
  <c r="AT28" i="7" s="1"/>
  <c r="AT27" i="7" s="1"/>
  <c r="AT26" i="7" s="1"/>
  <c r="O33" i="7"/>
  <c r="O32" i="7" s="1"/>
  <c r="O31" i="7" s="1"/>
  <c r="O30" i="7" s="1"/>
  <c r="O29" i="7" s="1"/>
  <c r="O28" i="7" s="1"/>
  <c r="O27" i="7" s="1"/>
  <c r="O26" i="7" s="1"/>
  <c r="AN24" i="7"/>
  <c r="AX6" i="7"/>
  <c r="AX5" i="7"/>
  <c r="AX9" i="7"/>
  <c r="AX11" i="7"/>
  <c r="AX10" i="7"/>
  <c r="AX13" i="7"/>
  <c r="AT12" i="7"/>
  <c r="AT11" i="7" s="1"/>
  <c r="AT10" i="7" s="1"/>
  <c r="AT9" i="7" s="1"/>
  <c r="AT8" i="7" s="1"/>
  <c r="AT7" i="7" s="1"/>
  <c r="AT6" i="7" s="1"/>
  <c r="AT5" i="7" s="1"/>
  <c r="AX8" i="7"/>
  <c r="AX12" i="7"/>
  <c r="AX7" i="7"/>
  <c r="AO12" i="7"/>
  <c r="AO11" i="7" s="1"/>
  <c r="AO10" i="7" s="1"/>
  <c r="AO9" i="7" s="1"/>
  <c r="AO8" i="7" s="1"/>
  <c r="AO7" i="7" s="1"/>
  <c r="AO6" i="7" s="1"/>
  <c r="AO5" i="7" s="1"/>
  <c r="AG12" i="7"/>
  <c r="AG11" i="7" s="1"/>
  <c r="AG10" i="7" s="1"/>
  <c r="AG9" i="7" s="1"/>
  <c r="AG8" i="7" s="1"/>
  <c r="AG7" i="7" s="1"/>
  <c r="AG6" i="7" s="1"/>
  <c r="AG5" i="7" s="1"/>
  <c r="O12" i="7"/>
  <c r="E12" i="7"/>
  <c r="E11" i="7" s="1"/>
  <c r="E10" i="7" s="1"/>
  <c r="E9" i="7" s="1"/>
  <c r="E8" i="7" s="1"/>
  <c r="N3" i="7"/>
  <c r="AF3" i="7"/>
  <c r="B10" i="6"/>
  <c r="G4" i="6" s="1"/>
  <c r="D10" i="6" l="1"/>
  <c r="D12" i="6" s="1"/>
  <c r="I5" i="6"/>
  <c r="J4" i="6"/>
  <c r="G7" i="6"/>
  <c r="F8" i="6"/>
  <c r="F7" i="6"/>
  <c r="F4" i="6"/>
  <c r="F5" i="6"/>
  <c r="AX24" i="7"/>
  <c r="AX3" i="7"/>
  <c r="AX45" i="7"/>
  <c r="AY54" i="7"/>
  <c r="AY53" i="7" s="1"/>
  <c r="AY52" i="7" s="1"/>
  <c r="AY51" i="7" s="1"/>
  <c r="AY50" i="7" s="1"/>
  <c r="AY49" i="7" s="1"/>
  <c r="AY48" i="7" s="1"/>
  <c r="AY47" i="7" s="1"/>
  <c r="AG32" i="7"/>
  <c r="AG31" i="7" s="1"/>
  <c r="AG30" i="7" s="1"/>
  <c r="AG29" i="7" s="1"/>
  <c r="AG28" i="7" s="1"/>
  <c r="AG27" i="7" s="1"/>
  <c r="AG26" i="7" s="1"/>
  <c r="AY33" i="7"/>
  <c r="AY32" i="7" s="1"/>
  <c r="AY31" i="7" s="1"/>
  <c r="AY30" i="7" s="1"/>
  <c r="AY29" i="7" s="1"/>
  <c r="AY28" i="7" s="1"/>
  <c r="AY27" i="7" s="1"/>
  <c r="AY26" i="7" s="1"/>
  <c r="AO32" i="7"/>
  <c r="AO31" i="7" s="1"/>
  <c r="AO30" i="7" s="1"/>
  <c r="AO29" i="7" s="1"/>
  <c r="AO28" i="7" s="1"/>
  <c r="AO27" i="7" s="1"/>
  <c r="AO26" i="7" s="1"/>
  <c r="AY12" i="7"/>
  <c r="AY11" i="7" s="1"/>
  <c r="AY10" i="7" s="1"/>
  <c r="AY9" i="7" s="1"/>
  <c r="AY8" i="7" s="1"/>
  <c r="AY7" i="7" s="1"/>
  <c r="AY6" i="7" s="1"/>
  <c r="AY5" i="7" s="1"/>
  <c r="E7" i="7"/>
  <c r="E6" i="7" s="1"/>
  <c r="E5" i="7" s="1"/>
  <c r="O11" i="7"/>
  <c r="O10" i="7" s="1"/>
  <c r="O9" i="7" s="1"/>
  <c r="O8" i="7" s="1"/>
  <c r="O7" i="7" s="1"/>
  <c r="O6" i="7" s="1"/>
  <c r="O5" i="7" s="1"/>
</calcChain>
</file>

<file path=xl/sharedStrings.xml><?xml version="1.0" encoding="utf-8"?>
<sst xmlns="http://schemas.openxmlformats.org/spreadsheetml/2006/main" count="4056" uniqueCount="1366">
  <si>
    <t>ASTURIAS</t>
  </si>
  <si>
    <t>CALLE</t>
  </si>
  <si>
    <t>NIF</t>
  </si>
  <si>
    <t>TITULAR</t>
  </si>
  <si>
    <t>07</t>
  </si>
  <si>
    <t>0076</t>
  </si>
  <si>
    <t>ES77</t>
  </si>
  <si>
    <t>carmen@grupoindeco.es</t>
  </si>
  <si>
    <t>OVIEDO</t>
  </si>
  <si>
    <t>3ºC</t>
  </si>
  <si>
    <t>OTERO</t>
  </si>
  <si>
    <t>10547035V</t>
  </si>
  <si>
    <t>LOPEZ</t>
  </si>
  <si>
    <t>0006233936</t>
  </si>
  <si>
    <t>0081</t>
  </si>
  <si>
    <t>ES30</t>
  </si>
  <si>
    <t>sierra@ast-ingenieria.com</t>
  </si>
  <si>
    <t>5ºB</t>
  </si>
  <si>
    <t>71701721A</t>
  </si>
  <si>
    <t>0049</t>
  </si>
  <si>
    <t>ES75</t>
  </si>
  <si>
    <t>s_d_f@hotmail.com</t>
  </si>
  <si>
    <t>7º E</t>
  </si>
  <si>
    <t>10886100Q</t>
  </si>
  <si>
    <t>FUERTES</t>
  </si>
  <si>
    <t>SANTIAGO</t>
  </si>
  <si>
    <t>0365</t>
  </si>
  <si>
    <t>gabroaldi@gmail.com</t>
  </si>
  <si>
    <t>2º</t>
  </si>
  <si>
    <t>10865788J</t>
  </si>
  <si>
    <t>0201553484</t>
  </si>
  <si>
    <t>0602</t>
  </si>
  <si>
    <t>0182</t>
  </si>
  <si>
    <t>ES89</t>
  </si>
  <si>
    <t>MARISOBIA@GMAIL.COM</t>
  </si>
  <si>
    <t>GIJÓN</t>
  </si>
  <si>
    <t>5ºC</t>
  </si>
  <si>
    <t>BALEARES</t>
  </si>
  <si>
    <t>10805838R</t>
  </si>
  <si>
    <t>PATALLO</t>
  </si>
  <si>
    <t>0865</t>
  </si>
  <si>
    <t>ES60</t>
  </si>
  <si>
    <t>LANGREO</t>
  </si>
  <si>
    <t>CLAUDIO SANCHEZ ALBORNOZ</t>
  </si>
  <si>
    <t>JACOBO</t>
  </si>
  <si>
    <t>maite@maiteciurana.com</t>
  </si>
  <si>
    <t>10795695R</t>
  </si>
  <si>
    <t>CIURANA</t>
  </si>
  <si>
    <t>CÓNYUGE</t>
  </si>
  <si>
    <t>0003</t>
  </si>
  <si>
    <t>julioggg@yahoo.es</t>
  </si>
  <si>
    <t xml:space="preserve">ASTURIAS </t>
  </si>
  <si>
    <t>11022109A</t>
  </si>
  <si>
    <t xml:space="preserve">JULIO </t>
  </si>
  <si>
    <t>txantxina@gmail.com</t>
  </si>
  <si>
    <t>53546412C</t>
  </si>
  <si>
    <t>0769</t>
  </si>
  <si>
    <t>ES05</t>
  </si>
  <si>
    <t>davbastik@gmail.com</t>
  </si>
  <si>
    <t>1E</t>
  </si>
  <si>
    <t>71702060C</t>
  </si>
  <si>
    <t>riumediu@gmail.com</t>
  </si>
  <si>
    <t>09361305Y</t>
  </si>
  <si>
    <t>CASTRO</t>
  </si>
  <si>
    <t>PEREDA</t>
  </si>
  <si>
    <t>AZUCENA</t>
  </si>
  <si>
    <t>0006093119</t>
  </si>
  <si>
    <t>ES85</t>
  </si>
  <si>
    <t>remivelasco@hotmail.com</t>
  </si>
  <si>
    <t>3º DCHA.</t>
  </si>
  <si>
    <t>SANZ CRESPO</t>
  </si>
  <si>
    <t>09366485B</t>
  </si>
  <si>
    <t>VELASCO</t>
  </si>
  <si>
    <t>FERNÁNDEZ</t>
  </si>
  <si>
    <t>REMIGIO</t>
  </si>
  <si>
    <t>71885576L</t>
  </si>
  <si>
    <t>0373</t>
  </si>
  <si>
    <t>15505525Y</t>
  </si>
  <si>
    <t>58435975J</t>
  </si>
  <si>
    <t>DNI</t>
  </si>
  <si>
    <t xml:space="preserve">BLOQUE 15 </t>
  </si>
  <si>
    <t>GRUPO 1500</t>
  </si>
  <si>
    <t>10811555Z</t>
  </si>
  <si>
    <t>CARAVIA</t>
  </si>
  <si>
    <t>VICTORERO</t>
  </si>
  <si>
    <t>53540045R</t>
  </si>
  <si>
    <t>10797719R</t>
  </si>
  <si>
    <t>58436927E</t>
  </si>
  <si>
    <t>0100</t>
  </si>
  <si>
    <t>olivermg@gmail.com</t>
  </si>
  <si>
    <t>3ºB</t>
  </si>
  <si>
    <t>53540044T</t>
  </si>
  <si>
    <t>jmag1000@gmail.com</t>
  </si>
  <si>
    <t>2º I</t>
  </si>
  <si>
    <t>SAN PAULINO</t>
  </si>
  <si>
    <t>53549078H</t>
  </si>
  <si>
    <t>JAIME</t>
  </si>
  <si>
    <t>ARROYO</t>
  </si>
  <si>
    <t>JACOBO@ZITRON.COM</t>
  </si>
  <si>
    <t>P05</t>
  </si>
  <si>
    <t>76952372F</t>
  </si>
  <si>
    <t>0271</t>
  </si>
  <si>
    <t>ES36</t>
  </si>
  <si>
    <t>mortizre@hotmail.com</t>
  </si>
  <si>
    <t>ESC2-3ºD</t>
  </si>
  <si>
    <t xml:space="preserve">FRANCISCO BANCES CANDAMO </t>
  </si>
  <si>
    <t xml:space="preserve">9363283Y </t>
  </si>
  <si>
    <t>REY</t>
  </si>
  <si>
    <t>ORTIZ</t>
  </si>
  <si>
    <t>MARTA</t>
  </si>
  <si>
    <t>0330151047</t>
  </si>
  <si>
    <t>ES78</t>
  </si>
  <si>
    <t>cortizrey@gmail.com</t>
  </si>
  <si>
    <t>5ºA</t>
  </si>
  <si>
    <t>MONTECERRAU</t>
  </si>
  <si>
    <t>9366355L</t>
  </si>
  <si>
    <t>CARMEN</t>
  </si>
  <si>
    <t>1465</t>
  </si>
  <si>
    <t>ES90</t>
  </si>
  <si>
    <t>eb1tk@eb1tk.com</t>
  </si>
  <si>
    <t>2C</t>
  </si>
  <si>
    <t>PABLO NERUDA</t>
  </si>
  <si>
    <t>71517680P</t>
  </si>
  <si>
    <t>GALBAN</t>
  </si>
  <si>
    <t>ARIAS</t>
  </si>
  <si>
    <t>BENITO</t>
  </si>
  <si>
    <t>09081489P</t>
  </si>
  <si>
    <t>0705</t>
  </si>
  <si>
    <t>nessanisha@gmail.com</t>
  </si>
  <si>
    <t>ISABEL</t>
  </si>
  <si>
    <t>0006</t>
  </si>
  <si>
    <t>ES67</t>
  </si>
  <si>
    <t>SALAS</t>
  </si>
  <si>
    <t>PRIERO</t>
  </si>
  <si>
    <t>PUEBLO</t>
  </si>
  <si>
    <t>CAMPO</t>
  </si>
  <si>
    <t>JOAQUIN</t>
  </si>
  <si>
    <t>ES32</t>
  </si>
  <si>
    <t>abelgironmartin@gmail.com</t>
  </si>
  <si>
    <t>MADRID</t>
  </si>
  <si>
    <t>1ºDCHA</t>
  </si>
  <si>
    <t>SACROMONTE</t>
  </si>
  <si>
    <t>02271649-P</t>
  </si>
  <si>
    <t>sarisf3@gmail.com</t>
  </si>
  <si>
    <t>1ºC</t>
  </si>
  <si>
    <t>71627940Y</t>
  </si>
  <si>
    <t>0189</t>
  </si>
  <si>
    <t>ES38</t>
  </si>
  <si>
    <t>algarper@hotmail.com</t>
  </si>
  <si>
    <t>4ºD</t>
  </si>
  <si>
    <t>FAMILIA TOLLOS</t>
  </si>
  <si>
    <t>PLAZA</t>
  </si>
  <si>
    <t>9409269S</t>
  </si>
  <si>
    <t>GARCÍA</t>
  </si>
  <si>
    <t>ALVARO</t>
  </si>
  <si>
    <t>0092</t>
  </si>
  <si>
    <t>ES24</t>
  </si>
  <si>
    <t>s_alvarez2001@hotmail.com</t>
  </si>
  <si>
    <t>4ºJ</t>
  </si>
  <si>
    <t>ALAVA</t>
  </si>
  <si>
    <t>11437169M</t>
  </si>
  <si>
    <t>SONIA</t>
  </si>
  <si>
    <t>0360</t>
  </si>
  <si>
    <t>ES40</t>
  </si>
  <si>
    <t>EVAMAR1985@GMAIL.COM</t>
  </si>
  <si>
    <t>1º A</t>
  </si>
  <si>
    <t>ANTONIO MAURA</t>
  </si>
  <si>
    <t>71664232G</t>
  </si>
  <si>
    <t>ALBA</t>
  </si>
  <si>
    <t>0201601546</t>
  </si>
  <si>
    <t>0681</t>
  </si>
  <si>
    <t>ASKDEMAC@GMAIL.COM</t>
  </si>
  <si>
    <t>4ºDCH</t>
  </si>
  <si>
    <t>LA TENDERINA ALTA</t>
  </si>
  <si>
    <t>72065905M</t>
  </si>
  <si>
    <t>ANGEL</t>
  </si>
  <si>
    <t xml:space="preserve">TITULAR </t>
  </si>
  <si>
    <t>71701350T</t>
  </si>
  <si>
    <t>ES42</t>
  </si>
  <si>
    <t>sadajcma@yahoo.es</t>
  </si>
  <si>
    <t>2ºC</t>
  </si>
  <si>
    <t>CARRETERA DE RUBIN</t>
  </si>
  <si>
    <t>11420374T</t>
  </si>
  <si>
    <t>SECADES</t>
  </si>
  <si>
    <t>ES31</t>
  </si>
  <si>
    <t>carmengemelos@telecable.es</t>
  </si>
  <si>
    <t>639 29 25 58</t>
  </si>
  <si>
    <t>NUEVA,  LLANES</t>
  </si>
  <si>
    <t>RIENSENA</t>
  </si>
  <si>
    <t>(LOCALIDAD)</t>
  </si>
  <si>
    <t>9399703V</t>
  </si>
  <si>
    <t>RUISANCHEZ</t>
  </si>
  <si>
    <t>0106</t>
  </si>
  <si>
    <t>rasidri@hotmail.com</t>
  </si>
  <si>
    <t>1ºB</t>
  </si>
  <si>
    <t>MAR CANTABRICO</t>
  </si>
  <si>
    <t>AVENIDA</t>
  </si>
  <si>
    <t>53540850R</t>
  </si>
  <si>
    <t>ROJO</t>
  </si>
  <si>
    <t>MENÉNDEZ</t>
  </si>
  <si>
    <t>RAQUEL</t>
  </si>
  <si>
    <t>3ºDCHA</t>
  </si>
  <si>
    <t>ARZOBISPO LAUZURICA</t>
  </si>
  <si>
    <t>9414719Z</t>
  </si>
  <si>
    <t>montserratdecardenas@gmail.com</t>
  </si>
  <si>
    <t>3A</t>
  </si>
  <si>
    <t>CASTILLA</t>
  </si>
  <si>
    <t>10805156D</t>
  </si>
  <si>
    <t>MONTSERRAT</t>
  </si>
  <si>
    <t>0600294495</t>
  </si>
  <si>
    <t>0752</t>
  </si>
  <si>
    <t>soy_joseba@telecable.es</t>
  </si>
  <si>
    <t>1A</t>
  </si>
  <si>
    <t>PUERTO VALLARTA</t>
  </si>
  <si>
    <t>53533040B</t>
  </si>
  <si>
    <t>11075890X</t>
  </si>
  <si>
    <t>FARPÓN</t>
  </si>
  <si>
    <t>LIDIA</t>
  </si>
  <si>
    <t>0031</t>
  </si>
  <si>
    <t>ES11</t>
  </si>
  <si>
    <t>fbarrospalacios@gmail.com</t>
  </si>
  <si>
    <t>POLA DE LENA</t>
  </si>
  <si>
    <t>SANTA CRISTINA</t>
  </si>
  <si>
    <t>PALACIOS</t>
  </si>
  <si>
    <t>BARROS</t>
  </si>
  <si>
    <t>FRANCISCO JOSÉ</t>
  </si>
  <si>
    <t>ES68</t>
  </si>
  <si>
    <t>bricia1977@gmail.com</t>
  </si>
  <si>
    <t>2 D</t>
  </si>
  <si>
    <t>20480401M</t>
  </si>
  <si>
    <t>SORIANO</t>
  </si>
  <si>
    <t>VALLE</t>
  </si>
  <si>
    <t>ALEJANDRO</t>
  </si>
  <si>
    <t>73383647P</t>
  </si>
  <si>
    <t>AGUILAR</t>
  </si>
  <si>
    <t>ANTONIO</t>
  </si>
  <si>
    <t>0100087632</t>
  </si>
  <si>
    <t>ES47</t>
  </si>
  <si>
    <t>laasturiana37@hotmail.com</t>
  </si>
  <si>
    <t>5ºE</t>
  </si>
  <si>
    <t>JUANIN DE MIERES</t>
  </si>
  <si>
    <t>10857676C</t>
  </si>
  <si>
    <t>10903564T</t>
  </si>
  <si>
    <t>10826637P</t>
  </si>
  <si>
    <t>0142</t>
  </si>
  <si>
    <t>ES86</t>
  </si>
  <si>
    <t>12ºB</t>
  </si>
  <si>
    <t>71594645S</t>
  </si>
  <si>
    <t>0201689878</t>
  </si>
  <si>
    <t>susu152@hotmail.es</t>
  </si>
  <si>
    <t>09809366G</t>
  </si>
  <si>
    <t>albuux@gmail.com</t>
  </si>
  <si>
    <t>53528302B</t>
  </si>
  <si>
    <t xml:space="preserve">ALBA </t>
  </si>
  <si>
    <t>xurdesierra@gmail.com</t>
  </si>
  <si>
    <t>VILLAVICIOSA</t>
  </si>
  <si>
    <t>PEON</t>
  </si>
  <si>
    <t>FONFRIA</t>
  </si>
  <si>
    <t>BARRIO</t>
  </si>
  <si>
    <t>10900577A</t>
  </si>
  <si>
    <t>BORBOLLA</t>
  </si>
  <si>
    <t>SIERRA</t>
  </si>
  <si>
    <t>JORGE</t>
  </si>
  <si>
    <t>ad.cadierno@gmail.com</t>
  </si>
  <si>
    <t>10832926H</t>
  </si>
  <si>
    <t>gabrielacadiernoflorez@hotmail.com</t>
  </si>
  <si>
    <t>09382294L</t>
  </si>
  <si>
    <t>76962633X</t>
  </si>
  <si>
    <t>MARCOS</t>
  </si>
  <si>
    <t>09425388B</t>
  </si>
  <si>
    <t>ROSA</t>
  </si>
  <si>
    <t>0051</t>
  </si>
  <si>
    <t>ES74</t>
  </si>
  <si>
    <t>MARMARF2@GMAIL.COM</t>
  </si>
  <si>
    <t>4ºA</t>
  </si>
  <si>
    <t xml:space="preserve">DE LA FLORIDA </t>
  </si>
  <si>
    <t>PASEO</t>
  </si>
  <si>
    <t>09429950L</t>
  </si>
  <si>
    <t>0100137009</t>
  </si>
  <si>
    <t>jmvcoke@hotmail.com</t>
  </si>
  <si>
    <t>6ª P6</t>
  </si>
  <si>
    <t>71692121V</t>
  </si>
  <si>
    <t>ANIA</t>
  </si>
  <si>
    <t>10763646Z</t>
  </si>
  <si>
    <t xml:space="preserve">ANDRES </t>
  </si>
  <si>
    <t>CARLOS</t>
  </si>
  <si>
    <t>0201559627</t>
  </si>
  <si>
    <t>carlosastur11@gmail.com</t>
  </si>
  <si>
    <t>4ºB</t>
  </si>
  <si>
    <t>MARQUES DE URQUIJO</t>
  </si>
  <si>
    <t>53536737M</t>
  </si>
  <si>
    <t>ANDRES</t>
  </si>
  <si>
    <t>76959478 Y</t>
  </si>
  <si>
    <t>9711115D</t>
  </si>
  <si>
    <t>ES18</t>
  </si>
  <si>
    <t>marisaferval@gmail.com</t>
  </si>
  <si>
    <t>1º B</t>
  </si>
  <si>
    <t>10545709W</t>
  </si>
  <si>
    <t>0330</t>
  </si>
  <si>
    <t>ES23</t>
  </si>
  <si>
    <t>nayarams1987@gmail.com</t>
  </si>
  <si>
    <t>58432903T</t>
  </si>
  <si>
    <t>PENDAS</t>
  </si>
  <si>
    <t>RIESGO</t>
  </si>
  <si>
    <t>DANA</t>
  </si>
  <si>
    <t>patriciapenmar@hotmail.es</t>
  </si>
  <si>
    <t>10885859M</t>
  </si>
  <si>
    <t>PATRICIA</t>
  </si>
  <si>
    <t>0387271273</t>
  </si>
  <si>
    <t>0030</t>
  </si>
  <si>
    <t>ES57</t>
  </si>
  <si>
    <t>2ºA</t>
  </si>
  <si>
    <t>PANADES</t>
  </si>
  <si>
    <t>10892023M</t>
  </si>
  <si>
    <t>DELFIN</t>
  </si>
  <si>
    <t>11316563B</t>
  </si>
  <si>
    <t>0007510960</t>
  </si>
  <si>
    <t>ES43</t>
  </si>
  <si>
    <t>3º F</t>
  </si>
  <si>
    <t>11316542J</t>
  </si>
  <si>
    <t>ES28</t>
  </si>
  <si>
    <t>11349800J</t>
  </si>
  <si>
    <t>0096</t>
  </si>
  <si>
    <t>ES46</t>
  </si>
  <si>
    <t>javima666@gmail.com</t>
  </si>
  <si>
    <t>10876142V</t>
  </si>
  <si>
    <t>LORENZO</t>
  </si>
  <si>
    <t>10900827T</t>
  </si>
  <si>
    <t>ALONSO</t>
  </si>
  <si>
    <t>JAVIER</t>
  </si>
  <si>
    <t>lmr4765@icaoviedo.es</t>
  </si>
  <si>
    <t>3ºA</t>
  </si>
  <si>
    <t>ALBÉNIZ</t>
  </si>
  <si>
    <t>9439300P</t>
  </si>
  <si>
    <t>RODRÍGUEZ</t>
  </si>
  <si>
    <t>LAURA ESPERANZA</t>
  </si>
  <si>
    <t>0077</t>
  </si>
  <si>
    <t>ES55</t>
  </si>
  <si>
    <t>2ºB</t>
  </si>
  <si>
    <t>10468899N</t>
  </si>
  <si>
    <t>SUÁREZ</t>
  </si>
  <si>
    <t>JUAN JESÚS</t>
  </si>
  <si>
    <t>0330276607</t>
  </si>
  <si>
    <t>06</t>
  </si>
  <si>
    <t>covitin@hotmail.com</t>
  </si>
  <si>
    <t>9412172C</t>
  </si>
  <si>
    <t>COVADONGA</t>
  </si>
  <si>
    <t>anahdezayf@hotmail.com</t>
  </si>
  <si>
    <t>10905206D</t>
  </si>
  <si>
    <t>ES56</t>
  </si>
  <si>
    <t>noemide6@gmail.com</t>
  </si>
  <si>
    <t>1 C</t>
  </si>
  <si>
    <t>53537322S</t>
  </si>
  <si>
    <t>0028</t>
  </si>
  <si>
    <t>ES64</t>
  </si>
  <si>
    <t>aspimel@gmail.com</t>
  </si>
  <si>
    <t>10806574R</t>
  </si>
  <si>
    <t>0006418548</t>
  </si>
  <si>
    <t>nofertra@hotmail.com</t>
  </si>
  <si>
    <t>5ºD</t>
  </si>
  <si>
    <t>AMPURDAN</t>
  </si>
  <si>
    <t>CL</t>
  </si>
  <si>
    <t>TRABANCO</t>
  </si>
  <si>
    <t>ES33</t>
  </si>
  <si>
    <t>adrialorda@yahoo.es</t>
  </si>
  <si>
    <t>10ºP</t>
  </si>
  <si>
    <t>JUAN CARLOS I</t>
  </si>
  <si>
    <t>AVDA</t>
  </si>
  <si>
    <t>10821803G</t>
  </si>
  <si>
    <t>0001379845</t>
  </si>
  <si>
    <t>ES02</t>
  </si>
  <si>
    <t>71849510V</t>
  </si>
  <si>
    <t>VILLADEMOROS</t>
  </si>
  <si>
    <t xml:space="preserve">MARIO </t>
  </si>
  <si>
    <t>ROSALIA DE CASTRO</t>
  </si>
  <si>
    <t>10563894V</t>
  </si>
  <si>
    <t>10580042L</t>
  </si>
  <si>
    <t xml:space="preserve">LORDA </t>
  </si>
  <si>
    <t>MERES(SIERO)</t>
  </si>
  <si>
    <t>11B</t>
  </si>
  <si>
    <t>SAN JUAN DEL OBISPO</t>
  </si>
  <si>
    <t>10806440M</t>
  </si>
  <si>
    <t xml:space="preserve">JORGE LUIS </t>
  </si>
  <si>
    <t>BELLO</t>
  </si>
  <si>
    <t>crisbellod@hotmail.com</t>
  </si>
  <si>
    <t>44426522K</t>
  </si>
  <si>
    <t>CRISTINA</t>
  </si>
  <si>
    <t>0001061511</t>
  </si>
  <si>
    <t>00</t>
  </si>
  <si>
    <t>ES04</t>
  </si>
  <si>
    <t>franggarci@hotmail.com</t>
  </si>
  <si>
    <t>3ºF</t>
  </si>
  <si>
    <t>JOSE REMIS OVALLE</t>
  </si>
  <si>
    <t>71503106Q</t>
  </si>
  <si>
    <t>FRANCISCO</t>
  </si>
  <si>
    <t>mercevak@telecable.es</t>
  </si>
  <si>
    <t>0001006704</t>
  </si>
  <si>
    <t>ES79</t>
  </si>
  <si>
    <t>lozoyamx@gmail.com</t>
  </si>
  <si>
    <t>C/</t>
  </si>
  <si>
    <t>lavoisin1973@gmail.com</t>
  </si>
  <si>
    <t>10885354Y</t>
  </si>
  <si>
    <t>ES37</t>
  </si>
  <si>
    <t>anamalnero1969@gmail.com</t>
  </si>
  <si>
    <t>10867887L</t>
  </si>
  <si>
    <t>0100195469</t>
  </si>
  <si>
    <t>sofiaprado85@gmail.com</t>
  </si>
  <si>
    <t>1º IZDA</t>
  </si>
  <si>
    <t>RUTA DEL ALBA</t>
  </si>
  <si>
    <t>10576839J</t>
  </si>
  <si>
    <t>PRESA</t>
  </si>
  <si>
    <t>COCAÑA</t>
  </si>
  <si>
    <t>AMELIA</t>
  </si>
  <si>
    <t>0117</t>
  </si>
  <si>
    <t>ES20</t>
  </si>
  <si>
    <t>hector.eradio@gmail.com</t>
  </si>
  <si>
    <t>4-C</t>
  </si>
  <si>
    <t>10891588F</t>
  </si>
  <si>
    <t>0134</t>
  </si>
  <si>
    <t>ES66</t>
  </si>
  <si>
    <t>santiagodlobo@gmail.com</t>
  </si>
  <si>
    <t>6ºB</t>
  </si>
  <si>
    <t xml:space="preserve">SANTA JUSTA </t>
  </si>
  <si>
    <t xml:space="preserve">CALLE </t>
  </si>
  <si>
    <t>71764557A</t>
  </si>
  <si>
    <t xml:space="preserve">LOBO </t>
  </si>
  <si>
    <t xml:space="preserve">SANTIAGO </t>
  </si>
  <si>
    <t>0003042271</t>
  </si>
  <si>
    <t>jjalarra@yahoo.es</t>
  </si>
  <si>
    <t>4º A</t>
  </si>
  <si>
    <t>09404523F</t>
  </si>
  <si>
    <t>ES21</t>
  </si>
  <si>
    <t>ignacioriverofdez@gmail.com</t>
  </si>
  <si>
    <t>1ºH</t>
  </si>
  <si>
    <t>09779352M</t>
  </si>
  <si>
    <t>10864430N</t>
  </si>
  <si>
    <t>GLEZ</t>
  </si>
  <si>
    <t xml:space="preserve">CARMEN </t>
  </si>
  <si>
    <t>0200044654</t>
  </si>
  <si>
    <t>anmoben@yahoo.es</t>
  </si>
  <si>
    <t>13-8B</t>
  </si>
  <si>
    <t>HNOS.FELGUEROSO</t>
  </si>
  <si>
    <t>AV</t>
  </si>
  <si>
    <t>10841506 L</t>
  </si>
  <si>
    <t>MONASTERIO</t>
  </si>
  <si>
    <t>0201536818</t>
  </si>
  <si>
    <t>5G</t>
  </si>
  <si>
    <t>71624651Y</t>
  </si>
  <si>
    <t>0700015863</t>
  </si>
  <si>
    <t>0498</t>
  </si>
  <si>
    <t>0075</t>
  </si>
  <si>
    <t>mmrionda@gmail.com</t>
  </si>
  <si>
    <t>5º -D</t>
  </si>
  <si>
    <t>10809058R</t>
  </si>
  <si>
    <t>PRADA</t>
  </si>
  <si>
    <t xml:space="preserve">ESCANDÓN </t>
  </si>
  <si>
    <t>VÍCTOR</t>
  </si>
  <si>
    <t>ES80</t>
  </si>
  <si>
    <t>lugijon@hotmail.com</t>
  </si>
  <si>
    <t>4ºI</t>
  </si>
  <si>
    <t>ROCES</t>
  </si>
  <si>
    <t>53543369J</t>
  </si>
  <si>
    <t>DÍAZ</t>
  </si>
  <si>
    <t>LUCÍA</t>
  </si>
  <si>
    <t>0006033014</t>
  </si>
  <si>
    <t>ES26</t>
  </si>
  <si>
    <t>elefdezblanco@gmail.com</t>
  </si>
  <si>
    <t>2D</t>
  </si>
  <si>
    <t>RIO EO</t>
  </si>
  <si>
    <t>53537857K</t>
  </si>
  <si>
    <t>BLANCO</t>
  </si>
  <si>
    <t>ELENA</t>
  </si>
  <si>
    <t>0019</t>
  </si>
  <si>
    <t>3 IZDA</t>
  </si>
  <si>
    <t>LIMA</t>
  </si>
  <si>
    <t>REDONDO</t>
  </si>
  <si>
    <t xml:space="preserve">BLANCO </t>
  </si>
  <si>
    <t>mabarbes@gmail.com</t>
  </si>
  <si>
    <t>53546458C</t>
  </si>
  <si>
    <t xml:space="preserve">NIF </t>
  </si>
  <si>
    <t>BARBES</t>
  </si>
  <si>
    <t>MIGUEL ANGEL</t>
  </si>
  <si>
    <t>0727</t>
  </si>
  <si>
    <t>laurafuego@gmail.com</t>
  </si>
  <si>
    <t>11ºC</t>
  </si>
  <si>
    <t xml:space="preserve">EZCURDIA </t>
  </si>
  <si>
    <t>53551160F</t>
  </si>
  <si>
    <t>SAN FRANCISCO</t>
  </si>
  <si>
    <t>FUEGO</t>
  </si>
  <si>
    <t>LAURA</t>
  </si>
  <si>
    <t xml:space="preserve">VALLINA </t>
  </si>
  <si>
    <t>MATEO</t>
  </si>
  <si>
    <t>rosana@zitron.com</t>
  </si>
  <si>
    <t>76951619J</t>
  </si>
  <si>
    <t>ROSANA</t>
  </si>
  <si>
    <t>enrique@zitron.com</t>
  </si>
  <si>
    <t>10899776F</t>
  </si>
  <si>
    <t>lucia.fdez.palacios@gmail.com</t>
  </si>
  <si>
    <t>53646876C</t>
  </si>
  <si>
    <t>ivelasco@zitron.com</t>
  </si>
  <si>
    <t>6º  I</t>
  </si>
  <si>
    <t>CAVEDA</t>
  </si>
  <si>
    <t>71625683A</t>
  </si>
  <si>
    <t>IGNACIO</t>
  </si>
  <si>
    <t>58483188F</t>
  </si>
  <si>
    <t>58455214R</t>
  </si>
  <si>
    <t>jcoterojr@gmail.com</t>
  </si>
  <si>
    <t>10895200P</t>
  </si>
  <si>
    <t>LOZOYA</t>
  </si>
  <si>
    <t>58470707S</t>
  </si>
  <si>
    <t>DANIEL</t>
  </si>
  <si>
    <t>58445623R</t>
  </si>
  <si>
    <t>SARA</t>
  </si>
  <si>
    <t>begomarsu@gmail.com</t>
  </si>
  <si>
    <t>DEVA</t>
  </si>
  <si>
    <t>POZOS DE LA ARENA, 188 , DEVA</t>
  </si>
  <si>
    <t>CRTA.</t>
  </si>
  <si>
    <t>10892763D</t>
  </si>
  <si>
    <t>BEGOÑA</t>
  </si>
  <si>
    <t>TRODD</t>
  </si>
  <si>
    <t>COLEMAN</t>
  </si>
  <si>
    <t>JOSHUA</t>
  </si>
  <si>
    <t>BEN</t>
  </si>
  <si>
    <t>OUASSIM@ZITRON.COM</t>
  </si>
  <si>
    <t>CENTRO 5C</t>
  </si>
  <si>
    <t>X2925410V</t>
  </si>
  <si>
    <t>NIE</t>
  </si>
  <si>
    <t>KHEYYALI</t>
  </si>
  <si>
    <t>OUASSIM</t>
  </si>
  <si>
    <t>54305655X</t>
  </si>
  <si>
    <t>ASIER</t>
  </si>
  <si>
    <t>POLA DE SIERO</t>
  </si>
  <si>
    <t>PORTAL 5 BAJO A</t>
  </si>
  <si>
    <t>RIO ESVA</t>
  </si>
  <si>
    <t>53506418T</t>
  </si>
  <si>
    <t>LORDA</t>
  </si>
  <si>
    <t>ADRIAN</t>
  </si>
  <si>
    <t>fernando.vallina@ingemas.com</t>
  </si>
  <si>
    <t>76948964A</t>
  </si>
  <si>
    <t>VALLINA</t>
  </si>
  <si>
    <t>FERNANDO</t>
  </si>
  <si>
    <t>nacho.choss@gmail.com</t>
  </si>
  <si>
    <t>32886393G</t>
  </si>
  <si>
    <t>vktilley33@gmail.com</t>
  </si>
  <si>
    <t>X8330031Y</t>
  </si>
  <si>
    <t>justosuar@gmail.com</t>
  </si>
  <si>
    <t>09388805K</t>
  </si>
  <si>
    <t>Jennyx_@hotmail.com</t>
  </si>
  <si>
    <t>09815544X</t>
  </si>
  <si>
    <t>alonscand@gmail.com</t>
  </si>
  <si>
    <t>09813820L</t>
  </si>
  <si>
    <t>adrian.mencor@gmail.com</t>
  </si>
  <si>
    <t>3ºD</t>
  </si>
  <si>
    <t>JAPON</t>
  </si>
  <si>
    <t>53535124W</t>
  </si>
  <si>
    <t>CORTINA</t>
  </si>
  <si>
    <t>diego_patallo@icloud.com</t>
  </si>
  <si>
    <t>53648097E</t>
  </si>
  <si>
    <t>DIEGO</t>
  </si>
  <si>
    <t xml:space="preserve">MORAIS SARMENTO </t>
  </si>
  <si>
    <t>INÊS</t>
  </si>
  <si>
    <t>luciaescandon@gmail.com</t>
  </si>
  <si>
    <t>4L</t>
  </si>
  <si>
    <t>MARGARITA SALAS</t>
  </si>
  <si>
    <t>53554253H</t>
  </si>
  <si>
    <t>NOSTI</t>
  </si>
  <si>
    <t>icamadureira@gmail.com</t>
  </si>
  <si>
    <t>Y2362420N</t>
  </si>
  <si>
    <t>XAVIER MADUREIRA</t>
  </si>
  <si>
    <t xml:space="preserve">ANTONIO </t>
  </si>
  <si>
    <t>X9725309N</t>
  </si>
  <si>
    <t>REBECCA</t>
  </si>
  <si>
    <t>rosa.palacios27@gmail.com</t>
  </si>
  <si>
    <t>09363946W</t>
  </si>
  <si>
    <t>ROTELLA</t>
  </si>
  <si>
    <t>53549948Z</t>
  </si>
  <si>
    <t>davurraca@hotmail.com</t>
  </si>
  <si>
    <t>71700924B</t>
  </si>
  <si>
    <t>isaacvicu@gmail.com</t>
  </si>
  <si>
    <t>3º</t>
  </si>
  <si>
    <t>53532124S</t>
  </si>
  <si>
    <t>ylzteleco@gmail.com</t>
  </si>
  <si>
    <t>X-1997427S</t>
  </si>
  <si>
    <t>8G</t>
  </si>
  <si>
    <t>53780479Q</t>
  </si>
  <si>
    <t>53549079L</t>
  </si>
  <si>
    <t>ALAN</t>
  </si>
  <si>
    <t>10814734L</t>
  </si>
  <si>
    <t>PANTN</t>
  </si>
  <si>
    <t>10802737M</t>
  </si>
  <si>
    <t>GALAN</t>
  </si>
  <si>
    <t>JULIO  MANUEL</t>
  </si>
  <si>
    <t>luis.otero.fernandez@gmail.com</t>
  </si>
  <si>
    <t>1º C</t>
  </si>
  <si>
    <t>27 C</t>
  </si>
  <si>
    <t>alevalli@hotmail.es</t>
  </si>
  <si>
    <t>4ºO</t>
  </si>
  <si>
    <t>76946299Y</t>
  </si>
  <si>
    <t>rafamdez123@gmail.com</t>
  </si>
  <si>
    <t>9365177Z</t>
  </si>
  <si>
    <t xml:space="preserve">RAFAEL </t>
  </si>
  <si>
    <t>davidyatusabes84@gmail.com</t>
  </si>
  <si>
    <t>DE MOREDA</t>
  </si>
  <si>
    <t>53529145A</t>
  </si>
  <si>
    <t>CUETO</t>
  </si>
  <si>
    <t>DAVID</t>
  </si>
  <si>
    <t>09409448X</t>
  </si>
  <si>
    <t>7º D</t>
  </si>
  <si>
    <t>09422854F</t>
  </si>
  <si>
    <t>53550893Q</t>
  </si>
  <si>
    <t>adolfo.trabanco@gmail.com</t>
  </si>
  <si>
    <t>SIERO</t>
  </si>
  <si>
    <t>7D</t>
  </si>
  <si>
    <t>POLADURA</t>
  </si>
  <si>
    <t>53534858N</t>
  </si>
  <si>
    <t>ADOLFO ANTONIO</t>
  </si>
  <si>
    <t>53527580W</t>
  </si>
  <si>
    <t xml:space="preserve">AINHOA </t>
  </si>
  <si>
    <t>53775938Y</t>
  </si>
  <si>
    <t>parajonenrique@gmail.com</t>
  </si>
  <si>
    <t>10820609Y</t>
  </si>
  <si>
    <t>53547246A</t>
  </si>
  <si>
    <t>PRADO</t>
  </si>
  <si>
    <t>SOFIA</t>
  </si>
  <si>
    <t>10806672F</t>
  </si>
  <si>
    <t>PANDO</t>
  </si>
  <si>
    <t>CIMADEVILLA Nº 160 QUINTES</t>
  </si>
  <si>
    <t>10803336Y</t>
  </si>
  <si>
    <t>FOMBONA</t>
  </si>
  <si>
    <t>iperezverde@gmail.com</t>
  </si>
  <si>
    <t>35573863Q</t>
  </si>
  <si>
    <t>VERDE</t>
  </si>
  <si>
    <t xml:space="preserve">ISABEL </t>
  </si>
  <si>
    <t>javierpuertas82@gmail.com</t>
  </si>
  <si>
    <t>3C</t>
  </si>
  <si>
    <t>FEIJOO</t>
  </si>
  <si>
    <t>53547531N</t>
  </si>
  <si>
    <t>53526225G</t>
  </si>
  <si>
    <t>SANTOS</t>
  </si>
  <si>
    <t>SEILA</t>
  </si>
  <si>
    <t>marcofabiobarbon@gmail.com</t>
  </si>
  <si>
    <t>1º DERECHA</t>
  </si>
  <si>
    <t>ALCARRIA</t>
  </si>
  <si>
    <t>10902897T</t>
  </si>
  <si>
    <t>ÁLVAREZ</t>
  </si>
  <si>
    <t>BARBÓN</t>
  </si>
  <si>
    <t>MARCO FABIO</t>
  </si>
  <si>
    <t>10799785C</t>
  </si>
  <si>
    <t>SANTAMARINA</t>
  </si>
  <si>
    <t>CARBAJALES</t>
  </si>
  <si>
    <t>jlfombona@gmail.com</t>
  </si>
  <si>
    <t>MARCELINO GONZALEZ</t>
  </si>
  <si>
    <t>10795752N</t>
  </si>
  <si>
    <t>JUAN LUIS</t>
  </si>
  <si>
    <t>jongarcar@gmail.com</t>
  </si>
  <si>
    <t>2ºD</t>
  </si>
  <si>
    <t>10877574T</t>
  </si>
  <si>
    <t>JONATHAN</t>
  </si>
  <si>
    <t>53783899D</t>
  </si>
  <si>
    <t>RABANAL</t>
  </si>
  <si>
    <t>CADRECHA</t>
  </si>
  <si>
    <t>CLAUDIA</t>
  </si>
  <si>
    <t>10864228V</t>
  </si>
  <si>
    <t>ARGÜELLES</t>
  </si>
  <si>
    <t>IRENE</t>
  </si>
  <si>
    <t>cadrecha@gmail.com</t>
  </si>
  <si>
    <t>6ºDCHA - ESC. IZQDA.</t>
  </si>
  <si>
    <t>VIZCAINA</t>
  </si>
  <si>
    <t>CTRA.</t>
  </si>
  <si>
    <t>10881726N</t>
  </si>
  <si>
    <t>oleg.fonov@gmail.com</t>
  </si>
  <si>
    <t>X7576874F</t>
  </si>
  <si>
    <t>FONOV</t>
  </si>
  <si>
    <t>OLEG</t>
  </si>
  <si>
    <t>caliblancos@gmail.com</t>
  </si>
  <si>
    <t>2B</t>
  </si>
  <si>
    <t>09804851C</t>
  </si>
  <si>
    <t>58455213T</t>
  </si>
  <si>
    <t>53535641J</t>
  </si>
  <si>
    <t>53538078N</t>
  </si>
  <si>
    <t>VACAS</t>
  </si>
  <si>
    <t>MONICA</t>
  </si>
  <si>
    <t>SEPA</t>
  </si>
  <si>
    <t>ZITRON</t>
  </si>
  <si>
    <t>S</t>
  </si>
  <si>
    <t>1B</t>
  </si>
  <si>
    <t>1C</t>
  </si>
  <si>
    <t>2A</t>
  </si>
  <si>
    <t>MONTESERIN</t>
  </si>
  <si>
    <t>11082417M</t>
  </si>
  <si>
    <t>AVDA.</t>
  </si>
  <si>
    <t>DE LA COSTA</t>
  </si>
  <si>
    <t>9º IZQDA.</t>
  </si>
  <si>
    <t>evagmonteserin@gmail.com</t>
  </si>
  <si>
    <t>0136</t>
  </si>
  <si>
    <t>DANIELA</t>
  </si>
  <si>
    <t>58445027A</t>
  </si>
  <si>
    <t>alan@zitron.com</t>
  </si>
  <si>
    <t>martin.doha@zitron.com</t>
  </si>
  <si>
    <t>1D</t>
  </si>
  <si>
    <t>2E</t>
  </si>
  <si>
    <t>3B</t>
  </si>
  <si>
    <t>43663412M</t>
  </si>
  <si>
    <t>4B</t>
  </si>
  <si>
    <t>4A</t>
  </si>
  <si>
    <t>5A</t>
  </si>
  <si>
    <t>5B</t>
  </si>
  <si>
    <t>5C</t>
  </si>
  <si>
    <t>6A</t>
  </si>
  <si>
    <t>7A</t>
  </si>
  <si>
    <t>7B</t>
  </si>
  <si>
    <t>8A</t>
  </si>
  <si>
    <t>8B</t>
  </si>
  <si>
    <t>9A</t>
  </si>
  <si>
    <t>10A</t>
  </si>
  <si>
    <t>11A</t>
  </si>
  <si>
    <t>12A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</si>
  <si>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</si>
  <si>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</si>
  <si>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</si>
  <si>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</si>
  <si>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</si>
  <si>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</si>
  <si>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</si>
  <si>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</si>
  <si>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</si>
  <si>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</si>
  <si>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</si>
  <si>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</si>
  <si>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</si>
  <si>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18A</t>
  </si>
  <si>
    <t>18B</t>
  </si>
  <si>
    <t>18C</t>
  </si>
  <si>
    <t>19A</t>
  </si>
  <si>
    <t>20A</t>
  </si>
  <si>
    <t>20B</t>
  </si>
  <si>
    <t>21A</t>
  </si>
  <si>
    <t>21B</t>
  </si>
  <si>
    <t>22A</t>
  </si>
  <si>
    <t>ouazzani@zitron.com</t>
  </si>
  <si>
    <t>23A</t>
  </si>
  <si>
    <t>24A</t>
  </si>
  <si>
    <t>25A</t>
  </si>
  <si>
    <t>26A</t>
  </si>
  <si>
    <t>27A</t>
  </si>
  <si>
    <t>27B</t>
  </si>
  <si>
    <t>29A</t>
  </si>
  <si>
    <t>29B</t>
  </si>
  <si>
    <t>29C</t>
  </si>
  <si>
    <t>30A</t>
  </si>
  <si>
    <t>30B</t>
  </si>
  <si>
    <t>30C</t>
  </si>
  <si>
    <t>30D</t>
  </si>
  <si>
    <t>M</t>
  </si>
  <si>
    <t>31A</t>
  </si>
  <si>
    <t>31B</t>
  </si>
  <si>
    <t>31C</t>
  </si>
  <si>
    <t>32A</t>
  </si>
  <si>
    <t>33A</t>
  </si>
  <si>
    <t>34A</t>
  </si>
  <si>
    <t>34B</t>
  </si>
  <si>
    <t>34C</t>
  </si>
  <si>
    <t>35A</t>
  </si>
  <si>
    <t>36A</t>
  </si>
  <si>
    <t>36B</t>
  </si>
  <si>
    <t>37B</t>
  </si>
  <si>
    <t>37A</t>
  </si>
  <si>
    <t>37C</t>
  </si>
  <si>
    <t>38A</t>
  </si>
  <si>
    <t>38B</t>
  </si>
  <si>
    <t>FLOR</t>
  </si>
  <si>
    <t>71655521X</t>
  </si>
  <si>
    <t>H</t>
  </si>
  <si>
    <t>GIL BLAS</t>
  </si>
  <si>
    <t>JORGE.FLORBLANCO@GMAIL.COM</t>
  </si>
  <si>
    <t>MÉNDEZ-LAIZ</t>
  </si>
  <si>
    <t>PENDÁS</t>
  </si>
  <si>
    <t>71651423Y</t>
  </si>
  <si>
    <t>ire.laiz@gmail.com</t>
  </si>
  <si>
    <t>39A</t>
  </si>
  <si>
    <t>39B</t>
  </si>
  <si>
    <t>BERNARDO</t>
  </si>
  <si>
    <t>DEL FUEYO</t>
  </si>
  <si>
    <t>10901389X</t>
  </si>
  <si>
    <t>ORAN</t>
  </si>
  <si>
    <t>3º J</t>
  </si>
  <si>
    <t>bernar2009@hotmail.es</t>
  </si>
  <si>
    <t>40A</t>
  </si>
  <si>
    <t xml:space="preserve">CAMACHO </t>
  </si>
  <si>
    <t>CABANILLAS</t>
  </si>
  <si>
    <t>02285218F</t>
  </si>
  <si>
    <t>TORDELILLOS</t>
  </si>
  <si>
    <t>DCAMACHO@ZITRON.COM</t>
  </si>
  <si>
    <t>41A</t>
  </si>
  <si>
    <t>42A</t>
  </si>
  <si>
    <t>42B</t>
  </si>
  <si>
    <t>martafer3107@gmail.com</t>
  </si>
  <si>
    <t>43A</t>
  </si>
  <si>
    <t>43B</t>
  </si>
  <si>
    <t>44A</t>
  </si>
  <si>
    <t>45A</t>
  </si>
  <si>
    <t>46A</t>
  </si>
  <si>
    <t>46B</t>
  </si>
  <si>
    <t>47A</t>
  </si>
  <si>
    <t>47B</t>
  </si>
  <si>
    <t>48A</t>
  </si>
  <si>
    <t>49A</t>
  </si>
  <si>
    <t>49B</t>
  </si>
  <si>
    <t>50A</t>
  </si>
  <si>
    <t>51A</t>
  </si>
  <si>
    <t>52A</t>
  </si>
  <si>
    <t>53A</t>
  </si>
  <si>
    <t>54A</t>
  </si>
  <si>
    <t>55A</t>
  </si>
  <si>
    <t>55B</t>
  </si>
  <si>
    <t>56A</t>
  </si>
  <si>
    <t>56B</t>
  </si>
  <si>
    <t>57A</t>
  </si>
  <si>
    <t>57B</t>
  </si>
  <si>
    <t>57C</t>
  </si>
  <si>
    <t>58A</t>
  </si>
  <si>
    <t>58B</t>
  </si>
  <si>
    <t>59A</t>
  </si>
  <si>
    <t>59B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</si>
  <si>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</si>
  <si>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</si>
  <si>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</si>
  <si>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</si>
  <si>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</si>
  <si>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</si>
  <si>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</si>
  <si>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</si>
  <si>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</si>
  <si>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68B</t>
  </si>
  <si>
    <t>98A</t>
  </si>
  <si>
    <t>69A</t>
  </si>
  <si>
    <t>70A</t>
  </si>
  <si>
    <t>70B</t>
  </si>
  <si>
    <t>53529456S</t>
  </si>
  <si>
    <t>N</t>
  </si>
  <si>
    <t>S16</t>
  </si>
  <si>
    <t>ZITRON JUB</t>
  </si>
  <si>
    <t>S14</t>
  </si>
  <si>
    <t>S2</t>
  </si>
  <si>
    <t>25B</t>
  </si>
  <si>
    <t>25C</t>
  </si>
  <si>
    <t>S6</t>
  </si>
  <si>
    <t>71A</t>
  </si>
  <si>
    <t>71B</t>
  </si>
  <si>
    <t>28A</t>
  </si>
  <si>
    <t>71C</t>
  </si>
  <si>
    <t>72A</t>
  </si>
  <si>
    <t>73A</t>
  </si>
  <si>
    <t>73B</t>
  </si>
  <si>
    <t>73C</t>
  </si>
  <si>
    <t>74A</t>
  </si>
  <si>
    <t>74B</t>
  </si>
  <si>
    <t>74C</t>
  </si>
  <si>
    <t>75A</t>
  </si>
  <si>
    <t>76A</t>
  </si>
  <si>
    <t>76B</t>
  </si>
  <si>
    <t>76C</t>
  </si>
  <si>
    <t>77A</t>
  </si>
  <si>
    <t>78A</t>
  </si>
  <si>
    <t>78B</t>
  </si>
  <si>
    <t>79A</t>
  </si>
  <si>
    <t>79B</t>
  </si>
  <si>
    <t>79C</t>
  </si>
  <si>
    <t>80A</t>
  </si>
  <si>
    <t>80B</t>
  </si>
  <si>
    <t>80C</t>
  </si>
  <si>
    <t>81A</t>
  </si>
  <si>
    <t>82A</t>
  </si>
  <si>
    <t>82B</t>
  </si>
  <si>
    <t>83A</t>
  </si>
  <si>
    <t>84A</t>
  </si>
  <si>
    <t>85A</t>
  </si>
  <si>
    <t>86A</t>
  </si>
  <si>
    <t>87A</t>
  </si>
  <si>
    <t>87B</t>
  </si>
  <si>
    <t>88A</t>
  </si>
  <si>
    <t>87C</t>
  </si>
  <si>
    <t>89A</t>
  </si>
  <si>
    <t>90A</t>
  </si>
  <si>
    <t>91A</t>
  </si>
  <si>
    <t>92A</t>
  </si>
  <si>
    <t>93A</t>
  </si>
  <si>
    <t>94A</t>
  </si>
  <si>
    <t>94B</t>
  </si>
  <si>
    <t>95A</t>
  </si>
  <si>
    <t>95B</t>
  </si>
  <si>
    <t>97A</t>
  </si>
  <si>
    <t>96A</t>
  </si>
  <si>
    <t>99A</t>
  </si>
  <si>
    <t>100A</t>
  </si>
  <si>
    <t>101A</t>
  </si>
  <si>
    <t>101B</t>
  </si>
  <si>
    <t>101C</t>
  </si>
  <si>
    <t>101D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</si>
  <si>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</si>
  <si>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</si>
  <si>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</si>
  <si>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</si>
  <si>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</si>
  <si>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</si>
  <si>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</si>
  <si>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</si>
  <si>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</si>
  <si>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</si>
  <si>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</si>
  <si>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99B</t>
  </si>
  <si>
    <t>99C</t>
  </si>
  <si>
    <t>108A</t>
  </si>
  <si>
    <t>109A</t>
  </si>
  <si>
    <t>ASCAZ HOSPITALARIA</t>
  </si>
  <si>
    <t>ASCAZ AMBULATORIA</t>
  </si>
  <si>
    <t>28B</t>
  </si>
  <si>
    <t>ZITRON PRE</t>
  </si>
  <si>
    <t>DC</t>
  </si>
  <si>
    <t>IBAN</t>
  </si>
  <si>
    <t>ANT 2011</t>
  </si>
  <si>
    <t>DESP</t>
  </si>
  <si>
    <t>S1</t>
  </si>
  <si>
    <t>ANT2011</t>
  </si>
  <si>
    <t>luisja@zitron.com</t>
  </si>
  <si>
    <t>letiboop2000@gmail.com</t>
  </si>
  <si>
    <t>sara.30996@gmail.com</t>
  </si>
  <si>
    <t>adela.blared@gmail.com</t>
  </si>
  <si>
    <t>jamf.quintes@gmail.com</t>
  </si>
  <si>
    <t>fermarcos.fdez@gmail.com</t>
  </si>
  <si>
    <t>jdanielsuarezgarcia@gmail.com</t>
  </si>
  <si>
    <t>HERMAN@</t>
  </si>
  <si>
    <t>HIJ@</t>
  </si>
  <si>
    <t>TI@</t>
  </si>
  <si>
    <t>A</t>
  </si>
  <si>
    <t>PROGENITOR@</t>
  </si>
  <si>
    <t>Nº SOCIO</t>
  </si>
  <si>
    <t>VINCULACION</t>
  </si>
  <si>
    <t>FECHA DE ALTA</t>
  </si>
  <si>
    <t>FECHA BAJA</t>
  </si>
  <si>
    <t>S. MEDICO</t>
  </si>
  <si>
    <t>MODALIDAD</t>
  </si>
  <si>
    <t>PARENTESCO</t>
  </si>
  <si>
    <t>NOMBRE</t>
  </si>
  <si>
    <t>APELLIDO 1</t>
  </si>
  <si>
    <t>APELLIDO 2</t>
  </si>
  <si>
    <t>DOC.</t>
  </si>
  <si>
    <t>NÚMERO NIF</t>
  </si>
  <si>
    <t>SEXO</t>
  </si>
  <si>
    <t>TIPO VÍA</t>
  </si>
  <si>
    <t>DIRECCIÓN</t>
  </si>
  <si>
    <t>RESTO</t>
  </si>
  <si>
    <t>PROVINCIA</t>
  </si>
  <si>
    <t>POBLACIÓN</t>
  </si>
  <si>
    <t>TELÉFONO</t>
  </si>
  <si>
    <t>E-MAIL</t>
  </si>
  <si>
    <t>BANCO</t>
  </si>
  <si>
    <t>SUCURSAL</t>
  </si>
  <si>
    <t>CUENTA</t>
  </si>
  <si>
    <t>INSCRIPCION</t>
  </si>
  <si>
    <t>SOY_JOSEBA@TELECABLE.ES</t>
  </si>
  <si>
    <t>MONTSERRATDECARDENAS@GMAIL.COM</t>
  </si>
  <si>
    <t>JOSÉ CARLOS</t>
  </si>
  <si>
    <t>ALVARO DE ALBORNOZ</t>
  </si>
  <si>
    <t>JCOTEROJR@GMAIL.COM</t>
  </si>
  <si>
    <t>CAMPOS</t>
  </si>
  <si>
    <t>PERI</t>
  </si>
  <si>
    <t>GADÍA</t>
  </si>
  <si>
    <t>NELA</t>
  </si>
  <si>
    <t>CAROLINA</t>
  </si>
  <si>
    <t>SANJURJO</t>
  </si>
  <si>
    <t>PEDRO PABLO</t>
  </si>
  <si>
    <t>CALIBLANCOS@GMAIL.COM</t>
  </si>
  <si>
    <t xml:space="preserve">RIVERO </t>
  </si>
  <si>
    <t>CAMINO</t>
  </si>
  <si>
    <t>DE LA LLOSA</t>
  </si>
  <si>
    <t>LA FRESNEDA</t>
  </si>
  <si>
    <t>OLEG.FONOV@GMAIL.COM</t>
  </si>
  <si>
    <t>CADRECHA@GMAIL.COM</t>
  </si>
  <si>
    <t>JONGARCAR@GMAIL.COM</t>
  </si>
  <si>
    <t>JLFOMBONA@GMAIL.COM</t>
  </si>
  <si>
    <t>MARCOFABIOBARBON@GMAIL.COM</t>
  </si>
  <si>
    <t>PUERTAS</t>
  </si>
  <si>
    <t>JAVIERPUERTAS82@GMAIL.COM</t>
  </si>
  <si>
    <t>IPEREZVERDE@GMAIL.COM</t>
  </si>
  <si>
    <t xml:space="preserve">JAMF.QUINTES@GMAIL.COM </t>
  </si>
  <si>
    <t>SOFIAPRADO85@GMAIL.COM</t>
  </si>
  <si>
    <t>NEMESIO ENRIQUE</t>
  </si>
  <si>
    <t>PARAJÓN</t>
  </si>
  <si>
    <t>SOLARES</t>
  </si>
  <si>
    <t>SAN RAFAEL</t>
  </si>
  <si>
    <t>PARAJONENRIQUE@GMAIL.COM</t>
  </si>
  <si>
    <t>AMAYA</t>
  </si>
  <si>
    <t>ANTÓN</t>
  </si>
  <si>
    <t>ENRIQUE</t>
  </si>
  <si>
    <t>ADRIALORDA@YAHOO.ES</t>
  </si>
  <si>
    <t>ADOLFO.TRABANCO@GMAIL.COM</t>
  </si>
  <si>
    <t>GONZALEZ BESADA</t>
  </si>
  <si>
    <t>MARTAFER3107@GMAIL.COM</t>
  </si>
  <si>
    <t xml:space="preserve">DAVID </t>
  </si>
  <si>
    <t>DAVIDYATUSABES84@GMAIL.COM</t>
  </si>
  <si>
    <t>BEGOMARSU@GMAIL.COM</t>
  </si>
  <si>
    <t>RAFAMDEZ123@GMAIL.COM</t>
  </si>
  <si>
    <t>AVDA. ROCES</t>
  </si>
  <si>
    <t>ALEVALLI@HOTMAIL.ES</t>
  </si>
  <si>
    <t>LUIS ALBERTO</t>
  </si>
  <si>
    <t>10901147K</t>
  </si>
  <si>
    <t>CARRETERA VIZCAINA</t>
  </si>
  <si>
    <t>LORETO</t>
  </si>
  <si>
    <t>AVELLO</t>
  </si>
  <si>
    <t>71643810Y</t>
  </si>
  <si>
    <t>JMAG1000@GMAIL.COM</t>
  </si>
  <si>
    <t>ALAN@ZITRON.COM</t>
  </si>
  <si>
    <t>ASMA</t>
  </si>
  <si>
    <t>OUAZZANI</t>
  </si>
  <si>
    <t>TOUHAMI</t>
  </si>
  <si>
    <t>OUAZZANI@ZITRON.COM</t>
  </si>
  <si>
    <t xml:space="preserve">YUNLONG </t>
  </si>
  <si>
    <t>ZHAO</t>
  </si>
  <si>
    <t>LA PLAYA</t>
  </si>
  <si>
    <t>YLZTELECO@GMAIL.COM</t>
  </si>
  <si>
    <t>AVELINO</t>
  </si>
  <si>
    <t>CADIERNO</t>
  </si>
  <si>
    <t>LA ALEGRÍA</t>
  </si>
  <si>
    <t>AD.CADIERNO@GMAIL.COM</t>
  </si>
  <si>
    <t>FLOREZ</t>
  </si>
  <si>
    <t>GABRIELACADIERNOFLOREZ@HOTMAIL.COM</t>
  </si>
  <si>
    <t>ISAAC</t>
  </si>
  <si>
    <t>VILLAVERDE</t>
  </si>
  <si>
    <t>SAGRADO CORAZÓN</t>
  </si>
  <si>
    <t>ISAACVICU@GMAIL.COM</t>
  </si>
  <si>
    <t>VALDÉS</t>
  </si>
  <si>
    <t>URRACA</t>
  </si>
  <si>
    <t>FERNANDO VILLAAMIL</t>
  </si>
  <si>
    <t>DAVURRACA@HOTMAIL.COM</t>
  </si>
  <si>
    <t xml:space="preserve">BEGOÑA </t>
  </si>
  <si>
    <t>XURDESIERRA@GMAIL.COM</t>
  </si>
  <si>
    <t>ALBUUX@GMAIL.COM</t>
  </si>
  <si>
    <t>IVELASCO@ZITRON.COM</t>
  </si>
  <si>
    <t>ROSA.PALACIOS27@GMAIL.COM</t>
  </si>
  <si>
    <t>LUCIA.FDEZ.PALACIOS@GMAIL.COM</t>
  </si>
  <si>
    <t>ICAMADUREIRA@GMAIL.COM</t>
  </si>
  <si>
    <t>LUCIAESCANDON@GMAIL.COM</t>
  </si>
  <si>
    <t>DIEGO_PATALLO@ICLOUD.COM</t>
  </si>
  <si>
    <t>ADRIAN.MENCOR@GMAIL.COM</t>
  </si>
  <si>
    <t>JUAN CARLOS</t>
  </si>
  <si>
    <t xml:space="preserve">ALONSO </t>
  </si>
  <si>
    <t>CANDANEDO</t>
  </si>
  <si>
    <t>TORNER</t>
  </si>
  <si>
    <t>PISO 2IZQ</t>
  </si>
  <si>
    <t>LUGONES</t>
  </si>
  <si>
    <t>ALONSCAND@GMAIL.COM</t>
  </si>
  <si>
    <t>JENNIFER</t>
  </si>
  <si>
    <t>DA SILVA</t>
  </si>
  <si>
    <t>CALLADO</t>
  </si>
  <si>
    <t>JENNYX_@HOTMAIL.COM</t>
  </si>
  <si>
    <t>PAULA</t>
  </si>
  <si>
    <t>JUSTO</t>
  </si>
  <si>
    <t>ANGEL MUÑIZ TOCA</t>
  </si>
  <si>
    <t>JUSTOSUAR@GMAIL.COM</t>
  </si>
  <si>
    <t>VICTORIA KATE</t>
  </si>
  <si>
    <t>TILLEY</t>
  </si>
  <si>
    <t>LA REGUERA</t>
  </si>
  <si>
    <t>VKTILLEY33@GMAIL.COM</t>
  </si>
  <si>
    <t>JOSE IGNACIO</t>
  </si>
  <si>
    <t>ANTUÑA</t>
  </si>
  <si>
    <t>NACHO.CHOSS@GMAIL.COM</t>
  </si>
  <si>
    <t>ROSANA@ZITRON.COM</t>
  </si>
  <si>
    <t>FERNANDO.VALLINA@INGEMAS.COM</t>
  </si>
  <si>
    <t>DOMÍNGUEZ</t>
  </si>
  <si>
    <t>PIÑERES</t>
  </si>
  <si>
    <t>CANDÁS</t>
  </si>
  <si>
    <t>ENRIQUE@ZITRON.COM</t>
  </si>
  <si>
    <t>ANA MARÍA</t>
  </si>
  <si>
    <t>HERNÁNDEZ</t>
  </si>
  <si>
    <t>ANAHDEZAYF@HOTMAIL.COM</t>
  </si>
  <si>
    <t>IRE.LAIZ@GMAIL.COM</t>
  </si>
  <si>
    <t>BERNAR2009@HOTMAIL.ES</t>
  </si>
  <si>
    <t>EVAGMONTESERIN@GMAIL.COM</t>
  </si>
  <si>
    <t>LAURAFUEGO@GMAIL.COM</t>
  </si>
  <si>
    <t>MABARBES@GMAIL.COM</t>
  </si>
  <si>
    <t>ADELA.BLARED@GMAIL.COM</t>
  </si>
  <si>
    <t>ELEFDEZBLANCO@GMAIL.COM</t>
  </si>
  <si>
    <t>LUGIJON@HOTMAIL.COM</t>
  </si>
  <si>
    <t>MANUEL A.</t>
  </si>
  <si>
    <t>RIONDA</t>
  </si>
  <si>
    <t>DANIEL MOYANO</t>
  </si>
  <si>
    <t>MMRIONDA@GMAIL.COM</t>
  </si>
  <si>
    <t>09429949H</t>
  </si>
  <si>
    <t>MOLIN LA CASUCA</t>
  </si>
  <si>
    <t xml:space="preserve">FERMARCOS.FDEZ@GMAIL.COM </t>
  </si>
  <si>
    <t>ANMOBEN@YAHOO.ES</t>
  </si>
  <si>
    <t xml:space="preserve">IGNACIO </t>
  </si>
  <si>
    <t>RIVERO</t>
  </si>
  <si>
    <t>AV.</t>
  </si>
  <si>
    <t>IGNACIORIVEROFDEZ@GMAIL.COM</t>
  </si>
  <si>
    <t>JOSÉ JAVIER</t>
  </si>
  <si>
    <t>LARRACELETA</t>
  </si>
  <si>
    <t>GANADEROS ASTURIANOS</t>
  </si>
  <si>
    <t>JJALARRA@YAHOO.ES</t>
  </si>
  <si>
    <t>SANTIAGODLOBO@GMAIL.COM</t>
  </si>
  <si>
    <t>HECTOR ERADIO</t>
  </si>
  <si>
    <t>DONOSO CORTES</t>
  </si>
  <si>
    <t>HECTOR.ERADIO@GMAIL.COM</t>
  </si>
  <si>
    <t>ANA PILAR</t>
  </si>
  <si>
    <t>MALNERO</t>
  </si>
  <si>
    <t>ANAMALNERO1969@GMAIL.COM</t>
  </si>
  <si>
    <t>LUIS LEANDRO</t>
  </si>
  <si>
    <t xml:space="preserve">MILLÁN </t>
  </si>
  <si>
    <t>LAVOISIN1973@GMAIL.COM</t>
  </si>
  <si>
    <t>RAFAEL</t>
  </si>
  <si>
    <t>EZCURDIA</t>
  </si>
  <si>
    <t>LOZOYAMX@GMAIL.COM</t>
  </si>
  <si>
    <t>MERCEDES</t>
  </si>
  <si>
    <t>ARRIBAS</t>
  </si>
  <si>
    <t>MERCEVAK@TELECABLE.ES</t>
  </si>
  <si>
    <t>FRANGGARCI@HOTMAIL.COM</t>
  </si>
  <si>
    <t>CRISBELLOD@HOTMAIL.COM</t>
  </si>
  <si>
    <t>NOFERTRA@HOTMAIL.COM</t>
  </si>
  <si>
    <t>ASPIROZ</t>
  </si>
  <si>
    <t>MELCÓN</t>
  </si>
  <si>
    <t>CERIÑOLA</t>
  </si>
  <si>
    <t>ASPIMEL@GMAIL.COM</t>
  </si>
  <si>
    <t>NOEMÍ</t>
  </si>
  <si>
    <t>NOEMIDE6@GMAIL.COM</t>
  </si>
  <si>
    <t>LUIS JAVIER</t>
  </si>
  <si>
    <t>53527470F</t>
  </si>
  <si>
    <t>LUISJA@ZITRON.COM</t>
  </si>
  <si>
    <t>COVITIN@HOTMAIL.COM</t>
  </si>
  <si>
    <t>LMR4765@ICAOVIEDO.ES</t>
  </si>
  <si>
    <t>LOS MIRACALES, CARBAYIN BAJO (STA. MARTA)</t>
  </si>
  <si>
    <t>JAVIMA666@GMAIL.COM</t>
  </si>
  <si>
    <t>ANGELES</t>
  </si>
  <si>
    <t>GUERRA</t>
  </si>
  <si>
    <t xml:space="preserve">PEREZ DE LA SALA </t>
  </si>
  <si>
    <t>ESC A 1º C</t>
  </si>
  <si>
    <t>RAMONA</t>
  </si>
  <si>
    <t xml:space="preserve">ARGÜELLES </t>
  </si>
  <si>
    <t xml:space="preserve">ROSARIO </t>
  </si>
  <si>
    <t>PATRICIAPENMAR@HOTMAIL.ES</t>
  </si>
  <si>
    <t>NAYARA</t>
  </si>
  <si>
    <t>53647653S</t>
  </si>
  <si>
    <t>PICASSO</t>
  </si>
  <si>
    <t>5ºIZ</t>
  </si>
  <si>
    <t>NAYARAMS1987@GMAIL.COM</t>
  </si>
  <si>
    <t>MARISAFERVAL@GMAIL.COM</t>
  </si>
  <si>
    <t>CARLOSASTUR11@GMAIL.COM</t>
  </si>
  <si>
    <t>VILLAR</t>
  </si>
  <si>
    <t>71646736B</t>
  </si>
  <si>
    <t>CABO PEÑAS</t>
  </si>
  <si>
    <t>JMVCOKE@HOTMAIL.COM</t>
  </si>
  <si>
    <t>EL SABINAR</t>
  </si>
  <si>
    <t>LEÓN</t>
  </si>
  <si>
    <t>SUSU152@HOTMAIL.ES</t>
  </si>
  <si>
    <t>JOSÉ DANIEL</t>
  </si>
  <si>
    <t>JUAN ALVARGONZALEZ</t>
  </si>
  <si>
    <t>JOSÉ GABRIEL</t>
  </si>
  <si>
    <t>CUSTODIA</t>
  </si>
  <si>
    <t>GABROALDI@GMAIL.COM</t>
  </si>
  <si>
    <t>ES71</t>
  </si>
  <si>
    <t>NATALIA</t>
  </si>
  <si>
    <t>BIBIANO</t>
  </si>
  <si>
    <t>FUEYO</t>
  </si>
  <si>
    <t>58456315K</t>
  </si>
  <si>
    <t>LAASTURIANA37@HOTMAIL.COM</t>
  </si>
  <si>
    <t>ALEJANDRA</t>
  </si>
  <si>
    <t>TRAVIESA</t>
  </si>
  <si>
    <t>71641207W</t>
  </si>
  <si>
    <t>SOR JUANA INES DE LA CRUZ</t>
  </si>
  <si>
    <t>BRICIA1977@GMAIL.COM</t>
  </si>
  <si>
    <t>11071222B</t>
  </si>
  <si>
    <t>1º IZQ.</t>
  </si>
  <si>
    <t>FBARROSPALACIOS@GMAIL.COM</t>
  </si>
  <si>
    <t>CARMEN@GRUPOINDECO.ES</t>
  </si>
  <si>
    <t>RASIDRI@HOTMAIL.COM</t>
  </si>
  <si>
    <t>CARMENGEMELOS@TELECABLE.ES</t>
  </si>
  <si>
    <t>SADAJCMA@YAHOO.ES</t>
  </si>
  <si>
    <t>ROBERTO</t>
  </si>
  <si>
    <t>SIERRA@AST-INGENIERIA.COM</t>
  </si>
  <si>
    <t>JUNCAL</t>
  </si>
  <si>
    <t>GUERRERO</t>
  </si>
  <si>
    <t>MUÑOZ</t>
  </si>
  <si>
    <t xml:space="preserve">ALEJANDRO </t>
  </si>
  <si>
    <t>ALGARPER@HOTMAIL.COM</t>
  </si>
  <si>
    <t>ROSARIO</t>
  </si>
  <si>
    <t>PEDRO MIÑOR</t>
  </si>
  <si>
    <t>SARISF3@GMAIL.COM</t>
  </si>
  <si>
    <t>ABEL</t>
  </si>
  <si>
    <t>GIRÓN</t>
  </si>
  <si>
    <t>MARTÍN</t>
  </si>
  <si>
    <t>ABELGIRONMARTIN@GMAIL.COM</t>
  </si>
  <si>
    <t>VANESSA</t>
  </si>
  <si>
    <t>SALADRIGAS</t>
  </si>
  <si>
    <t>ALFÉREZ</t>
  </si>
  <si>
    <t>52307852X</t>
  </si>
  <si>
    <t>NESSANISHA@GMAIL.COM</t>
  </si>
  <si>
    <t>ES41</t>
  </si>
  <si>
    <t>EDDNAH</t>
  </si>
  <si>
    <t>EB1TK@EB1TK.COM</t>
  </si>
  <si>
    <t>CORTIZREY@GMAIL.COM</t>
  </si>
  <si>
    <t>MORTIZRE@HOTMAIL.COM</t>
  </si>
  <si>
    <t>MARTIN.DOHA@ZITRON.COM</t>
  </si>
  <si>
    <t>OLIVER DAVID</t>
  </si>
  <si>
    <t>GUARDADO</t>
  </si>
  <si>
    <t>CESAR MAESE ALONSO</t>
  </si>
  <si>
    <t>OLIVERMG@GMAIL.COM</t>
  </si>
  <si>
    <t>PELAYO</t>
  </si>
  <si>
    <t>BARRAGÁN</t>
  </si>
  <si>
    <t>NIEVES</t>
  </si>
  <si>
    <t>HECTOR</t>
  </si>
  <si>
    <t>PORTAL2 4-IZD</t>
  </si>
  <si>
    <t>SARA.30996@GMAIL.COM</t>
  </si>
  <si>
    <t>VITORERO</t>
  </si>
  <si>
    <t>LETICIA</t>
  </si>
  <si>
    <t>PRIDA</t>
  </si>
  <si>
    <t>SANTA EMILIA</t>
  </si>
  <si>
    <t>BAJO</t>
  </si>
  <si>
    <t>LETIBOOP2000@GMAIL.COM</t>
  </si>
  <si>
    <t>CANEL</t>
  </si>
  <si>
    <t>REMIVELASCO@HOTMAIL.COM</t>
  </si>
  <si>
    <t>RIUMEDIU@GMAIL.COM</t>
  </si>
  <si>
    <t>BASTIAN</t>
  </si>
  <si>
    <t>PEÑA DE LOS CUATRO JUECES</t>
  </si>
  <si>
    <t>DAVBASTIK@GMAIL.COM</t>
  </si>
  <si>
    <t>ARÁNTZAZU</t>
  </si>
  <si>
    <t>COLUNGA</t>
  </si>
  <si>
    <t>TXANTXINA@GMAIL.COM</t>
  </si>
  <si>
    <t xml:space="preserve">DE LA LLOMBA </t>
  </si>
  <si>
    <t>JULIOGGG@YAHOO.ES</t>
  </si>
  <si>
    <t>MAITE@MAITECIURANA.COM</t>
  </si>
  <si>
    <t>FUENTE DEL REAL</t>
  </si>
  <si>
    <t>S_D_F@HOTMAIL.COM</t>
  </si>
  <si>
    <t>ES10</t>
  </si>
  <si>
    <t>ES25</t>
  </si>
  <si>
    <t>ES88</t>
  </si>
  <si>
    <t>05</t>
  </si>
  <si>
    <t>0120</t>
  </si>
  <si>
    <t>0001137418</t>
  </si>
  <si>
    <t>ES73</t>
  </si>
  <si>
    <t>MORAIS SARMENTO</t>
  </si>
  <si>
    <t>Nº</t>
  </si>
  <si>
    <t>C.P.</t>
  </si>
  <si>
    <t>EVA MARÍA</t>
  </si>
  <si>
    <t>JOSÉ</t>
  </si>
  <si>
    <t>JOSÉ MANUEL</t>
  </si>
  <si>
    <t>JOSÉ LUIS</t>
  </si>
  <si>
    <t>MARÍA</t>
  </si>
  <si>
    <t>MARÍA GABRIELA</t>
  </si>
  <si>
    <t>MARÍA LUZ</t>
  </si>
  <si>
    <t>MARÍA ANTONIA</t>
  </si>
  <si>
    <t>MARÍA CARMEN</t>
  </si>
  <si>
    <t>MARÍA TERESA</t>
  </si>
  <si>
    <t>ROSA MARÍA</t>
  </si>
  <si>
    <t>MARÍA DEL CARMEN</t>
  </si>
  <si>
    <t>PATRICIA MARÍA</t>
  </si>
  <si>
    <t>MARÍA JOSE</t>
  </si>
  <si>
    <t>MARÍA LUISA</t>
  </si>
  <si>
    <t>NOELIA MARÍA</t>
  </si>
  <si>
    <t>ARQUITECTO MARÍANO MEDARDE</t>
  </si>
  <si>
    <t>MARÍA DEL MAR</t>
  </si>
  <si>
    <t>MARÍA BELEN</t>
  </si>
  <si>
    <t>MARÍA LAURA</t>
  </si>
  <si>
    <t>MARÍA ADELA</t>
  </si>
  <si>
    <t>FERNÁNDEZ-ESCANDON</t>
  </si>
  <si>
    <t>GONZÁLEZ</t>
  </si>
  <si>
    <t>GUTIÉRREZ</t>
  </si>
  <si>
    <t>CÁRDENAS</t>
  </si>
  <si>
    <t>MARTÍNEZ</t>
  </si>
  <si>
    <t>MORÁN</t>
  </si>
  <si>
    <t xml:space="preserve">PÉREZ </t>
  </si>
  <si>
    <t>PÉREZ</t>
  </si>
  <si>
    <t>BENÍTEZ</t>
  </si>
  <si>
    <t>DÍEZ</t>
  </si>
  <si>
    <t>LUIS.OTERO.FERNÁNDEZ@GMAIL.COM</t>
  </si>
  <si>
    <t>HORACIO FERNÁNDEZ INGUANZO</t>
  </si>
  <si>
    <t>S_ÁLVAREZ2001@HOTMAIL.COM</t>
  </si>
  <si>
    <t>JUAN ANDRES SUAREZ GARCÍA</t>
  </si>
  <si>
    <t xml:space="preserve">JDANIELSUAREZGARCÍA@GMAIL.COM </t>
  </si>
  <si>
    <t>JIMÉNEZ</t>
  </si>
  <si>
    <t>LÓPEZ</t>
  </si>
  <si>
    <t>SÁNCHEZ</t>
  </si>
  <si>
    <t>VALLÍN</t>
  </si>
  <si>
    <t>VÁZQUEZ</t>
  </si>
  <si>
    <t>10843192A</t>
  </si>
  <si>
    <t>10804183W</t>
  </si>
  <si>
    <t>3415832X</t>
  </si>
  <si>
    <t>3410321L</t>
  </si>
  <si>
    <t>09420008J</t>
  </si>
  <si>
    <t>09446050L</t>
  </si>
  <si>
    <t>24070342Z</t>
  </si>
  <si>
    <t>71618922G</t>
  </si>
  <si>
    <t>5665</t>
  </si>
  <si>
    <t>25</t>
  </si>
  <si>
    <t>0001109015</t>
  </si>
  <si>
    <t>ZITRON-ASCAZ HOSPITALARIA</t>
  </si>
  <si>
    <t>ZITRON-ASCAZ AMBULATORIA</t>
  </si>
  <si>
    <t>33314</t>
  </si>
  <si>
    <t>CECILIA</t>
  </si>
  <si>
    <t>58448546A</t>
  </si>
  <si>
    <t>55C</t>
  </si>
  <si>
    <t>110</t>
  </si>
  <si>
    <t>12/01/2018</t>
  </si>
  <si>
    <t>SUSANA</t>
  </si>
  <si>
    <t>110A</t>
  </si>
  <si>
    <t>09427961P</t>
  </si>
  <si>
    <t>BUENAVISTA</t>
  </si>
  <si>
    <t>10</t>
  </si>
  <si>
    <t>1ºA</t>
  </si>
  <si>
    <t>33006</t>
  </si>
  <si>
    <t>618728421</t>
  </si>
  <si>
    <t>SURODIAZ@GMAIL.COM</t>
  </si>
  <si>
    <t>5312</t>
  </si>
  <si>
    <t>17</t>
  </si>
  <si>
    <t>0006106719</t>
  </si>
  <si>
    <t>ZITRON DPL</t>
  </si>
  <si>
    <t>GREGORIO MARAÑON</t>
  </si>
  <si>
    <t>4</t>
  </si>
  <si>
    <t>1 D</t>
  </si>
  <si>
    <t>33203</t>
  </si>
  <si>
    <t>111</t>
  </si>
  <si>
    <t>111A</t>
  </si>
  <si>
    <t>15/01/2018</t>
  </si>
  <si>
    <t>JORGE LUIS</t>
  </si>
  <si>
    <t>BERICUA</t>
  </si>
  <si>
    <t>10892517Q</t>
  </si>
  <si>
    <t>DAOIZ Y VELARDE</t>
  </si>
  <si>
    <t>33212</t>
  </si>
  <si>
    <t>668577513</t>
  </si>
  <si>
    <t>JORGEBERICUA@GMAIL.COM</t>
  </si>
  <si>
    <t>ES82</t>
  </si>
  <si>
    <t>0601</t>
  </si>
  <si>
    <t>0208522217</t>
  </si>
  <si>
    <t>58</t>
  </si>
  <si>
    <t>S15</t>
  </si>
  <si>
    <t>S3</t>
  </si>
  <si>
    <t>S10</t>
  </si>
  <si>
    <t xml:space="preserve">GIJÓN </t>
  </si>
  <si>
    <t>URBANIZACION</t>
  </si>
  <si>
    <t>GUARDAMOLINOS</t>
  </si>
  <si>
    <t>11</t>
  </si>
  <si>
    <t>GUADARRAMA</t>
  </si>
  <si>
    <t>28440</t>
  </si>
  <si>
    <t>TOTALES</t>
  </si>
  <si>
    <t>ASOCIADOS</t>
  </si>
  <si>
    <t>PRECIO</t>
  </si>
  <si>
    <t>&gt;50-60</t>
  </si>
  <si>
    <t>&gt;40-50</t>
  </si>
  <si>
    <t>&gt;30-40</t>
  </si>
  <si>
    <t>&gt;20-30</t>
  </si>
  <si>
    <t>&gt;10-20</t>
  </si>
  <si>
    <t>0-10</t>
  </si>
  <si>
    <t>edad media</t>
  </si>
  <si>
    <t>ASCAZ</t>
  </si>
  <si>
    <t>AMBULATORIA</t>
  </si>
  <si>
    <t>HOSPITALARIA</t>
  </si>
  <si>
    <t>TOTAL</t>
  </si>
  <si>
    <t>&gt;60-70</t>
  </si>
  <si>
    <t>&gt;70-80</t>
  </si>
  <si>
    <t>&gt;80</t>
  </si>
  <si>
    <t>ZITRON-ASCAZ</t>
  </si>
  <si>
    <t>RANGO DE EDADES</t>
  </si>
  <si>
    <t>&gt;65</t>
  </si>
  <si>
    <t>&gt;50-65</t>
  </si>
  <si>
    <t>Edad media</t>
  </si>
  <si>
    <t>F. NACIMIENTO</t>
  </si>
  <si>
    <t>Vrf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</si>
</sst>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sz val="9.5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4"/>
      <color rgb="FF6FA8DC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4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840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dotted">
        <color rgb="FF969696"/>
      </left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/>
      <right style="dotted">
        <color rgb="FF969696"/>
      </right>
      <top style="medium">
        <color rgb="FF969696"/>
      </top>
      <bottom style="medium">
        <color rgb="FF969696"/>
      </bottom>
      <diagonal/>
    </border>
    <border>
      <left style="dotted">
        <color rgb="FF969696"/>
      </left>
      <right/>
      <top style="medium">
        <color rgb="FF969696"/>
      </top>
      <bottom style="medium">
        <color rgb="FF96969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n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n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n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n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 style="thin">
        <color theme="4" tint="0.59996337778862885"/>
      </left>
      <right style="thick">
        <color theme="4" tint="0.59996337778862885"/>
      </right>
      <top style="dashed">
        <color theme="4" tint="0.59996337778862885"/>
      </top>
      <bottom style="thick">
        <color theme="4" tint="0.59996337778862885"/>
      </bottom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/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 style="thin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n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ck">
        <color theme="4" tint="0.59996337778862885"/>
      </right>
      <top/>
      <bottom style="thick">
        <color theme="4" tint="0.59996337778862885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top"/>
      <protection locked="0"/>
    </xf>
    <xf numFmtId="0" fontId="3" fillId="0" borderId="0">
      <alignment vertical="center"/>
    </xf>
    <xf numFmtId="0" fontId="4" fillId="0" borderId="0"/>
    <xf numFmtId="0" fontId="5" fillId="0" borderId="0"/>
    <xf numFmtId="0" fontId="6" fillId="0" borderId="0"/>
    <xf numFmtId="0" fontId="7" fillId="0" borderId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9" fillId="0" borderId="6" applyNumberFormat="0" applyFill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</cellStyleXfs>
  <cellXfs count="176">
    <xf numFmtId="0" fontId="0" fillId="0" borderId="0" xfId="0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14" fontId="12" fillId="0" borderId="0" xfId="0" applyNumberFormat="1" applyFont="1" applyAlignment="1">
      <alignment horizontal="center" vertical="center"/>
    </xf>
    <xf numFmtId="14" fontId="14" fillId="4" borderId="0" xfId="0" applyNumberFormat="1" applyFont="1" applyFill="1" applyAlignment="1">
      <alignment horizontal="center" vertical="center" wrapText="1"/>
    </xf>
    <xf numFmtId="14" fontId="12" fillId="4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4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Fill="1" applyAlignment="1" applyProtection="1">
      <alignment horizontal="center" vertical="center"/>
      <protection hidden="1"/>
    </xf>
    <xf numFmtId="0" fontId="22" fillId="0" borderId="7" xfId="9" applyFill="1" applyBorder="1" applyAlignment="1" applyProtection="1">
      <alignment horizontal="center" vertical="center"/>
      <protection hidden="1"/>
    </xf>
    <xf numFmtId="0" fontId="22" fillId="0" borderId="8" xfId="9" applyFill="1" applyBorder="1" applyAlignment="1" applyProtection="1">
      <alignment horizontal="center" vertical="center"/>
      <protection hidden="1"/>
    </xf>
    <xf numFmtId="0" fontId="22" fillId="0" borderId="9" xfId="9" applyFill="1" applyBorder="1" applyAlignment="1" applyProtection="1">
      <alignment horizontal="center" vertical="center"/>
      <protection hidden="1"/>
    </xf>
    <xf numFmtId="0" fontId="22" fillId="0" borderId="10" xfId="9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44" fontId="0" fillId="0" borderId="13" xfId="0" applyNumberFormat="1" applyFill="1" applyBorder="1" applyAlignment="1" applyProtection="1">
      <alignment horizontal="center" vertical="center"/>
      <protection hidden="1"/>
    </xf>
    <xf numFmtId="0" fontId="22" fillId="0" borderId="14" xfId="9" applyFill="1" applyBorder="1" applyAlignment="1" applyProtection="1">
      <alignment horizontal="center" vertical="center"/>
      <protection hidden="1"/>
    </xf>
    <xf numFmtId="0" fontId="0" fillId="0" borderId="15" xfId="0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horizontal="center" vertical="center"/>
      <protection hidden="1"/>
    </xf>
    <xf numFmtId="44" fontId="0" fillId="0" borderId="17" xfId="0" applyNumberFormat="1" applyFill="1" applyBorder="1" applyAlignment="1" applyProtection="1">
      <alignment horizontal="center" vertical="center"/>
      <protection hidden="1"/>
    </xf>
    <xf numFmtId="0" fontId="22" fillId="0" borderId="18" xfId="9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44" fontId="0" fillId="0" borderId="21" xfId="0" applyNumberFormat="1" applyFill="1" applyBorder="1" applyAlignment="1" applyProtection="1">
      <alignment horizontal="center" vertical="center"/>
      <protection hidden="1"/>
    </xf>
    <xf numFmtId="44" fontId="0" fillId="0" borderId="0" xfId="0" applyNumberFormat="1" applyFill="1" applyAlignment="1" applyProtection="1">
      <alignment horizontal="center" vertical="center"/>
      <protection hidden="1"/>
    </xf>
    <xf numFmtId="0" fontId="9" fillId="0" borderId="22" xfId="10" applyNumberFormat="1" applyFill="1" applyBorder="1" applyAlignment="1" applyProtection="1">
      <alignment horizontal="center" vertical="center"/>
      <protection hidden="1"/>
    </xf>
    <xf numFmtId="44" fontId="9" fillId="0" borderId="22" xfId="10" applyNumberForma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4" fillId="9" borderId="23" xfId="0" applyFont="1" applyFill="1" applyBorder="1" applyProtection="1">
      <protection hidden="1"/>
    </xf>
    <xf numFmtId="0" fontId="0" fillId="10" borderId="24" xfId="0" applyFill="1" applyBorder="1" applyProtection="1">
      <protection hidden="1"/>
    </xf>
    <xf numFmtId="0" fontId="0" fillId="10" borderId="25" xfId="0" applyFill="1" applyBorder="1" applyProtection="1">
      <protection hidden="1"/>
    </xf>
    <xf numFmtId="0" fontId="24" fillId="9" borderId="26" xfId="0" applyFont="1" applyFill="1" applyBorder="1" applyProtection="1">
      <protection hidden="1"/>
    </xf>
    <xf numFmtId="0" fontId="0" fillId="10" borderId="0" xfId="0" applyFill="1" applyBorder="1" applyProtection="1">
      <protection hidden="1"/>
    </xf>
    <xf numFmtId="0" fontId="0" fillId="10" borderId="27" xfId="0" applyFill="1" applyBorder="1" applyProtection="1">
      <protection hidden="1"/>
    </xf>
    <xf numFmtId="0" fontId="0" fillId="10" borderId="26" xfId="0" applyFill="1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64" fontId="0" fillId="0" borderId="0" xfId="0" applyNumberFormat="1" applyBorder="1" applyProtection="1">
      <protection hidden="1"/>
    </xf>
    <xf numFmtId="17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0" fillId="10" borderId="28" xfId="0" applyFill="1" applyBorder="1" applyProtection="1">
      <protection hidden="1"/>
    </xf>
    <xf numFmtId="0" fontId="0" fillId="10" borderId="29" xfId="0" applyFill="1" applyBorder="1" applyAlignment="1" applyProtection="1">
      <alignment horizontal="center" vertical="center"/>
      <protection hidden="1"/>
    </xf>
    <xf numFmtId="0" fontId="0" fillId="10" borderId="29" xfId="0" applyFill="1" applyBorder="1" applyProtection="1">
      <protection hidden="1"/>
    </xf>
    <xf numFmtId="0" fontId="0" fillId="9" borderId="30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13" borderId="24" xfId="0" applyFill="1" applyBorder="1" applyProtection="1">
      <protection hidden="1"/>
    </xf>
    <xf numFmtId="0" fontId="0" fillId="13" borderId="25" xfId="0" applyFill="1" applyBorder="1" applyProtection="1">
      <protection hidden="1"/>
    </xf>
    <xf numFmtId="0" fontId="0" fillId="13" borderId="0" xfId="0" applyFill="1" applyBorder="1" applyProtection="1">
      <protection hidden="1"/>
    </xf>
    <xf numFmtId="0" fontId="0" fillId="13" borderId="27" xfId="0" applyFill="1" applyBorder="1" applyProtection="1">
      <protection hidden="1"/>
    </xf>
    <xf numFmtId="0" fontId="0" fillId="13" borderId="26" xfId="0" applyFill="1" applyBorder="1" applyProtection="1">
      <protection hidden="1"/>
    </xf>
    <xf numFmtId="0" fontId="0" fillId="13" borderId="28" xfId="0" applyFill="1" applyBorder="1" applyProtection="1">
      <protection hidden="1"/>
    </xf>
    <xf numFmtId="0" fontId="0" fillId="13" borderId="29" xfId="0" applyFill="1" applyBorder="1" applyAlignment="1" applyProtection="1">
      <alignment horizontal="center" vertical="center"/>
      <protection hidden="1"/>
    </xf>
    <xf numFmtId="0" fontId="0" fillId="13" borderId="29" xfId="0" applyFill="1" applyBorder="1" applyProtection="1">
      <protection hidden="1"/>
    </xf>
    <xf numFmtId="0" fontId="0" fillId="14" borderId="24" xfId="0" applyFill="1" applyBorder="1" applyProtection="1">
      <protection hidden="1"/>
    </xf>
    <xf numFmtId="0" fontId="0" fillId="14" borderId="25" xfId="0" applyFill="1" applyBorder="1" applyProtection="1">
      <protection hidden="1"/>
    </xf>
    <xf numFmtId="0" fontId="0" fillId="14" borderId="0" xfId="0" applyFill="1" applyBorder="1" applyProtection="1">
      <protection hidden="1"/>
    </xf>
    <xf numFmtId="0" fontId="0" fillId="14" borderId="27" xfId="0" applyFill="1" applyBorder="1" applyProtection="1">
      <protection hidden="1"/>
    </xf>
    <xf numFmtId="0" fontId="0" fillId="14" borderId="26" xfId="0" applyFill="1" applyBorder="1" applyProtection="1">
      <protection hidden="1"/>
    </xf>
    <xf numFmtId="0" fontId="0" fillId="14" borderId="28" xfId="0" applyFill="1" applyBorder="1" applyProtection="1">
      <protection hidden="1"/>
    </xf>
    <xf numFmtId="0" fontId="0" fillId="14" borderId="29" xfId="0" applyFill="1" applyBorder="1" applyAlignment="1" applyProtection="1">
      <alignment horizontal="center" vertical="center"/>
      <protection hidden="1"/>
    </xf>
    <xf numFmtId="0" fontId="0" fillId="14" borderId="29" xfId="0" applyFill="1" applyBorder="1" applyProtection="1">
      <protection hidden="1"/>
    </xf>
    <xf numFmtId="164" fontId="0" fillId="0" borderId="0" xfId="0" applyNumberFormat="1" applyFill="1" applyAlignment="1" applyProtection="1">
      <alignment horizontal="center" vertical="center"/>
      <protection hidden="1"/>
    </xf>
    <xf numFmtId="164" fontId="31" fillId="0" borderId="32" xfId="0" applyNumberFormat="1" applyFont="1" applyFill="1" applyBorder="1" applyAlignment="1" applyProtection="1">
      <alignment horizontal="center" vertical="center"/>
      <protection hidden="1"/>
    </xf>
    <xf numFmtId="164" fontId="31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0" xfId="9" applyFill="1" applyBorder="1" applyAlignment="1" applyProtection="1">
      <alignment horizontal="center" vertical="center"/>
      <protection hidden="1"/>
    </xf>
    <xf numFmtId="44" fontId="9" fillId="0" borderId="0" xfId="10" applyNumberFormat="1" applyFill="1" applyBorder="1" applyAlignment="1" applyProtection="1">
      <alignment horizontal="center" vertical="center"/>
      <protection hidden="1"/>
    </xf>
    <xf numFmtId="44" fontId="0" fillId="0" borderId="34" xfId="0" applyNumberFormat="1" applyFill="1" applyBorder="1" applyAlignment="1" applyProtection="1">
      <alignment horizontal="center" vertical="center"/>
      <protection hidden="1"/>
    </xf>
    <xf numFmtId="0" fontId="21" fillId="0" borderId="0" xfId="8" applyFill="1" applyBorder="1" applyAlignment="1" applyProtection="1">
      <alignment horizontal="center" vertical="center"/>
      <protection hidden="1"/>
    </xf>
    <xf numFmtId="0" fontId="25" fillId="10" borderId="0" xfId="0" applyFont="1" applyFill="1" applyBorder="1" applyAlignment="1" applyProtection="1">
      <alignment horizontal="center" vertical="center"/>
      <protection hidden="1"/>
    </xf>
    <xf numFmtId="164" fontId="26" fillId="10" borderId="0" xfId="0" applyNumberFormat="1" applyFont="1" applyFill="1" applyBorder="1" applyAlignment="1" applyProtection="1">
      <alignment horizontal="center" vertical="center"/>
      <protection hidden="1"/>
    </xf>
    <xf numFmtId="164" fontId="27" fillId="10" borderId="0" xfId="0" applyNumberFormat="1" applyFont="1" applyFill="1" applyBorder="1" applyAlignment="1" applyProtection="1">
      <alignment horizontal="center" vertical="center"/>
      <protection hidden="1"/>
    </xf>
    <xf numFmtId="0" fontId="24" fillId="11" borderId="23" xfId="0" applyFont="1" applyFill="1" applyBorder="1" applyProtection="1">
      <protection hidden="1"/>
    </xf>
    <xf numFmtId="0" fontId="24" fillId="11" borderId="26" xfId="0" applyFont="1" applyFill="1" applyBorder="1" applyProtection="1">
      <protection hidden="1"/>
    </xf>
    <xf numFmtId="0" fontId="0" fillId="11" borderId="30" xfId="0" applyFill="1" applyBorder="1" applyProtection="1">
      <protection hidden="1"/>
    </xf>
    <xf numFmtId="0" fontId="24" fillId="12" borderId="23" xfId="0" applyFont="1" applyFill="1" applyBorder="1" applyProtection="1">
      <protection hidden="1"/>
    </xf>
    <xf numFmtId="0" fontId="24" fillId="12" borderId="26" xfId="0" applyFont="1" applyFill="1" applyBorder="1" applyProtection="1">
      <protection hidden="1"/>
    </xf>
    <xf numFmtId="0" fontId="0" fillId="12" borderId="30" xfId="0" applyFill="1" applyBorder="1" applyProtection="1">
      <protection hidden="1"/>
    </xf>
    <xf numFmtId="0" fontId="10" fillId="7" borderId="0" xfId="0" applyNumberFormat="1" applyFont="1" applyFill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left" vertical="center"/>
    </xf>
    <xf numFmtId="0" fontId="10" fillId="4" borderId="0" xfId="0" applyNumberFormat="1" applyFont="1" applyFill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2" fillId="5" borderId="0" xfId="0" applyNumberFormat="1" applyFont="1" applyFill="1" applyAlignment="1">
      <alignment vertical="center" wrapText="1"/>
    </xf>
    <xf numFmtId="0" fontId="13" fillId="4" borderId="0" xfId="0" applyNumberFormat="1" applyFont="1" applyFill="1" applyAlignment="1">
      <alignment horizontal="center" vertical="center"/>
    </xf>
    <xf numFmtId="0" fontId="14" fillId="4" borderId="0" xfId="0" applyNumberFormat="1" applyFont="1" applyFill="1" applyAlignment="1">
      <alignment horizontal="center" vertical="center"/>
    </xf>
    <xf numFmtId="0" fontId="14" fillId="4" borderId="0" xfId="0" applyNumberFormat="1" applyFont="1" applyFill="1" applyAlignment="1">
      <alignment horizontal="left" vertical="center"/>
    </xf>
    <xf numFmtId="0" fontId="19" fillId="4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9" fillId="4" borderId="0" xfId="0" applyNumberFormat="1" applyFont="1" applyFill="1" applyAlignment="1">
      <alignment horizontal="center" vertical="center"/>
    </xf>
    <xf numFmtId="0" fontId="15" fillId="4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2" fillId="15" borderId="0" xfId="0" applyNumberFormat="1" applyFont="1" applyFill="1" applyAlignment="1">
      <alignment horizontal="center" vertical="center"/>
    </xf>
    <xf numFmtId="0" fontId="12" fillId="4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 wrapText="1"/>
    </xf>
    <xf numFmtId="0" fontId="12" fillId="6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20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 vertical="center" wrapText="1"/>
    </xf>
    <xf numFmtId="0" fontId="1" fillId="0" borderId="0" xfId="1" applyNumberForma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8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7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 applyProtection="1">
      <alignment horizontal="center" vertical="center"/>
      <protection hidden="1"/>
    </xf>
    <xf numFmtId="0" fontId="31" fillId="0" borderId="0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right" vertical="center"/>
      <protection hidden="1"/>
    </xf>
    <xf numFmtId="1" fontId="32" fillId="0" borderId="0" xfId="0" applyNumberFormat="1" applyFont="1" applyAlignment="1" applyProtection="1">
      <alignment horizontal="left"/>
      <protection hidden="1"/>
    </xf>
    <xf numFmtId="22" fontId="35" fillId="3" borderId="2" xfId="0" applyNumberFormat="1" applyFont="1" applyFill="1" applyBorder="1" applyAlignment="1">
      <alignment vertical="center" wrapText="1"/>
    </xf>
    <xf numFmtId="0" fontId="37" fillId="17" borderId="0" xfId="12" applyNumberFormat="1" applyAlignment="1">
      <alignment vertical="center" wrapText="1"/>
    </xf>
    <xf numFmtId="0" fontId="36" fillId="16" borderId="0" xfId="11" applyNumberFormat="1" applyAlignment="1">
      <alignment vertical="center" wrapText="1"/>
    </xf>
    <xf numFmtId="0" fontId="12" fillId="0" borderId="0" xfId="0" applyNumberFormat="1" applyFont="1" applyAlignment="1">
      <alignment horizontal="left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31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21" fillId="0" borderId="4" xfId="8" applyFill="1" applyAlignment="1" applyProtection="1">
      <alignment horizontal="center" vertical="center"/>
      <protection hidden="1"/>
    </xf>
    <xf numFmtId="164" fontId="30" fillId="0" borderId="35" xfId="0" applyNumberFormat="1" applyFont="1" applyFill="1" applyBorder="1" applyAlignment="1" applyProtection="1">
      <alignment horizontal="center" vertical="center"/>
      <protection hidden="1"/>
    </xf>
    <xf numFmtId="164" fontId="30" fillId="0" borderId="36" xfId="0" applyNumberFormat="1" applyFont="1" applyFill="1" applyBorder="1" applyAlignment="1" applyProtection="1">
      <alignment horizontal="center" vertical="center"/>
      <protection hidden="1"/>
    </xf>
    <xf numFmtId="164" fontId="31" fillId="0" borderId="37" xfId="0" applyNumberFormat="1" applyFont="1" applyFill="1" applyBorder="1" applyAlignment="1" applyProtection="1">
      <alignment horizontal="center" vertical="center"/>
      <protection hidden="1"/>
    </xf>
    <xf numFmtId="164" fontId="31" fillId="0" borderId="38" xfId="0" applyNumberFormat="1" applyFont="1" applyFill="1" applyBorder="1" applyAlignment="1" applyProtection="1">
      <alignment horizontal="center" vertical="center"/>
      <protection hidden="1"/>
    </xf>
    <xf numFmtId="164" fontId="31" fillId="0" borderId="39" xfId="0" applyNumberFormat="1" applyFont="1" applyFill="1" applyBorder="1" applyAlignment="1" applyProtection="1">
      <alignment horizontal="center" vertical="center"/>
      <protection hidden="1"/>
    </xf>
    <xf numFmtId="10" fontId="0" fillId="0" borderId="37" xfId="0" applyNumberFormat="1" applyFill="1" applyBorder="1" applyAlignment="1" applyProtection="1">
      <alignment horizontal="center" vertical="center"/>
      <protection hidden="1"/>
    </xf>
    <xf numFmtId="10" fontId="0" fillId="0" borderId="38" xfId="0" applyNumberFormat="1" applyFill="1" applyBorder="1" applyAlignment="1" applyProtection="1">
      <alignment horizontal="center" vertical="center"/>
      <protection hidden="1"/>
    </xf>
    <xf numFmtId="10" fontId="0" fillId="0" borderId="39" xfId="0" applyNumberFormat="1" applyFill="1" applyBorder="1" applyAlignment="1" applyProtection="1">
      <alignment horizontal="center" vertical="center"/>
      <protection hidden="1"/>
    </xf>
    <xf numFmtId="0" fontId="25" fillId="10" borderId="23" xfId="0" applyFont="1" applyFill="1" applyBorder="1" applyAlignment="1" applyProtection="1">
      <alignment horizontal="center" vertical="center"/>
      <protection hidden="1"/>
    </xf>
    <xf numFmtId="0" fontId="25" fillId="10" borderId="24" xfId="0" applyFont="1" applyFill="1" applyBorder="1" applyAlignment="1" applyProtection="1">
      <alignment horizontal="center" vertical="center"/>
      <protection hidden="1"/>
    </xf>
    <xf numFmtId="0" fontId="25" fillId="10" borderId="25" xfId="0" applyFont="1" applyFill="1" applyBorder="1" applyAlignment="1" applyProtection="1">
      <alignment horizontal="center" vertical="center"/>
      <protection hidden="1"/>
    </xf>
    <xf numFmtId="0" fontId="25" fillId="10" borderId="26" xfId="0" applyFont="1" applyFill="1" applyBorder="1" applyAlignment="1" applyProtection="1">
      <alignment horizontal="center" vertical="center"/>
      <protection hidden="1"/>
    </xf>
    <xf numFmtId="0" fontId="25" fillId="10" borderId="0" xfId="0" applyFont="1" applyFill="1" applyBorder="1" applyAlignment="1" applyProtection="1">
      <alignment horizontal="center" vertical="center"/>
      <protection hidden="1"/>
    </xf>
    <xf numFmtId="0" fontId="25" fillId="10" borderId="27" xfId="0" applyFont="1" applyFill="1" applyBorder="1" applyAlignment="1" applyProtection="1">
      <alignment horizontal="center" vertical="center"/>
      <protection hidden="1"/>
    </xf>
    <xf numFmtId="0" fontId="25" fillId="10" borderId="28" xfId="0" applyFont="1" applyFill="1" applyBorder="1" applyAlignment="1" applyProtection="1">
      <alignment horizontal="center" vertical="center"/>
      <protection hidden="1"/>
    </xf>
    <xf numFmtId="0" fontId="25" fillId="10" borderId="29" xfId="0" applyFont="1" applyFill="1" applyBorder="1" applyAlignment="1" applyProtection="1">
      <alignment horizontal="center" vertical="center"/>
      <protection hidden="1"/>
    </xf>
    <xf numFmtId="0" fontId="25" fillId="10" borderId="30" xfId="0" applyFont="1" applyFill="1" applyBorder="1" applyAlignment="1" applyProtection="1">
      <alignment horizontal="center" vertical="center"/>
      <protection hidden="1"/>
    </xf>
    <xf numFmtId="164" fontId="26" fillId="10" borderId="24" xfId="0" applyNumberFormat="1" applyFont="1" applyFill="1" applyBorder="1" applyAlignment="1" applyProtection="1">
      <alignment horizontal="center" vertical="center"/>
      <protection hidden="1"/>
    </xf>
    <xf numFmtId="164" fontId="26" fillId="10" borderId="0" xfId="0" applyNumberFormat="1" applyFont="1" applyFill="1" applyBorder="1" applyAlignment="1" applyProtection="1">
      <alignment horizontal="center" vertical="center"/>
      <protection hidden="1"/>
    </xf>
    <xf numFmtId="164" fontId="27" fillId="10" borderId="24" xfId="0" applyNumberFormat="1" applyFont="1" applyFill="1" applyBorder="1" applyAlignment="1" applyProtection="1">
      <alignment horizontal="center" vertical="center"/>
      <protection hidden="1"/>
    </xf>
    <xf numFmtId="164" fontId="27" fillId="10" borderId="0" xfId="0" applyNumberFormat="1" applyFont="1" applyFill="1" applyBorder="1" applyAlignment="1" applyProtection="1">
      <alignment horizontal="center" vertical="center"/>
      <protection hidden="1"/>
    </xf>
    <xf numFmtId="164" fontId="29" fillId="14" borderId="0" xfId="0" applyNumberFormat="1" applyFont="1" applyFill="1" applyAlignment="1" applyProtection="1">
      <alignment horizontal="center" vertical="center"/>
      <protection hidden="1"/>
    </xf>
    <xf numFmtId="164" fontId="28" fillId="13" borderId="0" xfId="0" applyNumberFormat="1" applyFont="1" applyFill="1" applyAlignment="1" applyProtection="1">
      <alignment horizontal="center" vertical="center"/>
      <protection hidden="1"/>
    </xf>
    <xf numFmtId="164" fontId="26" fillId="14" borderId="24" xfId="0" applyNumberFormat="1" applyFont="1" applyFill="1" applyBorder="1" applyAlignment="1" applyProtection="1">
      <alignment horizontal="center" vertical="center"/>
      <protection hidden="1"/>
    </xf>
    <xf numFmtId="164" fontId="26" fillId="14" borderId="0" xfId="0" applyNumberFormat="1" applyFont="1" applyFill="1" applyBorder="1" applyAlignment="1" applyProtection="1">
      <alignment horizontal="center" vertical="center"/>
      <protection hidden="1"/>
    </xf>
    <xf numFmtId="0" fontId="25" fillId="14" borderId="24" xfId="0" applyFont="1" applyFill="1" applyBorder="1" applyAlignment="1" applyProtection="1">
      <alignment horizontal="center" vertical="center"/>
      <protection hidden="1"/>
    </xf>
    <xf numFmtId="0" fontId="25" fillId="14" borderId="0" xfId="0" applyFont="1" applyFill="1" applyBorder="1" applyAlignment="1" applyProtection="1">
      <alignment horizontal="center" vertical="center"/>
      <protection hidden="1"/>
    </xf>
    <xf numFmtId="164" fontId="27" fillId="14" borderId="24" xfId="0" applyNumberFormat="1" applyFont="1" applyFill="1" applyBorder="1" applyAlignment="1" applyProtection="1">
      <alignment horizontal="center" vertical="center"/>
      <protection hidden="1"/>
    </xf>
    <xf numFmtId="164" fontId="27" fillId="14" borderId="0" xfId="0" applyNumberFormat="1" applyFont="1" applyFill="1" applyBorder="1" applyAlignment="1" applyProtection="1">
      <alignment horizontal="center" vertical="center"/>
      <protection hidden="1"/>
    </xf>
    <xf numFmtId="164" fontId="26" fillId="13" borderId="24" xfId="0" applyNumberFormat="1" applyFont="1" applyFill="1" applyBorder="1" applyAlignment="1" applyProtection="1">
      <alignment horizontal="center" vertical="center"/>
      <protection hidden="1"/>
    </xf>
    <xf numFmtId="164" fontId="26" fillId="13" borderId="0" xfId="0" applyNumberFormat="1" applyFont="1" applyFill="1" applyBorder="1" applyAlignment="1" applyProtection="1">
      <alignment horizontal="center" vertical="center"/>
      <protection hidden="1"/>
    </xf>
    <xf numFmtId="0" fontId="25" fillId="13" borderId="24" xfId="0" applyFont="1" applyFill="1" applyBorder="1" applyAlignment="1" applyProtection="1">
      <alignment horizontal="center" vertical="center"/>
      <protection hidden="1"/>
    </xf>
    <xf numFmtId="0" fontId="25" fillId="13" borderId="0" xfId="0" applyFont="1" applyFill="1" applyBorder="1" applyAlignment="1" applyProtection="1">
      <alignment horizontal="center" vertical="center"/>
      <protection hidden="1"/>
    </xf>
    <xf numFmtId="164" fontId="27" fillId="13" borderId="24" xfId="0" applyNumberFormat="1" applyFont="1" applyFill="1" applyBorder="1" applyAlignment="1" applyProtection="1">
      <alignment horizontal="center" vertical="center"/>
      <protection hidden="1"/>
    </xf>
    <xf numFmtId="164" fontId="27" fillId="13" borderId="0" xfId="0" applyNumberFormat="1" applyFont="1" applyFill="1" applyBorder="1" applyAlignment="1" applyProtection="1">
      <alignment horizontal="center" vertical="center"/>
      <protection hidden="1"/>
    </xf>
    <xf numFmtId="0" fontId="23" fillId="8" borderId="0" xfId="0" applyFont="1" applyFill="1" applyAlignment="1" applyProtection="1">
      <alignment horizontal="center"/>
      <protection hidden="1"/>
    </xf>
    <xf numFmtId="0" fontId="23" fillId="11" borderId="0" xfId="0" applyFont="1" applyFill="1" applyAlignment="1" applyProtection="1">
      <alignment horizontal="center"/>
      <protection hidden="1"/>
    </xf>
    <xf numFmtId="0" fontId="23" fillId="12" borderId="0" xfId="0" applyFont="1" applyFill="1" applyAlignment="1" applyProtection="1">
      <alignment horizontal="center"/>
      <protection hidden="1"/>
    </xf>
    <xf numFmtId="0" fontId="12" fillId="18" borderId="0" xfId="0" applyNumberFormat="1" applyFont="1" applyFill="1" applyAlignment="1">
      <alignment horizontal="center" vertical="center"/>
    </xf>
    <xf numFmtId="0" fontId="38" fillId="18" borderId="0" xfId="11" applyNumberFormat="1" applyFont="1" applyFill="1" applyAlignment="1">
      <alignment horizontal="center" vertical="center"/>
    </xf>
  </cellXfs>
  <cellStyles count="13">
    <cellStyle name="Buena" xfId="11" builtinId="26"/>
    <cellStyle name="Encabezado 1" xfId="8" builtinId="16"/>
    <cellStyle name="Excel Built-in Normal" xfId="7"/>
    <cellStyle name="Hipervínculo" xfId="1" builtinId="8"/>
    <cellStyle name="Hipervínculo 2" xfId="6"/>
    <cellStyle name="Hipervínculo 3" xfId="2"/>
    <cellStyle name="Incorrecto" xfId="12" builtinId="27"/>
    <cellStyle name="Normal" xfId="0" builtinId="0"/>
    <cellStyle name="Normal 2 5 2" xfId="5"/>
    <cellStyle name="Normal 4" xfId="4"/>
    <cellStyle name="Normal 7" xfId="3"/>
    <cellStyle name="Título 2" xfId="9" builtinId="17"/>
    <cellStyle name="Total" xfId="10" builtinId="25"/>
  </cellStyles>
  <dxfs count="0"/>
  <tableStyles count="0" defaultTableStyle="TableStyleMedium2" defaultPivotStyle="PivotStyleLight16"/>
  <colors>
    <mruColors>
      <color rgb="FFD840C2"/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AFER31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7"/>
  <sheetViews>
    <sheetView tabSelected="1" zoomScale="85" zoomScaleNormal="85" workbookViewId="0">
      <selection activeCell="L317" sqref="L317"/>
    </sheetView>
  </sheetViews>
  <sheetFormatPr baseColWidth="10" defaultRowHeight="15" customHeight="1" x14ac:dyDescent="0.25"/>
  <cols>
    <col min="1" max="1" width="4.140625" style="118" customWidth="1"/>
    <col min="2" max="2" width="6.140625" style="12" customWidth="1"/>
    <col min="3" max="3" width="5.140625" style="12" bestFit="1" customWidth="1"/>
    <col min="4" max="4" width="5.85546875" style="12" customWidth="1"/>
    <col min="5" max="5" width="7.140625" style="12" customWidth="1"/>
    <col min="6" max="6" width="12.140625" style="12" bestFit="1" customWidth="1"/>
    <col min="7" max="7" width="13.7109375" style="12" customWidth="1"/>
    <col min="8" max="8" width="11" style="12" customWidth="1"/>
    <col min="9" max="9" width="6.5703125" style="12" customWidth="1"/>
    <col min="10" max="10" width="9.7109375" style="12" customWidth="1"/>
    <col min="11" max="11" width="14.5703125" style="12" bestFit="1" customWidth="1"/>
    <col min="12" max="12" width="15" style="12" customWidth="1"/>
    <col min="13" max="13" width="0.140625" style="12" customWidth="1"/>
    <col min="14" max="14" width="16.28515625" style="12" customWidth="1"/>
    <col min="15" max="17" width="20.7109375" style="111" customWidth="1"/>
    <col min="18" max="18" width="8.140625" style="12" customWidth="1"/>
    <col min="19" max="19" width="11.42578125" style="12"/>
    <col min="20" max="20" width="5.5703125" style="12" bestFit="1" customWidth="1"/>
    <col min="21" max="21" width="15.140625" style="3" bestFit="1" customWidth="1"/>
    <col min="22" max="22" width="4.28515625" style="12" customWidth="1"/>
    <col min="23" max="23" width="12.42578125" style="12" bestFit="1" customWidth="1"/>
    <col min="24" max="24" width="45.7109375" style="111" bestFit="1" customWidth="1"/>
    <col min="25" max="25" width="11.85546875" style="12" bestFit="1" customWidth="1"/>
    <col min="26" max="26" width="20.7109375" style="12" bestFit="1" customWidth="1"/>
    <col min="27" max="27" width="10.7109375" style="12" bestFit="1" customWidth="1"/>
    <col min="28" max="28" width="19.140625" style="12" bestFit="1" customWidth="1"/>
    <col min="29" max="29" width="9.140625" style="12" customWidth="1"/>
    <col min="30" max="30" width="11.7109375" style="12" bestFit="1" customWidth="1"/>
    <col min="31" max="31" width="40.85546875" style="121" bestFit="1" customWidth="1"/>
    <col min="32" max="35" width="9.7109375" style="122" customWidth="1"/>
    <col min="36" max="36" width="20.85546875" style="122" customWidth="1"/>
    <col min="37" max="37" width="3" style="12" customWidth="1"/>
    <col min="38" max="39" width="12.7109375" style="12" customWidth="1"/>
    <col min="40" max="16384" width="11.42578125" style="12"/>
  </cols>
  <sheetData>
    <row r="1" spans="1:39" ht="15" customHeight="1" thickBot="1" x14ac:dyDescent="0.3">
      <c r="A1" s="85">
        <v>1</v>
      </c>
      <c r="B1" s="86" t="s">
        <v>1365</v>
      </c>
      <c r="C1" s="87" t="s">
        <v>936</v>
      </c>
      <c r="D1" s="88"/>
      <c r="E1" s="89" t="s">
        <v>683</v>
      </c>
      <c r="F1" s="89" t="s">
        <v>937</v>
      </c>
      <c r="G1" s="89" t="s">
        <v>938</v>
      </c>
      <c r="H1" s="89" t="s">
        <v>939</v>
      </c>
      <c r="I1" s="89" t="s">
        <v>682</v>
      </c>
      <c r="J1" s="89" t="s">
        <v>940</v>
      </c>
      <c r="K1" s="132" t="s">
        <v>941</v>
      </c>
      <c r="L1" s="133"/>
      <c r="M1" s="134"/>
      <c r="N1" s="89" t="s">
        <v>942</v>
      </c>
      <c r="O1" s="90" t="s">
        <v>943</v>
      </c>
      <c r="P1" s="90" t="s">
        <v>944</v>
      </c>
      <c r="Q1" s="90" t="s">
        <v>945</v>
      </c>
      <c r="R1" s="89" t="s">
        <v>946</v>
      </c>
      <c r="S1" s="89" t="s">
        <v>947</v>
      </c>
      <c r="T1" s="89" t="s">
        <v>948</v>
      </c>
      <c r="U1" s="123" t="s">
        <v>1364</v>
      </c>
      <c r="V1" s="128">
        <f ca="1">NOW()</f>
        <v>43123.687990162034</v>
      </c>
      <c r="W1" s="89" t="s">
        <v>949</v>
      </c>
      <c r="X1" s="90" t="s">
        <v>950</v>
      </c>
      <c r="Y1" s="89" t="s">
        <v>1240</v>
      </c>
      <c r="Z1" s="89" t="s">
        <v>951</v>
      </c>
      <c r="AA1" s="89" t="s">
        <v>952</v>
      </c>
      <c r="AB1" s="89" t="s">
        <v>953</v>
      </c>
      <c r="AC1" s="89" t="s">
        <v>1241</v>
      </c>
      <c r="AD1" s="89" t="s">
        <v>954</v>
      </c>
      <c r="AE1" s="89" t="s">
        <v>955</v>
      </c>
      <c r="AF1" s="89" t="s">
        <v>919</v>
      </c>
      <c r="AG1" s="89" t="s">
        <v>956</v>
      </c>
      <c r="AH1" s="89" t="s">
        <v>957</v>
      </c>
      <c r="AI1" s="89" t="s">
        <v>918</v>
      </c>
      <c r="AJ1" s="89" t="s">
        <v>958</v>
      </c>
      <c r="AK1" s="91"/>
      <c r="AL1" s="92" t="s">
        <v>959</v>
      </c>
      <c r="AM1" s="89">
        <v>2018</v>
      </c>
    </row>
    <row r="2" spans="1:39" ht="15" customHeight="1" x14ac:dyDescent="0.25">
      <c r="A2" s="85">
        <v>2</v>
      </c>
      <c r="B2" s="93"/>
      <c r="C2" s="94">
        <v>1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  <c r="P2" s="96"/>
      <c r="Q2" s="96"/>
      <c r="R2" s="95"/>
      <c r="S2" s="95"/>
      <c r="T2" s="95"/>
      <c r="U2" s="5"/>
      <c r="V2" s="9"/>
      <c r="W2" s="95"/>
      <c r="X2" s="96"/>
      <c r="Y2" s="95"/>
      <c r="Z2" s="95"/>
      <c r="AA2" s="95"/>
      <c r="AB2" s="95"/>
      <c r="AC2" s="95"/>
      <c r="AD2" s="95"/>
      <c r="AE2" s="97"/>
      <c r="AF2" s="9"/>
      <c r="AG2" s="9"/>
      <c r="AH2" s="9"/>
      <c r="AI2" s="9"/>
      <c r="AJ2" s="9"/>
      <c r="AK2" s="98"/>
      <c r="AL2" s="99">
        <v>0</v>
      </c>
      <c r="AM2" s="100"/>
    </row>
    <row r="3" spans="1:39" ht="15" customHeight="1" x14ac:dyDescent="0.25">
      <c r="A3" s="85">
        <v>3</v>
      </c>
      <c r="B3" s="93"/>
      <c r="C3" s="11"/>
      <c r="D3" s="8" t="s">
        <v>212</v>
      </c>
      <c r="E3" s="8" t="s">
        <v>684</v>
      </c>
      <c r="F3" s="8" t="s">
        <v>683</v>
      </c>
      <c r="G3" s="8" t="s">
        <v>920</v>
      </c>
      <c r="H3" s="8"/>
      <c r="I3" s="101"/>
      <c r="J3" s="8" t="s">
        <v>684</v>
      </c>
      <c r="K3" s="8" t="s">
        <v>1359</v>
      </c>
      <c r="L3" s="8" t="s">
        <v>1354</v>
      </c>
      <c r="M3" s="8" t="str">
        <f>CONCATENATE(K3," ",L3)</f>
        <v>ZITRON-ASCAZ HOSPITALARIA</v>
      </c>
      <c r="N3" s="8" t="s">
        <v>3</v>
      </c>
      <c r="O3" s="102" t="s">
        <v>1244</v>
      </c>
      <c r="P3" s="102" t="s">
        <v>1266</v>
      </c>
      <c r="Q3" s="102" t="s">
        <v>73</v>
      </c>
      <c r="R3" s="8" t="s">
        <v>2</v>
      </c>
      <c r="S3" s="8" t="s">
        <v>214</v>
      </c>
      <c r="T3" s="8" t="s">
        <v>772</v>
      </c>
      <c r="U3" s="4">
        <v>28670</v>
      </c>
      <c r="V3" s="10">
        <f ca="1">YEAR($V$1)-YEAR(U3)</f>
        <v>40</v>
      </c>
      <c r="W3" s="8" t="s">
        <v>1</v>
      </c>
      <c r="X3" s="102" t="s">
        <v>213</v>
      </c>
      <c r="Y3" s="8">
        <v>5</v>
      </c>
      <c r="Z3" s="8" t="s">
        <v>212</v>
      </c>
      <c r="AA3" s="8" t="s">
        <v>0</v>
      </c>
      <c r="AB3" s="8" t="s">
        <v>35</v>
      </c>
      <c r="AC3" s="8">
        <v>33204</v>
      </c>
      <c r="AD3" s="8">
        <v>626080685</v>
      </c>
      <c r="AE3" s="103" t="s">
        <v>960</v>
      </c>
      <c r="AF3" s="8" t="s">
        <v>1232</v>
      </c>
      <c r="AG3" s="8" t="s">
        <v>450</v>
      </c>
      <c r="AH3" s="8" t="s">
        <v>210</v>
      </c>
      <c r="AI3" s="8">
        <v>49</v>
      </c>
      <c r="AJ3" s="8" t="s">
        <v>209</v>
      </c>
      <c r="AK3" s="98"/>
      <c r="AL3" s="11"/>
      <c r="AM3" s="104">
        <v>10</v>
      </c>
    </row>
    <row r="4" spans="1:39" ht="15" customHeight="1" x14ac:dyDescent="0.25">
      <c r="A4" s="85">
        <v>4</v>
      </c>
      <c r="B4" s="93"/>
      <c r="C4" s="11"/>
      <c r="D4" s="8" t="s">
        <v>685</v>
      </c>
      <c r="E4" s="8" t="s">
        <v>684</v>
      </c>
      <c r="F4" s="8" t="s">
        <v>683</v>
      </c>
      <c r="G4" s="8" t="s">
        <v>920</v>
      </c>
      <c r="H4" s="8"/>
      <c r="I4" s="101"/>
      <c r="J4" s="8" t="s">
        <v>684</v>
      </c>
      <c r="K4" s="8" t="s">
        <v>1359</v>
      </c>
      <c r="L4" s="8" t="s">
        <v>1354</v>
      </c>
      <c r="M4" s="8" t="str">
        <f t="shared" ref="M4:M5" si="0">CONCATENATE(K4," ",L4)</f>
        <v>ZITRON-ASCAZ HOSPITALARIA</v>
      </c>
      <c r="N4" s="8" t="s">
        <v>48</v>
      </c>
      <c r="O4" s="102" t="s">
        <v>681</v>
      </c>
      <c r="P4" s="102" t="s">
        <v>508</v>
      </c>
      <c r="Q4" s="102" t="s">
        <v>680</v>
      </c>
      <c r="R4" s="8" t="s">
        <v>2</v>
      </c>
      <c r="S4" s="8" t="s">
        <v>679</v>
      </c>
      <c r="T4" s="8" t="s">
        <v>753</v>
      </c>
      <c r="U4" s="4">
        <v>30005</v>
      </c>
      <c r="V4" s="10">
        <f ca="1">YEAR($V$1)-YEAR(U4)</f>
        <v>36</v>
      </c>
      <c r="W4" s="8"/>
      <c r="X4" s="102"/>
      <c r="Y4" s="8"/>
      <c r="Z4" s="8"/>
      <c r="AA4" s="8"/>
      <c r="AB4" s="8"/>
      <c r="AC4" s="8"/>
      <c r="AD4" s="8"/>
      <c r="AE4" s="103"/>
      <c r="AF4" s="8"/>
      <c r="AG4" s="8"/>
      <c r="AH4" s="8"/>
      <c r="AI4" s="8"/>
      <c r="AJ4" s="8"/>
      <c r="AK4" s="98"/>
      <c r="AL4" s="11"/>
      <c r="AM4" s="104">
        <v>10</v>
      </c>
    </row>
    <row r="5" spans="1:39" ht="15" customHeight="1" x14ac:dyDescent="0.25">
      <c r="A5" s="85">
        <v>5</v>
      </c>
      <c r="B5" s="93"/>
      <c r="C5" s="11"/>
      <c r="D5" s="8" t="s">
        <v>686</v>
      </c>
      <c r="E5" s="8" t="s">
        <v>684</v>
      </c>
      <c r="F5" s="8" t="s">
        <v>683</v>
      </c>
      <c r="G5" s="8">
        <v>2016</v>
      </c>
      <c r="H5" s="8"/>
      <c r="I5" s="101"/>
      <c r="J5" s="8" t="s">
        <v>684</v>
      </c>
      <c r="K5" s="8" t="s">
        <v>1359</v>
      </c>
      <c r="L5" s="8" t="s">
        <v>1353</v>
      </c>
      <c r="M5" s="8" t="str">
        <f t="shared" si="0"/>
        <v>ZITRON-ASCAZ AMBULATORIA</v>
      </c>
      <c r="N5" s="105" t="s">
        <v>932</v>
      </c>
      <c r="O5" s="102" t="s">
        <v>510</v>
      </c>
      <c r="P5" s="102" t="s">
        <v>1266</v>
      </c>
      <c r="Q5" s="102" t="s">
        <v>508</v>
      </c>
      <c r="R5" s="8" t="s">
        <v>2</v>
      </c>
      <c r="S5" s="8" t="s">
        <v>509</v>
      </c>
      <c r="T5" s="8" t="s">
        <v>772</v>
      </c>
      <c r="U5" s="4">
        <v>42435</v>
      </c>
      <c r="V5" s="10">
        <f t="shared" ref="V5:V7" ca="1" si="1">YEAR($V$1)-YEAR(U5)</f>
        <v>2</v>
      </c>
      <c r="W5" s="8"/>
      <c r="X5" s="102"/>
      <c r="Y5" s="8"/>
      <c r="Z5" s="8"/>
      <c r="AA5" s="8"/>
      <c r="AB5" s="8"/>
      <c r="AC5" s="8"/>
      <c r="AD5" s="8"/>
      <c r="AE5" s="103"/>
      <c r="AF5" s="8"/>
      <c r="AG5" s="8"/>
      <c r="AH5" s="8"/>
      <c r="AI5" s="8"/>
      <c r="AJ5" s="8"/>
      <c r="AK5" s="98"/>
      <c r="AL5" s="11"/>
      <c r="AM5" s="104">
        <v>10</v>
      </c>
    </row>
    <row r="6" spans="1:39" ht="15" customHeight="1" x14ac:dyDescent="0.25">
      <c r="A6" s="85">
        <v>6</v>
      </c>
      <c r="B6" s="93"/>
      <c r="C6" s="11"/>
      <c r="D6" s="8" t="s">
        <v>699</v>
      </c>
      <c r="E6" s="8" t="s">
        <v>684</v>
      </c>
      <c r="F6" s="8" t="s">
        <v>683</v>
      </c>
      <c r="G6" s="8">
        <v>2017</v>
      </c>
      <c r="H6" s="8"/>
      <c r="I6" s="101"/>
      <c r="J6" s="8" t="s">
        <v>684</v>
      </c>
      <c r="K6" s="8" t="s">
        <v>1359</v>
      </c>
      <c r="L6" s="8" t="s">
        <v>1353</v>
      </c>
      <c r="M6" s="8" t="str">
        <f>CONCATENATE(K6," ",L6)</f>
        <v>ZITRON-ASCAZ AMBULATORIA</v>
      </c>
      <c r="N6" s="105" t="s">
        <v>932</v>
      </c>
      <c r="O6" s="102" t="s">
        <v>329</v>
      </c>
      <c r="P6" s="102" t="s">
        <v>1266</v>
      </c>
      <c r="Q6" s="102" t="s">
        <v>508</v>
      </c>
      <c r="R6" s="8" t="s">
        <v>2</v>
      </c>
      <c r="S6" s="8"/>
      <c r="T6" s="8" t="s">
        <v>772</v>
      </c>
      <c r="U6" s="4">
        <v>42849</v>
      </c>
      <c r="V6" s="10">
        <f t="shared" ca="1" si="1"/>
        <v>1</v>
      </c>
      <c r="W6" s="8"/>
      <c r="X6" s="102"/>
      <c r="Y6" s="8"/>
      <c r="Z6" s="8"/>
      <c r="AA6" s="8"/>
      <c r="AB6" s="8"/>
      <c r="AC6" s="8"/>
      <c r="AD6" s="8"/>
      <c r="AE6" s="103"/>
      <c r="AF6" s="8"/>
      <c r="AG6" s="8"/>
      <c r="AH6" s="8"/>
      <c r="AI6" s="8"/>
      <c r="AJ6" s="8"/>
      <c r="AK6" s="98"/>
      <c r="AL6" s="11"/>
      <c r="AM6" s="104">
        <v>10</v>
      </c>
    </row>
    <row r="7" spans="1:39" ht="15" customHeight="1" x14ac:dyDescent="0.25">
      <c r="A7" s="85">
        <v>7</v>
      </c>
      <c r="B7" s="93"/>
      <c r="C7" s="11"/>
      <c r="D7" s="8" t="s">
        <v>59</v>
      </c>
      <c r="E7" s="8" t="s">
        <v>839</v>
      </c>
      <c r="F7" s="8" t="s">
        <v>683</v>
      </c>
      <c r="G7" s="8">
        <v>2017</v>
      </c>
      <c r="H7" s="8"/>
      <c r="I7" s="101"/>
      <c r="J7" s="8" t="s">
        <v>684</v>
      </c>
      <c r="K7" s="8" t="s">
        <v>1352</v>
      </c>
      <c r="L7" s="8" t="s">
        <v>1354</v>
      </c>
      <c r="M7" s="8" t="str">
        <f>CONCATENATE(K7," ",L7)</f>
        <v>ASCAZ HOSPITALARIA</v>
      </c>
      <c r="N7" s="105" t="s">
        <v>935</v>
      </c>
      <c r="O7" s="102" t="s">
        <v>208</v>
      </c>
      <c r="P7" s="102" t="s">
        <v>73</v>
      </c>
      <c r="Q7" s="102" t="s">
        <v>73</v>
      </c>
      <c r="R7" s="8" t="s">
        <v>2</v>
      </c>
      <c r="S7" s="8" t="s">
        <v>207</v>
      </c>
      <c r="T7" s="8" t="s">
        <v>753</v>
      </c>
      <c r="U7" s="4">
        <v>19887</v>
      </c>
      <c r="V7" s="10">
        <f t="shared" ca="1" si="1"/>
        <v>64</v>
      </c>
      <c r="W7" s="8" t="s">
        <v>196</v>
      </c>
      <c r="X7" s="102" t="s">
        <v>206</v>
      </c>
      <c r="Y7" s="8">
        <v>29</v>
      </c>
      <c r="Z7" s="8" t="s">
        <v>205</v>
      </c>
      <c r="AA7" s="8" t="s">
        <v>0</v>
      </c>
      <c r="AB7" s="8" t="s">
        <v>35</v>
      </c>
      <c r="AC7" s="8">
        <v>33203</v>
      </c>
      <c r="AD7" s="8">
        <v>616098171</v>
      </c>
      <c r="AE7" s="103" t="s">
        <v>961</v>
      </c>
      <c r="AF7" s="8"/>
      <c r="AG7" s="8"/>
      <c r="AH7" s="8"/>
      <c r="AI7" s="8"/>
      <c r="AJ7" s="8"/>
      <c r="AK7" s="98"/>
      <c r="AL7" s="11"/>
      <c r="AM7" s="104">
        <v>10</v>
      </c>
    </row>
    <row r="8" spans="1:39" ht="15" customHeight="1" x14ac:dyDescent="0.25">
      <c r="A8" s="85">
        <v>8</v>
      </c>
      <c r="B8" s="93"/>
      <c r="C8" s="94">
        <v>2</v>
      </c>
      <c r="D8" s="95"/>
      <c r="E8" s="9"/>
      <c r="F8" s="9"/>
      <c r="G8" s="9"/>
      <c r="H8" s="9"/>
      <c r="I8" s="9"/>
      <c r="J8" s="9"/>
      <c r="K8" s="9"/>
      <c r="L8" s="9"/>
      <c r="M8" s="106"/>
      <c r="N8" s="9"/>
      <c r="O8" s="107"/>
      <c r="P8" s="107"/>
      <c r="Q8" s="107"/>
      <c r="R8" s="9"/>
      <c r="S8" s="9"/>
      <c r="T8" s="9"/>
      <c r="U8" s="6"/>
      <c r="V8" s="9"/>
      <c r="W8" s="9"/>
      <c r="X8" s="107"/>
      <c r="Y8" s="9"/>
      <c r="Z8" s="9"/>
      <c r="AA8" s="9"/>
      <c r="AB8" s="9"/>
      <c r="AC8" s="9"/>
      <c r="AD8" s="9"/>
      <c r="AE8" s="108"/>
      <c r="AF8" s="9"/>
      <c r="AG8" s="9"/>
      <c r="AH8" s="9"/>
      <c r="AI8" s="9"/>
      <c r="AJ8" s="9"/>
      <c r="AK8" s="98"/>
      <c r="AL8" s="99">
        <v>0</v>
      </c>
      <c r="AM8" s="99"/>
    </row>
    <row r="9" spans="1:39" ht="15" customHeight="1" x14ac:dyDescent="0.25">
      <c r="A9" s="85">
        <v>9</v>
      </c>
      <c r="B9" s="93"/>
      <c r="C9" s="11"/>
      <c r="D9" s="8" t="s">
        <v>687</v>
      </c>
      <c r="E9" s="8" t="s">
        <v>684</v>
      </c>
      <c r="F9" s="8" t="s">
        <v>683</v>
      </c>
      <c r="G9" s="8" t="s">
        <v>920</v>
      </c>
      <c r="H9" s="8"/>
      <c r="I9" s="101"/>
      <c r="J9" s="8" t="s">
        <v>684</v>
      </c>
      <c r="K9" s="8" t="s">
        <v>1359</v>
      </c>
      <c r="L9" s="8" t="s">
        <v>1354</v>
      </c>
      <c r="M9" s="8" t="str">
        <f t="shared" ref="M9:M13" si="2">CONCATENATE(K9," ",L9)</f>
        <v>ZITRON-ASCAZ HOSPITALARIA</v>
      </c>
      <c r="N9" s="8" t="s">
        <v>3</v>
      </c>
      <c r="O9" s="102" t="s">
        <v>962</v>
      </c>
      <c r="P9" s="102" t="s">
        <v>10</v>
      </c>
      <c r="Q9" s="102" t="s">
        <v>73</v>
      </c>
      <c r="R9" s="8" t="s">
        <v>2</v>
      </c>
      <c r="S9" s="8" t="s">
        <v>507</v>
      </c>
      <c r="T9" s="8" t="s">
        <v>772</v>
      </c>
      <c r="U9" s="4">
        <v>27210</v>
      </c>
      <c r="V9" s="10">
        <f t="shared" ref="V9:V13" ca="1" si="3">YEAR($V$1)-YEAR(U9)</f>
        <v>44</v>
      </c>
      <c r="W9" s="8" t="s">
        <v>1</v>
      </c>
      <c r="X9" s="102" t="s">
        <v>963</v>
      </c>
      <c r="Y9" s="8">
        <v>31</v>
      </c>
      <c r="Z9" s="8" t="s">
        <v>212</v>
      </c>
      <c r="AA9" s="8" t="s">
        <v>0</v>
      </c>
      <c r="AB9" s="8" t="s">
        <v>35</v>
      </c>
      <c r="AC9" s="8">
        <v>33207</v>
      </c>
      <c r="AD9" s="8">
        <v>659453468</v>
      </c>
      <c r="AE9" s="103" t="s">
        <v>964</v>
      </c>
      <c r="AF9" s="8"/>
      <c r="AG9" s="8"/>
      <c r="AH9" s="8"/>
      <c r="AI9" s="8"/>
      <c r="AJ9" s="8"/>
      <c r="AK9" s="98"/>
      <c r="AL9" s="11"/>
      <c r="AM9" s="104">
        <v>10</v>
      </c>
    </row>
    <row r="10" spans="1:39" ht="15" customHeight="1" x14ac:dyDescent="0.25">
      <c r="A10" s="85">
        <v>10</v>
      </c>
      <c r="B10" s="93"/>
      <c r="C10" s="11"/>
      <c r="D10" s="8" t="s">
        <v>675</v>
      </c>
      <c r="E10" s="8" t="s">
        <v>684</v>
      </c>
      <c r="F10" s="8" t="s">
        <v>683</v>
      </c>
      <c r="G10" s="8" t="s">
        <v>920</v>
      </c>
      <c r="H10" s="8"/>
      <c r="I10" s="101"/>
      <c r="J10" s="8" t="s">
        <v>684</v>
      </c>
      <c r="K10" s="8" t="s">
        <v>1359</v>
      </c>
      <c r="L10" s="8" t="s">
        <v>1354</v>
      </c>
      <c r="M10" s="8" t="str">
        <f t="shared" si="2"/>
        <v>ZITRON-ASCAZ HOSPITALARIA</v>
      </c>
      <c r="N10" s="8" t="s">
        <v>48</v>
      </c>
      <c r="O10" s="102" t="s">
        <v>1253</v>
      </c>
      <c r="P10" s="102" t="s">
        <v>965</v>
      </c>
      <c r="Q10" s="102" t="s">
        <v>966</v>
      </c>
      <c r="R10" s="8" t="s">
        <v>2</v>
      </c>
      <c r="S10" s="8" t="s">
        <v>678</v>
      </c>
      <c r="T10" s="8" t="s">
        <v>753</v>
      </c>
      <c r="U10" s="4">
        <v>29128</v>
      </c>
      <c r="V10" s="10">
        <f t="shared" ca="1" si="3"/>
        <v>39</v>
      </c>
      <c r="W10" s="8"/>
      <c r="X10" s="102"/>
      <c r="Y10" s="8"/>
      <c r="Z10" s="8"/>
      <c r="AA10" s="8"/>
      <c r="AB10" s="8"/>
      <c r="AC10" s="8"/>
      <c r="AD10" s="8"/>
      <c r="AE10" s="103"/>
      <c r="AF10" s="8"/>
      <c r="AG10" s="8"/>
      <c r="AH10" s="8"/>
      <c r="AI10" s="8"/>
      <c r="AJ10" s="8"/>
      <c r="AK10" s="98"/>
      <c r="AL10" s="11"/>
      <c r="AM10" s="104">
        <v>10</v>
      </c>
    </row>
    <row r="11" spans="1:39" ht="15" customHeight="1" x14ac:dyDescent="0.25">
      <c r="A11" s="85">
        <v>11</v>
      </c>
      <c r="B11" s="93"/>
      <c r="C11" s="11"/>
      <c r="D11" s="8" t="s">
        <v>120</v>
      </c>
      <c r="E11" s="8" t="s">
        <v>684</v>
      </c>
      <c r="F11" s="8" t="s">
        <v>683</v>
      </c>
      <c r="G11" s="8" t="s">
        <v>920</v>
      </c>
      <c r="H11" s="8"/>
      <c r="I11" s="101"/>
      <c r="J11" s="8" t="s">
        <v>684</v>
      </c>
      <c r="K11" s="8" t="s">
        <v>1359</v>
      </c>
      <c r="L11" s="8" t="s">
        <v>1354</v>
      </c>
      <c r="M11" s="8" t="str">
        <f t="shared" si="2"/>
        <v>ZITRON-ASCAZ HOSPITALARIA</v>
      </c>
      <c r="N11" s="105" t="s">
        <v>932</v>
      </c>
      <c r="O11" s="102" t="s">
        <v>967</v>
      </c>
      <c r="P11" s="102" t="s">
        <v>10</v>
      </c>
      <c r="Q11" s="102" t="s">
        <v>965</v>
      </c>
      <c r="R11" s="8" t="s">
        <v>2</v>
      </c>
      <c r="S11" s="8" t="s">
        <v>677</v>
      </c>
      <c r="T11" s="8" t="s">
        <v>753</v>
      </c>
      <c r="U11" s="4">
        <v>36280</v>
      </c>
      <c r="V11" s="10">
        <f t="shared" ca="1" si="3"/>
        <v>19</v>
      </c>
      <c r="W11" s="8"/>
      <c r="X11" s="102"/>
      <c r="Y11" s="8"/>
      <c r="Z11" s="8"/>
      <c r="AA11" s="8"/>
      <c r="AB11" s="8"/>
      <c r="AC11" s="8"/>
      <c r="AD11" s="8"/>
      <c r="AE11" s="103"/>
      <c r="AF11" s="8"/>
      <c r="AG11" s="8"/>
      <c r="AH11" s="8"/>
      <c r="AI11" s="8"/>
      <c r="AJ11" s="8"/>
      <c r="AK11" s="98"/>
      <c r="AL11" s="11"/>
      <c r="AM11" s="104">
        <v>10</v>
      </c>
    </row>
    <row r="12" spans="1:39" ht="15" customHeight="1" x14ac:dyDescent="0.25">
      <c r="A12" s="85">
        <v>12</v>
      </c>
      <c r="B12" s="93"/>
      <c r="C12" s="11"/>
      <c r="D12" s="8" t="s">
        <v>467</v>
      </c>
      <c r="E12" s="8" t="s">
        <v>684</v>
      </c>
      <c r="F12" s="8" t="s">
        <v>683</v>
      </c>
      <c r="G12" s="8" t="s">
        <v>920</v>
      </c>
      <c r="H12" s="8"/>
      <c r="I12" s="101"/>
      <c r="J12" s="8" t="s">
        <v>684</v>
      </c>
      <c r="K12" s="8" t="s">
        <v>1359</v>
      </c>
      <c r="L12" s="8" t="s">
        <v>1353</v>
      </c>
      <c r="M12" s="8" t="str">
        <f t="shared" si="2"/>
        <v>ZITRON-ASCAZ AMBULATORIA</v>
      </c>
      <c r="N12" s="105" t="s">
        <v>932</v>
      </c>
      <c r="O12" s="102" t="s">
        <v>514</v>
      </c>
      <c r="P12" s="102" t="s">
        <v>10</v>
      </c>
      <c r="Q12" s="102" t="s">
        <v>965</v>
      </c>
      <c r="R12" s="8" t="s">
        <v>2</v>
      </c>
      <c r="S12" s="8" t="s">
        <v>505</v>
      </c>
      <c r="T12" s="8" t="s">
        <v>753</v>
      </c>
      <c r="U12" s="4">
        <v>39384</v>
      </c>
      <c r="V12" s="10">
        <f t="shared" ca="1" si="3"/>
        <v>11</v>
      </c>
      <c r="W12" s="8"/>
      <c r="X12" s="102"/>
      <c r="Y12" s="8"/>
      <c r="Z12" s="8"/>
      <c r="AA12" s="8"/>
      <c r="AB12" s="8"/>
      <c r="AC12" s="8"/>
      <c r="AD12" s="8"/>
      <c r="AE12" s="103"/>
      <c r="AF12" s="8"/>
      <c r="AG12" s="8"/>
      <c r="AH12" s="8"/>
      <c r="AI12" s="8"/>
      <c r="AJ12" s="8"/>
      <c r="AK12" s="98"/>
      <c r="AL12" s="11"/>
      <c r="AM12" s="104">
        <v>10</v>
      </c>
    </row>
    <row r="13" spans="1:39" ht="15" customHeight="1" x14ac:dyDescent="0.25">
      <c r="A13" s="85">
        <v>13</v>
      </c>
      <c r="B13" s="93"/>
      <c r="C13" s="11"/>
      <c r="D13" s="8" t="s">
        <v>700</v>
      </c>
      <c r="E13" s="8" t="s">
        <v>684</v>
      </c>
      <c r="F13" s="8" t="s">
        <v>683</v>
      </c>
      <c r="G13" s="8">
        <v>2012</v>
      </c>
      <c r="H13" s="8"/>
      <c r="I13" s="101"/>
      <c r="J13" s="8" t="s">
        <v>684</v>
      </c>
      <c r="K13" s="8" t="s">
        <v>1359</v>
      </c>
      <c r="L13" s="8" t="s">
        <v>1353</v>
      </c>
      <c r="M13" s="8" t="str">
        <f t="shared" si="2"/>
        <v>ZITRON-ASCAZ AMBULATORIA</v>
      </c>
      <c r="N13" s="105" t="s">
        <v>932</v>
      </c>
      <c r="O13" s="102" t="s">
        <v>968</v>
      </c>
      <c r="P13" s="102" t="s">
        <v>10</v>
      </c>
      <c r="Q13" s="102" t="s">
        <v>965</v>
      </c>
      <c r="R13" s="8" t="s">
        <v>2</v>
      </c>
      <c r="S13" s="8" t="s">
        <v>504</v>
      </c>
      <c r="T13" s="8" t="s">
        <v>753</v>
      </c>
      <c r="U13" s="4">
        <v>41243</v>
      </c>
      <c r="V13" s="10">
        <f t="shared" ca="1" si="3"/>
        <v>6</v>
      </c>
      <c r="W13" s="8"/>
      <c r="X13" s="102"/>
      <c r="Y13" s="8"/>
      <c r="Z13" s="8"/>
      <c r="AA13" s="8"/>
      <c r="AB13" s="8"/>
      <c r="AC13" s="8"/>
      <c r="AD13" s="8"/>
      <c r="AE13" s="103"/>
      <c r="AF13" s="8"/>
      <c r="AG13" s="8"/>
      <c r="AH13" s="8"/>
      <c r="AI13" s="8"/>
      <c r="AJ13" s="8"/>
      <c r="AK13" s="98"/>
      <c r="AL13" s="11"/>
      <c r="AM13" s="104">
        <v>10</v>
      </c>
    </row>
    <row r="14" spans="1:39" ht="15" customHeight="1" x14ac:dyDescent="0.25">
      <c r="A14" s="85">
        <v>14</v>
      </c>
      <c r="B14" s="93"/>
      <c r="C14" s="94">
        <v>3</v>
      </c>
      <c r="D14" s="95"/>
      <c r="E14" s="9"/>
      <c r="F14" s="9"/>
      <c r="G14" s="9"/>
      <c r="H14" s="9"/>
      <c r="I14" s="9"/>
      <c r="J14" s="9"/>
      <c r="K14" s="9"/>
      <c r="L14" s="9"/>
      <c r="M14" s="106"/>
      <c r="N14" s="9"/>
      <c r="O14" s="107"/>
      <c r="P14" s="107"/>
      <c r="Q14" s="107"/>
      <c r="R14" s="9"/>
      <c r="S14" s="9"/>
      <c r="T14" s="9"/>
      <c r="U14" s="6"/>
      <c r="V14" s="9"/>
      <c r="W14" s="9"/>
      <c r="X14" s="107"/>
      <c r="Y14" s="9"/>
      <c r="Z14" s="9"/>
      <c r="AA14" s="9"/>
      <c r="AB14" s="9"/>
      <c r="AC14" s="9"/>
      <c r="AD14" s="9"/>
      <c r="AE14" s="108"/>
      <c r="AF14" s="9"/>
      <c r="AG14" s="9"/>
      <c r="AH14" s="9"/>
      <c r="AI14" s="9"/>
      <c r="AJ14" s="9"/>
      <c r="AK14" s="98"/>
      <c r="AL14" s="99">
        <v>0</v>
      </c>
      <c r="AM14" s="99"/>
    </row>
    <row r="15" spans="1:39" ht="15" customHeight="1" x14ac:dyDescent="0.25">
      <c r="A15" s="85">
        <v>15</v>
      </c>
      <c r="B15" s="93"/>
      <c r="C15" s="11"/>
      <c r="D15" s="8" t="s">
        <v>205</v>
      </c>
      <c r="E15" s="8" t="s">
        <v>684</v>
      </c>
      <c r="F15" s="8" t="s">
        <v>683</v>
      </c>
      <c r="G15" s="8" t="s">
        <v>920</v>
      </c>
      <c r="H15" s="8"/>
      <c r="I15" s="174"/>
      <c r="J15" s="8" t="s">
        <v>684</v>
      </c>
      <c r="K15" s="8" t="s">
        <v>1359</v>
      </c>
      <c r="L15" s="8" t="s">
        <v>1354</v>
      </c>
      <c r="M15" s="8" t="str">
        <f t="shared" ref="M15:M16" si="4">CONCATENATE(K15," ",L15)</f>
        <v>ZITRON-ASCAZ HOSPITALARIA</v>
      </c>
      <c r="N15" s="8" t="s">
        <v>176</v>
      </c>
      <c r="O15" s="102" t="s">
        <v>969</v>
      </c>
      <c r="P15" s="102" t="s">
        <v>470</v>
      </c>
      <c r="Q15" s="102" t="s">
        <v>970</v>
      </c>
      <c r="R15" s="8" t="s">
        <v>2</v>
      </c>
      <c r="S15" s="8" t="s">
        <v>676</v>
      </c>
      <c r="T15" s="8" t="s">
        <v>753</v>
      </c>
      <c r="U15" s="4">
        <v>27457</v>
      </c>
      <c r="V15" s="10">
        <f t="shared" ref="V15:V16" ca="1" si="5">YEAR($V$1)-YEAR(U15)</f>
        <v>43</v>
      </c>
      <c r="W15" s="8" t="s">
        <v>1</v>
      </c>
      <c r="X15" s="102" t="s">
        <v>971</v>
      </c>
      <c r="Y15" s="8">
        <v>38</v>
      </c>
      <c r="Z15" s="8" t="s">
        <v>675</v>
      </c>
      <c r="AA15" s="8" t="s">
        <v>0</v>
      </c>
      <c r="AB15" s="8" t="s">
        <v>35</v>
      </c>
      <c r="AC15" s="8">
        <v>33209</v>
      </c>
      <c r="AD15" s="8"/>
      <c r="AE15" s="103" t="s">
        <v>972</v>
      </c>
      <c r="AF15" s="8"/>
      <c r="AG15" s="8"/>
      <c r="AH15" s="8"/>
      <c r="AI15" s="8"/>
      <c r="AJ15" s="8"/>
      <c r="AK15" s="98"/>
      <c r="AL15" s="11"/>
      <c r="AM15" s="104">
        <v>10</v>
      </c>
    </row>
    <row r="16" spans="1:39" ht="15" customHeight="1" x14ac:dyDescent="0.25">
      <c r="A16" s="85">
        <v>16</v>
      </c>
      <c r="B16" s="93"/>
      <c r="C16" s="11"/>
      <c r="D16" s="8" t="s">
        <v>701</v>
      </c>
      <c r="E16" s="8" t="s">
        <v>684</v>
      </c>
      <c r="F16" s="8" t="s">
        <v>683</v>
      </c>
      <c r="G16" s="8" t="s">
        <v>920</v>
      </c>
      <c r="H16" s="8"/>
      <c r="I16" s="174"/>
      <c r="J16" s="8" t="s">
        <v>684</v>
      </c>
      <c r="K16" s="8" t="s">
        <v>1359</v>
      </c>
      <c r="L16" s="8" t="s">
        <v>1354</v>
      </c>
      <c r="M16" s="8" t="str">
        <f t="shared" si="4"/>
        <v>ZITRON-ASCAZ HOSPITALARIA</v>
      </c>
      <c r="N16" s="105" t="s">
        <v>932</v>
      </c>
      <c r="O16" s="102" t="s">
        <v>307</v>
      </c>
      <c r="P16" s="102" t="s">
        <v>973</v>
      </c>
      <c r="Q16" s="102" t="s">
        <v>470</v>
      </c>
      <c r="R16" s="8"/>
      <c r="S16" s="8"/>
      <c r="T16" s="8" t="s">
        <v>753</v>
      </c>
      <c r="U16" s="4">
        <v>40708</v>
      </c>
      <c r="V16" s="10">
        <f t="shared" ca="1" si="5"/>
        <v>7</v>
      </c>
      <c r="W16" s="8"/>
      <c r="X16" s="102"/>
      <c r="Y16" s="8"/>
      <c r="Z16" s="8"/>
      <c r="AA16" s="8"/>
      <c r="AB16" s="8"/>
      <c r="AC16" s="8"/>
      <c r="AD16" s="8"/>
      <c r="AE16" s="103"/>
      <c r="AF16" s="8"/>
      <c r="AG16" s="8"/>
      <c r="AH16" s="8"/>
      <c r="AI16" s="8"/>
      <c r="AJ16" s="8"/>
      <c r="AK16" s="98"/>
      <c r="AL16" s="11"/>
      <c r="AM16" s="104">
        <v>10</v>
      </c>
    </row>
    <row r="17" spans="1:39" ht="15" customHeight="1" x14ac:dyDescent="0.25">
      <c r="A17" s="85">
        <v>17</v>
      </c>
      <c r="B17" s="93"/>
      <c r="C17" s="94">
        <v>4</v>
      </c>
      <c r="D17" s="95"/>
      <c r="E17" s="9"/>
      <c r="F17" s="9"/>
      <c r="G17" s="9"/>
      <c r="H17" s="9"/>
      <c r="I17" s="9"/>
      <c r="J17" s="9"/>
      <c r="K17" s="9"/>
      <c r="L17" s="9"/>
      <c r="M17" s="106"/>
      <c r="N17" s="9"/>
      <c r="O17" s="107"/>
      <c r="P17" s="107"/>
      <c r="Q17" s="107"/>
      <c r="R17" s="9"/>
      <c r="S17" s="9"/>
      <c r="T17" s="9"/>
      <c r="U17" s="6"/>
      <c r="V17" s="9"/>
      <c r="W17" s="9"/>
      <c r="X17" s="107"/>
      <c r="Y17" s="9"/>
      <c r="Z17" s="9"/>
      <c r="AA17" s="9"/>
      <c r="AB17" s="9"/>
      <c r="AC17" s="9"/>
      <c r="AD17" s="9"/>
      <c r="AE17" s="108"/>
      <c r="AF17" s="9"/>
      <c r="AG17" s="9"/>
      <c r="AH17" s="9"/>
      <c r="AI17" s="9"/>
      <c r="AJ17" s="9"/>
      <c r="AK17" s="98"/>
      <c r="AL17" s="99">
        <v>30</v>
      </c>
      <c r="AM17" s="99"/>
    </row>
    <row r="18" spans="1:39" ht="15" customHeight="1" x14ac:dyDescent="0.25">
      <c r="A18" s="85">
        <v>18</v>
      </c>
      <c r="B18" s="93"/>
      <c r="C18" s="11"/>
      <c r="D18" s="8" t="s">
        <v>704</v>
      </c>
      <c r="E18" s="8" t="s">
        <v>684</v>
      </c>
      <c r="F18" s="8" t="s">
        <v>683</v>
      </c>
      <c r="G18" s="8" t="s">
        <v>921</v>
      </c>
      <c r="H18" s="8"/>
      <c r="I18" s="174"/>
      <c r="J18" s="8" t="s">
        <v>684</v>
      </c>
      <c r="K18" s="8" t="s">
        <v>1359</v>
      </c>
      <c r="L18" s="8" t="s">
        <v>1354</v>
      </c>
      <c r="M18" s="8" t="str">
        <f t="shared" ref="M18:M19" si="6">CONCATENATE(K18," ",L18)</f>
        <v>ZITRON-ASCAZ HOSPITALARIA</v>
      </c>
      <c r="N18" s="8" t="s">
        <v>176</v>
      </c>
      <c r="O18" s="102" t="s">
        <v>673</v>
      </c>
      <c r="P18" s="102" t="s">
        <v>672</v>
      </c>
      <c r="Q18" s="102"/>
      <c r="R18" s="8" t="s">
        <v>526</v>
      </c>
      <c r="S18" s="8" t="s">
        <v>671</v>
      </c>
      <c r="T18" s="8" t="s">
        <v>772</v>
      </c>
      <c r="U18" s="4">
        <v>26955</v>
      </c>
      <c r="V18" s="10">
        <f t="shared" ref="V18:V19" ca="1" si="7">YEAR($V$1)-YEAR(U18)</f>
        <v>45</v>
      </c>
      <c r="W18" s="8" t="s">
        <v>974</v>
      </c>
      <c r="X18" s="102" t="s">
        <v>975</v>
      </c>
      <c r="Y18" s="8">
        <v>24</v>
      </c>
      <c r="Z18" s="8"/>
      <c r="AA18" s="8" t="s">
        <v>0</v>
      </c>
      <c r="AB18" s="8" t="s">
        <v>976</v>
      </c>
      <c r="AC18" s="8">
        <v>33429</v>
      </c>
      <c r="AD18" s="8">
        <v>677308875</v>
      </c>
      <c r="AE18" s="103" t="s">
        <v>977</v>
      </c>
      <c r="AF18" s="8"/>
      <c r="AG18" s="8"/>
      <c r="AH18" s="8"/>
      <c r="AI18" s="8"/>
      <c r="AJ18" s="8"/>
      <c r="AK18" s="98"/>
      <c r="AL18" s="11"/>
      <c r="AM18" s="104">
        <v>10</v>
      </c>
    </row>
    <row r="19" spans="1:39" ht="15" customHeight="1" x14ac:dyDescent="0.25">
      <c r="A19" s="85">
        <v>19</v>
      </c>
      <c r="B19" s="93"/>
      <c r="C19" s="11"/>
      <c r="D19" s="8" t="s">
        <v>703</v>
      </c>
      <c r="E19" s="8" t="s">
        <v>684</v>
      </c>
      <c r="F19" s="8" t="s">
        <v>683</v>
      </c>
      <c r="G19" s="8" t="s">
        <v>921</v>
      </c>
      <c r="H19" s="8"/>
      <c r="I19" s="174"/>
      <c r="J19" s="8" t="s">
        <v>684</v>
      </c>
      <c r="K19" s="8" t="s">
        <v>1359</v>
      </c>
      <c r="L19" s="8" t="s">
        <v>1354</v>
      </c>
      <c r="M19" s="8" t="str">
        <f t="shared" si="6"/>
        <v>ZITRON-ASCAZ HOSPITALARIA</v>
      </c>
      <c r="N19" s="8" t="s">
        <v>48</v>
      </c>
      <c r="O19" s="102" t="s">
        <v>1254</v>
      </c>
      <c r="P19" s="102" t="s">
        <v>153</v>
      </c>
      <c r="Q19" s="102" t="s">
        <v>1280</v>
      </c>
      <c r="R19" s="8" t="s">
        <v>2</v>
      </c>
      <c r="S19" s="8" t="s">
        <v>702</v>
      </c>
      <c r="T19" s="8" t="s">
        <v>753</v>
      </c>
      <c r="U19" s="4">
        <v>24009</v>
      </c>
      <c r="V19" s="10">
        <f t="shared" ca="1" si="7"/>
        <v>53</v>
      </c>
      <c r="W19" s="8"/>
      <c r="X19" s="102"/>
      <c r="Y19" s="8"/>
      <c r="Z19" s="8"/>
      <c r="AA19" s="8"/>
      <c r="AB19" s="8"/>
      <c r="AC19" s="8"/>
      <c r="AD19" s="8"/>
      <c r="AE19" s="103"/>
      <c r="AF19" s="8"/>
      <c r="AG19" s="8"/>
      <c r="AH19" s="8"/>
      <c r="AI19" s="8"/>
      <c r="AJ19" s="8"/>
      <c r="AK19" s="98"/>
      <c r="AL19" s="11"/>
      <c r="AM19" s="104">
        <v>10</v>
      </c>
    </row>
    <row r="20" spans="1:39" ht="15" customHeight="1" x14ac:dyDescent="0.25">
      <c r="A20" s="85">
        <v>20</v>
      </c>
      <c r="B20" s="93"/>
      <c r="C20" s="94">
        <v>5</v>
      </c>
      <c r="D20" s="95"/>
      <c r="E20" s="9"/>
      <c r="F20" s="9"/>
      <c r="G20" s="9"/>
      <c r="H20" s="9"/>
      <c r="I20" s="9"/>
      <c r="J20" s="9"/>
      <c r="K20" s="9"/>
      <c r="L20" s="9"/>
      <c r="M20" s="106"/>
      <c r="N20" s="9"/>
      <c r="O20" s="107"/>
      <c r="P20" s="107"/>
      <c r="Q20" s="107"/>
      <c r="R20" s="9"/>
      <c r="S20" s="9"/>
      <c r="T20" s="9"/>
      <c r="U20" s="6"/>
      <c r="V20" s="9"/>
      <c r="W20" s="9"/>
      <c r="X20" s="107"/>
      <c r="Y20" s="9"/>
      <c r="Z20" s="9"/>
      <c r="AA20" s="9"/>
      <c r="AB20" s="9"/>
      <c r="AC20" s="9"/>
      <c r="AD20" s="9"/>
      <c r="AE20" s="108"/>
      <c r="AF20" s="9"/>
      <c r="AG20" s="9"/>
      <c r="AH20" s="9"/>
      <c r="AI20" s="9"/>
      <c r="AJ20" s="9"/>
      <c r="AK20" s="98"/>
      <c r="AL20" s="99">
        <v>30</v>
      </c>
      <c r="AM20" s="99"/>
    </row>
    <row r="21" spans="1:39" ht="15" customHeight="1" x14ac:dyDescent="0.25">
      <c r="A21" s="85">
        <v>21</v>
      </c>
      <c r="B21" s="93"/>
      <c r="C21" s="11"/>
      <c r="D21" s="8" t="s">
        <v>705</v>
      </c>
      <c r="E21" s="8" t="s">
        <v>684</v>
      </c>
      <c r="F21" s="8" t="s">
        <v>683</v>
      </c>
      <c r="G21" s="8" t="s">
        <v>921</v>
      </c>
      <c r="H21" s="8"/>
      <c r="I21" s="174"/>
      <c r="J21" s="8" t="s">
        <v>684</v>
      </c>
      <c r="K21" s="8" t="s">
        <v>1359</v>
      </c>
      <c r="L21" s="8" t="s">
        <v>1354</v>
      </c>
      <c r="M21" s="8" t="str">
        <f t="shared" ref="M21:M23" si="8">CONCATENATE(K21," ",L21)</f>
        <v>ZITRON-ASCAZ HOSPITALARIA</v>
      </c>
      <c r="N21" s="8" t="s">
        <v>176</v>
      </c>
      <c r="O21" s="102" t="s">
        <v>605</v>
      </c>
      <c r="P21" s="102" t="s">
        <v>660</v>
      </c>
      <c r="Q21" s="102" t="s">
        <v>1264</v>
      </c>
      <c r="R21" s="8" t="s">
        <v>2</v>
      </c>
      <c r="S21" s="8" t="s">
        <v>669</v>
      </c>
      <c r="T21" s="8" t="s">
        <v>772</v>
      </c>
      <c r="U21" s="4">
        <v>26314</v>
      </c>
      <c r="V21" s="10">
        <f t="shared" ref="V21:V23" ca="1" si="9">YEAR($V$1)-YEAR(U21)</f>
        <v>46</v>
      </c>
      <c r="W21" s="8" t="s">
        <v>668</v>
      </c>
      <c r="X21" s="102" t="s">
        <v>667</v>
      </c>
      <c r="Y21" s="8">
        <v>47</v>
      </c>
      <c r="Z21" s="8" t="s">
        <v>666</v>
      </c>
      <c r="AA21" s="8" t="s">
        <v>0</v>
      </c>
      <c r="AB21" s="8" t="s">
        <v>35</v>
      </c>
      <c r="AC21" s="8">
        <v>33207</v>
      </c>
      <c r="AD21" s="8">
        <v>985095443</v>
      </c>
      <c r="AE21" s="103" t="s">
        <v>978</v>
      </c>
      <c r="AF21" s="8"/>
      <c r="AG21" s="8"/>
      <c r="AH21" s="8"/>
      <c r="AI21" s="8"/>
      <c r="AJ21" s="8"/>
      <c r="AK21" s="98"/>
      <c r="AL21" s="11"/>
      <c r="AM21" s="104">
        <v>10</v>
      </c>
    </row>
    <row r="22" spans="1:39" ht="15" customHeight="1" x14ac:dyDescent="0.25">
      <c r="A22" s="85">
        <v>22</v>
      </c>
      <c r="B22" s="93"/>
      <c r="C22" s="11"/>
      <c r="D22" s="8" t="s">
        <v>706</v>
      </c>
      <c r="E22" s="8" t="s">
        <v>684</v>
      </c>
      <c r="F22" s="8" t="s">
        <v>683</v>
      </c>
      <c r="G22" s="8" t="s">
        <v>921</v>
      </c>
      <c r="H22" s="8"/>
      <c r="I22" s="174"/>
      <c r="J22" s="8" t="s">
        <v>684</v>
      </c>
      <c r="K22" s="8" t="s">
        <v>1359</v>
      </c>
      <c r="L22" s="8" t="s">
        <v>1354</v>
      </c>
      <c r="M22" s="8" t="str">
        <f t="shared" si="8"/>
        <v>ZITRON-ASCAZ HOSPITALARIA</v>
      </c>
      <c r="N22" s="8" t="s">
        <v>48</v>
      </c>
      <c r="O22" s="102" t="s">
        <v>664</v>
      </c>
      <c r="P22" s="102" t="s">
        <v>659</v>
      </c>
      <c r="Q22" s="102" t="s">
        <v>663</v>
      </c>
      <c r="R22" s="8" t="s">
        <v>2</v>
      </c>
      <c r="S22" s="8" t="s">
        <v>662</v>
      </c>
      <c r="T22" s="8" t="s">
        <v>753</v>
      </c>
      <c r="U22" s="4">
        <v>25221</v>
      </c>
      <c r="V22" s="10">
        <f t="shared" ca="1" si="9"/>
        <v>49</v>
      </c>
      <c r="W22" s="8"/>
      <c r="X22" s="102"/>
      <c r="Y22" s="8"/>
      <c r="Z22" s="8"/>
      <c r="AA22" s="8"/>
      <c r="AB22" s="8"/>
      <c r="AC22" s="8"/>
      <c r="AD22" s="8"/>
      <c r="AE22" s="103"/>
      <c r="AF22" s="8"/>
      <c r="AG22" s="8"/>
      <c r="AH22" s="8"/>
      <c r="AI22" s="8"/>
      <c r="AJ22" s="8"/>
      <c r="AK22" s="98"/>
      <c r="AL22" s="11"/>
      <c r="AM22" s="104">
        <v>10</v>
      </c>
    </row>
    <row r="23" spans="1:39" ht="15" customHeight="1" x14ac:dyDescent="0.25">
      <c r="A23" s="85">
        <v>23</v>
      </c>
      <c r="B23" s="93"/>
      <c r="C23" s="11"/>
      <c r="D23" s="8" t="s">
        <v>707</v>
      </c>
      <c r="E23" s="8" t="s">
        <v>684</v>
      </c>
      <c r="F23" s="8" t="s">
        <v>683</v>
      </c>
      <c r="G23" s="8" t="s">
        <v>921</v>
      </c>
      <c r="H23" s="8"/>
      <c r="I23" s="174"/>
      <c r="J23" s="8" t="s">
        <v>684</v>
      </c>
      <c r="K23" s="8" t="s">
        <v>1359</v>
      </c>
      <c r="L23" s="8" t="s">
        <v>1354</v>
      </c>
      <c r="M23" s="8" t="str">
        <f t="shared" si="8"/>
        <v>ZITRON-ASCAZ HOSPITALARIA</v>
      </c>
      <c r="N23" s="105" t="s">
        <v>932</v>
      </c>
      <c r="O23" s="102" t="s">
        <v>661</v>
      </c>
      <c r="P23" s="102" t="s">
        <v>660</v>
      </c>
      <c r="Q23" s="102" t="s">
        <v>659</v>
      </c>
      <c r="R23" s="8" t="s">
        <v>2</v>
      </c>
      <c r="S23" s="8" t="s">
        <v>658</v>
      </c>
      <c r="T23" s="8" t="s">
        <v>753</v>
      </c>
      <c r="U23" s="4">
        <v>37908</v>
      </c>
      <c r="V23" s="10">
        <f t="shared" ca="1" si="9"/>
        <v>15</v>
      </c>
      <c r="W23" s="8"/>
      <c r="X23" s="102"/>
      <c r="Y23" s="8"/>
      <c r="Z23" s="8"/>
      <c r="AA23" s="8"/>
      <c r="AB23" s="8"/>
      <c r="AC23" s="8"/>
      <c r="AD23" s="8"/>
      <c r="AE23" s="103"/>
      <c r="AF23" s="8"/>
      <c r="AG23" s="8"/>
      <c r="AH23" s="8"/>
      <c r="AI23" s="8"/>
      <c r="AJ23" s="8"/>
      <c r="AK23" s="98"/>
      <c r="AL23" s="11"/>
      <c r="AM23" s="104">
        <v>10</v>
      </c>
    </row>
    <row r="24" spans="1:39" ht="15" customHeight="1" x14ac:dyDescent="0.25">
      <c r="A24" s="85">
        <v>24</v>
      </c>
      <c r="B24" s="93"/>
      <c r="C24" s="94">
        <v>6</v>
      </c>
      <c r="D24" s="95"/>
      <c r="E24" s="9"/>
      <c r="F24" s="9"/>
      <c r="G24" s="9"/>
      <c r="H24" s="9"/>
      <c r="I24" s="9"/>
      <c r="J24" s="9"/>
      <c r="K24" s="9"/>
      <c r="L24" s="9"/>
      <c r="M24" s="106"/>
      <c r="N24" s="9"/>
      <c r="O24" s="107"/>
      <c r="P24" s="107"/>
      <c r="Q24" s="107"/>
      <c r="R24" s="9"/>
      <c r="S24" s="9"/>
      <c r="T24" s="9"/>
      <c r="U24" s="6"/>
      <c r="V24" s="9"/>
      <c r="W24" s="9"/>
      <c r="X24" s="107"/>
      <c r="Y24" s="9"/>
      <c r="Z24" s="9"/>
      <c r="AA24" s="9"/>
      <c r="AB24" s="9"/>
      <c r="AC24" s="9"/>
      <c r="AD24" s="9"/>
      <c r="AE24" s="108"/>
      <c r="AF24" s="9"/>
      <c r="AG24" s="9"/>
      <c r="AH24" s="9"/>
      <c r="AI24" s="9"/>
      <c r="AJ24" s="9"/>
      <c r="AK24" s="98"/>
      <c r="AL24" s="99">
        <v>30</v>
      </c>
      <c r="AM24" s="99"/>
    </row>
    <row r="25" spans="1:39" ht="15" customHeight="1" x14ac:dyDescent="0.25">
      <c r="A25" s="85">
        <v>25</v>
      </c>
      <c r="B25" s="93"/>
      <c r="C25" s="11"/>
      <c r="D25" s="8" t="s">
        <v>708</v>
      </c>
      <c r="E25" s="8" t="s">
        <v>684</v>
      </c>
      <c r="F25" s="8" t="s">
        <v>683</v>
      </c>
      <c r="G25" s="8" t="s">
        <v>921</v>
      </c>
      <c r="H25" s="8"/>
      <c r="I25" s="174"/>
      <c r="J25" s="8" t="s">
        <v>684</v>
      </c>
      <c r="K25" s="8" t="s">
        <v>1359</v>
      </c>
      <c r="L25" s="8" t="s">
        <v>1354</v>
      </c>
      <c r="M25" s="8" t="str">
        <f>CONCATENATE(K25," ",L25)</f>
        <v>ZITRON-ASCAZ HOSPITALARIA</v>
      </c>
      <c r="N25" s="8" t="s">
        <v>176</v>
      </c>
      <c r="O25" s="102" t="s">
        <v>657</v>
      </c>
      <c r="P25" s="102" t="s">
        <v>153</v>
      </c>
      <c r="Q25" s="102" t="s">
        <v>649</v>
      </c>
      <c r="R25" s="8" t="s">
        <v>2</v>
      </c>
      <c r="S25" s="8" t="s">
        <v>656</v>
      </c>
      <c r="T25" s="8" t="s">
        <v>772</v>
      </c>
      <c r="U25" s="4">
        <v>28024</v>
      </c>
      <c r="V25" s="10">
        <f ca="1">YEAR($V$1)-YEAR(U25)</f>
        <v>42</v>
      </c>
      <c r="W25" s="8" t="s">
        <v>1</v>
      </c>
      <c r="X25" s="102" t="s">
        <v>468</v>
      </c>
      <c r="Y25" s="8">
        <v>57</v>
      </c>
      <c r="Z25" s="8" t="s">
        <v>655</v>
      </c>
      <c r="AA25" s="8" t="s">
        <v>0</v>
      </c>
      <c r="AB25" s="8" t="s">
        <v>35</v>
      </c>
      <c r="AC25" s="8">
        <v>33210</v>
      </c>
      <c r="AD25" s="8">
        <v>655170001</v>
      </c>
      <c r="AE25" s="103" t="s">
        <v>979</v>
      </c>
      <c r="AF25" s="8"/>
      <c r="AG25" s="8"/>
      <c r="AH25" s="8"/>
      <c r="AI25" s="8"/>
      <c r="AJ25" s="8"/>
      <c r="AK25" s="98"/>
      <c r="AL25" s="11"/>
      <c r="AM25" s="104">
        <v>10</v>
      </c>
    </row>
    <row r="26" spans="1:39" ht="15" customHeight="1" x14ac:dyDescent="0.25">
      <c r="A26" s="85">
        <v>26</v>
      </c>
      <c r="B26" s="93"/>
      <c r="C26" s="94">
        <v>7</v>
      </c>
      <c r="D26" s="95"/>
      <c r="E26" s="9"/>
      <c r="F26" s="9"/>
      <c r="G26" s="9"/>
      <c r="H26" s="9"/>
      <c r="I26" s="9"/>
      <c r="J26" s="9"/>
      <c r="K26" s="9"/>
      <c r="L26" s="9"/>
      <c r="M26" s="106"/>
      <c r="N26" s="9"/>
      <c r="O26" s="107"/>
      <c r="P26" s="107"/>
      <c r="Q26" s="107"/>
      <c r="R26" s="9"/>
      <c r="S26" s="9"/>
      <c r="T26" s="9"/>
      <c r="U26" s="6"/>
      <c r="V26" s="9"/>
      <c r="W26" s="9"/>
      <c r="X26" s="107"/>
      <c r="Y26" s="9"/>
      <c r="Z26" s="9"/>
      <c r="AA26" s="9"/>
      <c r="AB26" s="9"/>
      <c r="AC26" s="9"/>
      <c r="AD26" s="9"/>
      <c r="AE26" s="108"/>
      <c r="AF26" s="9"/>
      <c r="AG26" s="9"/>
      <c r="AH26" s="9"/>
      <c r="AI26" s="9"/>
      <c r="AJ26" s="9"/>
      <c r="AK26" s="98"/>
      <c r="AL26" s="99">
        <v>0</v>
      </c>
      <c r="AM26" s="99"/>
    </row>
    <row r="27" spans="1:39" ht="15" customHeight="1" x14ac:dyDescent="0.25">
      <c r="A27" s="85">
        <v>27</v>
      </c>
      <c r="B27" s="93"/>
      <c r="C27" s="11"/>
      <c r="D27" s="8" t="s">
        <v>709</v>
      </c>
      <c r="E27" s="8" t="s">
        <v>684</v>
      </c>
      <c r="F27" s="8" t="s">
        <v>917</v>
      </c>
      <c r="G27" s="8" t="s">
        <v>920</v>
      </c>
      <c r="H27" s="8"/>
      <c r="I27" s="174"/>
      <c r="J27" s="8" t="s">
        <v>684</v>
      </c>
      <c r="K27" s="8" t="s">
        <v>1359</v>
      </c>
      <c r="L27" s="8" t="s">
        <v>1354</v>
      </c>
      <c r="M27" s="8" t="str">
        <f t="shared" ref="M27:M28" si="10">CONCATENATE(K27," ",L27)</f>
        <v>ZITRON-ASCAZ HOSPITALARIA</v>
      </c>
      <c r="N27" s="8" t="s">
        <v>176</v>
      </c>
      <c r="O27" s="102" t="s">
        <v>653</v>
      </c>
      <c r="P27" s="102" t="s">
        <v>153</v>
      </c>
      <c r="Q27" s="102" t="s">
        <v>628</v>
      </c>
      <c r="R27" s="8" t="s">
        <v>2</v>
      </c>
      <c r="S27" s="8" t="s">
        <v>652</v>
      </c>
      <c r="T27" s="8" t="s">
        <v>772</v>
      </c>
      <c r="U27" s="4">
        <v>20160</v>
      </c>
      <c r="V27" s="10">
        <f t="shared" ref="V27:V28" ca="1" si="11">YEAR($V$1)-YEAR(U27)</f>
        <v>63</v>
      </c>
      <c r="W27" s="8" t="s">
        <v>1</v>
      </c>
      <c r="X27" s="102" t="s">
        <v>651</v>
      </c>
      <c r="Y27" s="8">
        <v>12</v>
      </c>
      <c r="Z27" s="8" t="s">
        <v>17</v>
      </c>
      <c r="AA27" s="8" t="s">
        <v>0</v>
      </c>
      <c r="AB27" s="8" t="s">
        <v>35</v>
      </c>
      <c r="AC27" s="8">
        <v>33209</v>
      </c>
      <c r="AD27" s="8">
        <v>657038512</v>
      </c>
      <c r="AE27" s="103" t="s">
        <v>980</v>
      </c>
      <c r="AF27" s="8"/>
      <c r="AG27" s="8"/>
      <c r="AH27" s="8"/>
      <c r="AI27" s="8"/>
      <c r="AJ27" s="8"/>
      <c r="AK27" s="98"/>
      <c r="AL27" s="11"/>
      <c r="AM27" s="104">
        <v>10</v>
      </c>
    </row>
    <row r="28" spans="1:39" ht="15" customHeight="1" x14ac:dyDescent="0.25">
      <c r="A28" s="85">
        <v>28</v>
      </c>
      <c r="B28" s="93"/>
      <c r="C28" s="11"/>
      <c r="D28" s="8" t="s">
        <v>710</v>
      </c>
      <c r="E28" s="8" t="s">
        <v>684</v>
      </c>
      <c r="F28" s="8" t="s">
        <v>917</v>
      </c>
      <c r="G28" s="8" t="s">
        <v>920</v>
      </c>
      <c r="H28" s="8"/>
      <c r="I28" s="174"/>
      <c r="J28" s="8" t="s">
        <v>684</v>
      </c>
      <c r="K28" s="8" t="s">
        <v>1359</v>
      </c>
      <c r="L28" s="8" t="s">
        <v>1354</v>
      </c>
      <c r="M28" s="8" t="str">
        <f t="shared" si="10"/>
        <v>ZITRON-ASCAZ HOSPITALARIA</v>
      </c>
      <c r="N28" s="8" t="s">
        <v>48</v>
      </c>
      <c r="O28" s="102" t="s">
        <v>1255</v>
      </c>
      <c r="P28" s="102" t="s">
        <v>649</v>
      </c>
      <c r="Q28" s="102" t="s">
        <v>648</v>
      </c>
      <c r="R28" s="8" t="s">
        <v>2</v>
      </c>
      <c r="S28" s="8" t="s">
        <v>647</v>
      </c>
      <c r="T28" s="8" t="s">
        <v>753</v>
      </c>
      <c r="U28" s="4">
        <v>21093</v>
      </c>
      <c r="V28" s="10">
        <f t="shared" ca="1" si="11"/>
        <v>61</v>
      </c>
      <c r="W28" s="8"/>
      <c r="X28" s="102"/>
      <c r="Y28" s="8"/>
      <c r="Z28" s="8"/>
      <c r="AA28" s="8"/>
      <c r="AB28" s="8"/>
      <c r="AC28" s="8"/>
      <c r="AD28" s="8"/>
      <c r="AE28" s="103"/>
      <c r="AF28" s="8"/>
      <c r="AG28" s="8"/>
      <c r="AH28" s="8"/>
      <c r="AI28" s="8"/>
      <c r="AJ28" s="8"/>
      <c r="AK28" s="98"/>
      <c r="AL28" s="11"/>
      <c r="AM28" s="104">
        <v>10</v>
      </c>
    </row>
    <row r="29" spans="1:39" ht="15" customHeight="1" x14ac:dyDescent="0.25">
      <c r="A29" s="85">
        <v>29</v>
      </c>
      <c r="B29" s="93"/>
      <c r="C29" s="94">
        <v>8</v>
      </c>
      <c r="D29" s="95"/>
      <c r="E29" s="9"/>
      <c r="F29" s="9"/>
      <c r="G29" s="9"/>
      <c r="H29" s="9"/>
      <c r="I29" s="9"/>
      <c r="J29" s="9"/>
      <c r="K29" s="9"/>
      <c r="L29" s="9"/>
      <c r="M29" s="106"/>
      <c r="N29" s="9"/>
      <c r="O29" s="107"/>
      <c r="P29" s="107"/>
      <c r="Q29" s="107"/>
      <c r="R29" s="9"/>
      <c r="S29" s="9"/>
      <c r="T29" s="9"/>
      <c r="U29" s="6"/>
      <c r="V29" s="9"/>
      <c r="W29" s="9"/>
      <c r="X29" s="107"/>
      <c r="Y29" s="9"/>
      <c r="Z29" s="9"/>
      <c r="AA29" s="9"/>
      <c r="AB29" s="9"/>
      <c r="AC29" s="9"/>
      <c r="AD29" s="9"/>
      <c r="AE29" s="108"/>
      <c r="AF29" s="9"/>
      <c r="AG29" s="9"/>
      <c r="AH29" s="9"/>
      <c r="AI29" s="9"/>
      <c r="AJ29" s="9"/>
      <c r="AK29" s="98"/>
      <c r="AL29" s="99">
        <v>30</v>
      </c>
      <c r="AM29" s="99"/>
    </row>
    <row r="30" spans="1:39" ht="15" customHeight="1" x14ac:dyDescent="0.25">
      <c r="A30" s="85">
        <v>30</v>
      </c>
      <c r="B30" s="93"/>
      <c r="C30" s="11"/>
      <c r="D30" s="8" t="s">
        <v>711</v>
      </c>
      <c r="E30" s="8" t="s">
        <v>684</v>
      </c>
      <c r="F30" s="8" t="s">
        <v>683</v>
      </c>
      <c r="G30" s="8" t="s">
        <v>921</v>
      </c>
      <c r="H30" s="8"/>
      <c r="I30" s="174"/>
      <c r="J30" s="8" t="s">
        <v>684</v>
      </c>
      <c r="K30" s="8" t="s">
        <v>1359</v>
      </c>
      <c r="L30" s="8" t="s">
        <v>1354</v>
      </c>
      <c r="M30" s="8" t="str">
        <f t="shared" ref="M30:M31" si="12">CONCATENATE(K30," ",L30)</f>
        <v>ZITRON-ASCAZ HOSPITALARIA</v>
      </c>
      <c r="N30" s="8" t="s">
        <v>176</v>
      </c>
      <c r="O30" s="102" t="s">
        <v>646</v>
      </c>
      <c r="P30" s="102" t="s">
        <v>645</v>
      </c>
      <c r="Q30" s="102" t="s">
        <v>644</v>
      </c>
      <c r="R30" s="8" t="s">
        <v>2</v>
      </c>
      <c r="S30" s="8" t="s">
        <v>643</v>
      </c>
      <c r="T30" s="8" t="s">
        <v>772</v>
      </c>
      <c r="U30" s="4">
        <v>26723</v>
      </c>
      <c r="V30" s="10">
        <f t="shared" ref="V30:V31" ca="1" si="13">YEAR($V$1)-YEAR(U30)</f>
        <v>45</v>
      </c>
      <c r="W30" s="8" t="s">
        <v>1</v>
      </c>
      <c r="X30" s="102" t="s">
        <v>642</v>
      </c>
      <c r="Y30" s="8">
        <v>4</v>
      </c>
      <c r="Z30" s="8" t="s">
        <v>641</v>
      </c>
      <c r="AA30" s="8" t="s">
        <v>0</v>
      </c>
      <c r="AB30" s="8" t="s">
        <v>35</v>
      </c>
      <c r="AC30" s="8">
        <v>33210</v>
      </c>
      <c r="AD30" s="8">
        <v>637974971</v>
      </c>
      <c r="AE30" s="103" t="s">
        <v>981</v>
      </c>
      <c r="AF30" s="8"/>
      <c r="AG30" s="8"/>
      <c r="AH30" s="8"/>
      <c r="AI30" s="8"/>
      <c r="AJ30" s="8"/>
      <c r="AK30" s="98"/>
      <c r="AL30" s="11"/>
      <c r="AM30" s="104">
        <v>10</v>
      </c>
    </row>
    <row r="31" spans="1:39" ht="15" customHeight="1" x14ac:dyDescent="0.25">
      <c r="A31" s="85">
        <v>31</v>
      </c>
      <c r="B31" s="93"/>
      <c r="C31" s="11"/>
      <c r="D31" s="8" t="s">
        <v>712</v>
      </c>
      <c r="E31" s="8" t="s">
        <v>684</v>
      </c>
      <c r="F31" s="8" t="s">
        <v>683</v>
      </c>
      <c r="G31" s="8" t="s">
        <v>921</v>
      </c>
      <c r="H31" s="8"/>
      <c r="I31" s="174"/>
      <c r="J31" s="8" t="s">
        <v>684</v>
      </c>
      <c r="K31" s="8" t="s">
        <v>1359</v>
      </c>
      <c r="L31" s="8" t="s">
        <v>1354</v>
      </c>
      <c r="M31" s="8" t="str">
        <f t="shared" si="12"/>
        <v>ZITRON-ASCAZ HOSPITALARIA</v>
      </c>
      <c r="N31" s="8" t="s">
        <v>48</v>
      </c>
      <c r="O31" s="102" t="s">
        <v>639</v>
      </c>
      <c r="P31" s="102" t="s">
        <v>340</v>
      </c>
      <c r="Q31" s="102" t="s">
        <v>638</v>
      </c>
      <c r="R31" s="8" t="s">
        <v>2</v>
      </c>
      <c r="S31" s="8" t="s">
        <v>637</v>
      </c>
      <c r="T31" s="8" t="s">
        <v>753</v>
      </c>
      <c r="U31" s="4">
        <v>28393</v>
      </c>
      <c r="V31" s="10">
        <f t="shared" ca="1" si="13"/>
        <v>41</v>
      </c>
      <c r="W31" s="8"/>
      <c r="X31" s="102"/>
      <c r="Y31" s="8"/>
      <c r="Z31" s="8"/>
      <c r="AA31" s="8"/>
      <c r="AB31" s="8"/>
      <c r="AC31" s="8"/>
      <c r="AD31" s="8"/>
      <c r="AE31" s="103"/>
      <c r="AF31" s="8"/>
      <c r="AG31" s="8"/>
      <c r="AH31" s="8"/>
      <c r="AI31" s="8"/>
      <c r="AJ31" s="8"/>
      <c r="AK31" s="98"/>
      <c r="AL31" s="11"/>
      <c r="AM31" s="104">
        <v>10</v>
      </c>
    </row>
    <row r="32" spans="1:39" ht="15" customHeight="1" x14ac:dyDescent="0.25">
      <c r="A32" s="85">
        <v>32</v>
      </c>
      <c r="B32" s="93"/>
      <c r="C32" s="94">
        <v>9</v>
      </c>
      <c r="D32" s="95"/>
      <c r="E32" s="9"/>
      <c r="F32" s="9"/>
      <c r="G32" s="9"/>
      <c r="H32" s="9"/>
      <c r="I32" s="9"/>
      <c r="J32" s="9"/>
      <c r="K32" s="9"/>
      <c r="L32" s="9"/>
      <c r="M32" s="106"/>
      <c r="N32" s="9"/>
      <c r="O32" s="107"/>
      <c r="P32" s="107"/>
      <c r="Q32" s="107"/>
      <c r="R32" s="9"/>
      <c r="S32" s="9"/>
      <c r="T32" s="9"/>
      <c r="U32" s="6"/>
      <c r="V32" s="9"/>
      <c r="W32" s="9"/>
      <c r="X32" s="107"/>
      <c r="Y32" s="9"/>
      <c r="Z32" s="9"/>
      <c r="AA32" s="9"/>
      <c r="AB32" s="9"/>
      <c r="AC32" s="9"/>
      <c r="AD32" s="9"/>
      <c r="AE32" s="108"/>
      <c r="AF32" s="9"/>
      <c r="AG32" s="9"/>
      <c r="AH32" s="9"/>
      <c r="AI32" s="9"/>
      <c r="AJ32" s="9"/>
      <c r="AK32" s="98"/>
      <c r="AL32" s="99">
        <v>0</v>
      </c>
      <c r="AM32" s="99"/>
    </row>
    <row r="33" spans="1:39" ht="15" customHeight="1" x14ac:dyDescent="0.25">
      <c r="A33" s="85">
        <v>33</v>
      </c>
      <c r="B33" s="93"/>
      <c r="C33" s="11"/>
      <c r="D33" s="8" t="s">
        <v>713</v>
      </c>
      <c r="E33" s="8" t="s">
        <v>684</v>
      </c>
      <c r="F33" s="8" t="s">
        <v>683</v>
      </c>
      <c r="G33" s="8" t="s">
        <v>920</v>
      </c>
      <c r="H33" s="8"/>
      <c r="I33" s="174"/>
      <c r="J33" s="8" t="s">
        <v>684</v>
      </c>
      <c r="K33" s="8" t="s">
        <v>1359</v>
      </c>
      <c r="L33" s="8" t="s">
        <v>1354</v>
      </c>
      <c r="M33" s="8" t="str">
        <f>CONCATENATE(K33," ",L33)</f>
        <v>ZITRON-ASCAZ HOSPITALARIA</v>
      </c>
      <c r="N33" s="8" t="s">
        <v>176</v>
      </c>
      <c r="O33" s="102" t="s">
        <v>329</v>
      </c>
      <c r="P33" s="102" t="s">
        <v>982</v>
      </c>
      <c r="Q33" s="102" t="s">
        <v>644</v>
      </c>
      <c r="R33" s="8" t="s">
        <v>2</v>
      </c>
      <c r="S33" s="8" t="s">
        <v>636</v>
      </c>
      <c r="T33" s="8" t="s">
        <v>772</v>
      </c>
      <c r="U33" s="4">
        <v>30087</v>
      </c>
      <c r="V33" s="10">
        <f ca="1">YEAR($V$1)-YEAR(U33)</f>
        <v>36</v>
      </c>
      <c r="W33" s="8" t="s">
        <v>1</v>
      </c>
      <c r="X33" s="102" t="s">
        <v>635</v>
      </c>
      <c r="Y33" s="8">
        <v>38</v>
      </c>
      <c r="Z33" s="8" t="s">
        <v>634</v>
      </c>
      <c r="AA33" s="8" t="s">
        <v>0</v>
      </c>
      <c r="AB33" s="8" t="s">
        <v>35</v>
      </c>
      <c r="AC33" s="8">
        <v>33204</v>
      </c>
      <c r="AD33" s="8">
        <v>606896192</v>
      </c>
      <c r="AE33" s="103" t="s">
        <v>983</v>
      </c>
      <c r="AF33" s="8"/>
      <c r="AG33" s="8"/>
      <c r="AH33" s="8"/>
      <c r="AI33" s="8"/>
      <c r="AJ33" s="8"/>
      <c r="AK33" s="98"/>
      <c r="AL33" s="11"/>
      <c r="AM33" s="104">
        <v>10</v>
      </c>
    </row>
    <row r="34" spans="1:39" ht="15" customHeight="1" x14ac:dyDescent="0.25">
      <c r="A34" s="85">
        <v>34</v>
      </c>
      <c r="B34" s="93"/>
      <c r="C34" s="94">
        <v>10</v>
      </c>
      <c r="D34" s="95"/>
      <c r="E34" s="9"/>
      <c r="F34" s="9"/>
      <c r="G34" s="9"/>
      <c r="H34" s="9"/>
      <c r="I34" s="9"/>
      <c r="J34" s="9"/>
      <c r="K34" s="9"/>
      <c r="L34" s="9"/>
      <c r="M34" s="106"/>
      <c r="N34" s="9"/>
      <c r="O34" s="107"/>
      <c r="P34" s="107"/>
      <c r="Q34" s="107"/>
      <c r="R34" s="9"/>
      <c r="S34" s="9"/>
      <c r="T34" s="9"/>
      <c r="U34" s="6"/>
      <c r="V34" s="9"/>
      <c r="W34" s="9"/>
      <c r="X34" s="107"/>
      <c r="Y34" s="9"/>
      <c r="Z34" s="9"/>
      <c r="AA34" s="9"/>
      <c r="AB34" s="9"/>
      <c r="AC34" s="9"/>
      <c r="AD34" s="9"/>
      <c r="AE34" s="108"/>
      <c r="AF34" s="9"/>
      <c r="AG34" s="9"/>
      <c r="AH34" s="9"/>
      <c r="AI34" s="9"/>
      <c r="AJ34" s="9"/>
      <c r="AK34" s="98"/>
      <c r="AL34" s="99">
        <v>30</v>
      </c>
      <c r="AM34" s="99"/>
    </row>
    <row r="35" spans="1:39" ht="15" customHeight="1" x14ac:dyDescent="0.25">
      <c r="A35" s="85">
        <v>35</v>
      </c>
      <c r="B35" s="93"/>
      <c r="C35" s="11"/>
      <c r="D35" s="8" t="s">
        <v>714</v>
      </c>
      <c r="E35" s="8" t="s">
        <v>684</v>
      </c>
      <c r="F35" s="8" t="s">
        <v>683</v>
      </c>
      <c r="G35" s="8" t="s">
        <v>921</v>
      </c>
      <c r="H35" s="8"/>
      <c r="I35" s="174"/>
      <c r="J35" s="8" t="s">
        <v>684</v>
      </c>
      <c r="K35" s="8" t="s">
        <v>1359</v>
      </c>
      <c r="L35" s="8" t="s">
        <v>1354</v>
      </c>
      <c r="M35" s="8" t="str">
        <f>CONCATENATE(K35," ",L35)</f>
        <v>ZITRON-ASCAZ HOSPITALARIA</v>
      </c>
      <c r="N35" s="8" t="s">
        <v>3</v>
      </c>
      <c r="O35" s="102" t="s">
        <v>632</v>
      </c>
      <c r="P35" s="102" t="s">
        <v>1269</v>
      </c>
      <c r="Q35" s="102" t="s">
        <v>631</v>
      </c>
      <c r="R35" s="8" t="s">
        <v>2</v>
      </c>
      <c r="S35" s="8" t="s">
        <v>630</v>
      </c>
      <c r="T35" s="8" t="s">
        <v>753</v>
      </c>
      <c r="U35" s="4">
        <v>30701</v>
      </c>
      <c r="V35" s="10">
        <f ca="1">YEAR($V$1)-YEAR(U35)</f>
        <v>34</v>
      </c>
      <c r="W35" s="8" t="s">
        <v>423</v>
      </c>
      <c r="X35" s="102" t="s">
        <v>422</v>
      </c>
      <c r="Y35" s="8">
        <v>1</v>
      </c>
      <c r="Z35" s="8" t="s">
        <v>421</v>
      </c>
      <c r="AA35" s="8" t="s">
        <v>51</v>
      </c>
      <c r="AB35" s="8" t="s">
        <v>1336</v>
      </c>
      <c r="AC35" s="8">
        <v>33208</v>
      </c>
      <c r="AD35" s="8">
        <v>626169026</v>
      </c>
      <c r="AE35" s="103" t="s">
        <v>984</v>
      </c>
      <c r="AF35" s="8"/>
      <c r="AG35" s="8"/>
      <c r="AH35" s="8"/>
      <c r="AI35" s="8"/>
      <c r="AJ35" s="8"/>
      <c r="AK35" s="98"/>
      <c r="AL35" s="11"/>
      <c r="AM35" s="104">
        <v>10</v>
      </c>
    </row>
    <row r="36" spans="1:39" ht="15" customHeight="1" x14ac:dyDescent="0.25">
      <c r="A36" s="85">
        <v>36</v>
      </c>
      <c r="B36" s="93"/>
      <c r="C36" s="94">
        <v>11</v>
      </c>
      <c r="D36" s="95"/>
      <c r="E36" s="9"/>
      <c r="F36" s="9"/>
      <c r="G36" s="9"/>
      <c r="H36" s="9"/>
      <c r="I36" s="9"/>
      <c r="J36" s="9"/>
      <c r="K36" s="9"/>
      <c r="L36" s="9"/>
      <c r="M36" s="106"/>
      <c r="N36" s="9"/>
      <c r="O36" s="107"/>
      <c r="P36" s="107"/>
      <c r="Q36" s="107"/>
      <c r="R36" s="9"/>
      <c r="S36" s="9"/>
      <c r="T36" s="9"/>
      <c r="U36" s="6"/>
      <c r="V36" s="9"/>
      <c r="W36" s="9"/>
      <c r="X36" s="107"/>
      <c r="Y36" s="9"/>
      <c r="Z36" s="9"/>
      <c r="AA36" s="9"/>
      <c r="AB36" s="9"/>
      <c r="AC36" s="9"/>
      <c r="AD36" s="9"/>
      <c r="AE36" s="108"/>
      <c r="AF36" s="9"/>
      <c r="AG36" s="9"/>
      <c r="AH36" s="9"/>
      <c r="AI36" s="9"/>
      <c r="AJ36" s="9"/>
      <c r="AK36" s="98"/>
      <c r="AL36" s="99">
        <v>30</v>
      </c>
      <c r="AM36" s="99"/>
    </row>
    <row r="37" spans="1:39" ht="15" customHeight="1" x14ac:dyDescent="0.25">
      <c r="A37" s="85">
        <v>37</v>
      </c>
      <c r="B37" s="93"/>
      <c r="C37" s="11"/>
      <c r="D37" s="8" t="s">
        <v>715</v>
      </c>
      <c r="E37" s="8" t="s">
        <v>684</v>
      </c>
      <c r="F37" s="8" t="s">
        <v>917</v>
      </c>
      <c r="G37" s="8" t="s">
        <v>921</v>
      </c>
      <c r="H37" s="8"/>
      <c r="I37" s="174"/>
      <c r="J37" s="8" t="s">
        <v>684</v>
      </c>
      <c r="K37" s="8" t="s">
        <v>1359</v>
      </c>
      <c r="L37" s="8" t="s">
        <v>1354</v>
      </c>
      <c r="M37" s="8" t="str">
        <f t="shared" ref="M37:M38" si="14">CONCATENATE(K37," ",L37)</f>
        <v>ZITRON-ASCAZ HOSPITALARIA</v>
      </c>
      <c r="N37" s="8" t="s">
        <v>176</v>
      </c>
      <c r="O37" s="102" t="s">
        <v>329</v>
      </c>
      <c r="P37" s="102" t="s">
        <v>1268</v>
      </c>
      <c r="Q37" s="102" t="s">
        <v>628</v>
      </c>
      <c r="R37" s="8" t="s">
        <v>2</v>
      </c>
      <c r="S37" s="8" t="s">
        <v>627</v>
      </c>
      <c r="T37" s="8" t="s">
        <v>772</v>
      </c>
      <c r="U37" s="4">
        <v>20583</v>
      </c>
      <c r="V37" s="10">
        <f t="shared" ref="V37:V38" ca="1" si="15">YEAR($V$1)-YEAR(U37)</f>
        <v>62</v>
      </c>
      <c r="W37" s="8" t="s">
        <v>258</v>
      </c>
      <c r="X37" s="102" t="s">
        <v>626</v>
      </c>
      <c r="Y37" s="8"/>
      <c r="Z37" s="8"/>
      <c r="AA37" s="8" t="s">
        <v>0</v>
      </c>
      <c r="AB37" s="8" t="s">
        <v>255</v>
      </c>
      <c r="AC37" s="8" t="s">
        <v>1296</v>
      </c>
      <c r="AD37" s="8">
        <v>626635787</v>
      </c>
      <c r="AE37" s="103" t="s">
        <v>985</v>
      </c>
      <c r="AF37" s="8"/>
      <c r="AG37" s="8"/>
      <c r="AH37" s="8"/>
      <c r="AI37" s="8"/>
      <c r="AJ37" s="8"/>
      <c r="AK37" s="98"/>
      <c r="AL37" s="11"/>
      <c r="AM37" s="104">
        <v>10</v>
      </c>
    </row>
    <row r="38" spans="1:39" ht="15" customHeight="1" x14ac:dyDescent="0.25">
      <c r="A38" s="85">
        <v>38</v>
      </c>
      <c r="B38" s="93"/>
      <c r="C38" s="11"/>
      <c r="D38" s="8" t="s">
        <v>379</v>
      </c>
      <c r="E38" s="8" t="s">
        <v>684</v>
      </c>
      <c r="F38" s="8" t="s">
        <v>917</v>
      </c>
      <c r="G38" s="8" t="s">
        <v>921</v>
      </c>
      <c r="H38" s="8"/>
      <c r="I38" s="174"/>
      <c r="J38" s="8" t="s">
        <v>684</v>
      </c>
      <c r="K38" s="8" t="s">
        <v>1359</v>
      </c>
      <c r="L38" s="8" t="s">
        <v>1354</v>
      </c>
      <c r="M38" s="8" t="str">
        <f t="shared" si="14"/>
        <v>ZITRON-ASCAZ HOSPITALARIA</v>
      </c>
      <c r="N38" s="8" t="s">
        <v>48</v>
      </c>
      <c r="O38" s="102" t="s">
        <v>1246</v>
      </c>
      <c r="P38" s="102" t="s">
        <v>625</v>
      </c>
      <c r="Q38" s="102" t="s">
        <v>153</v>
      </c>
      <c r="R38" s="8" t="s">
        <v>2</v>
      </c>
      <c r="S38" s="8" t="s">
        <v>624</v>
      </c>
      <c r="T38" s="8" t="s">
        <v>753</v>
      </c>
      <c r="U38" s="4">
        <v>20838</v>
      </c>
      <c r="V38" s="10">
        <f t="shared" ca="1" si="15"/>
        <v>61</v>
      </c>
      <c r="W38" s="8"/>
      <c r="X38" s="102"/>
      <c r="Y38" s="8"/>
      <c r="Z38" s="8"/>
      <c r="AA38" s="8"/>
      <c r="AB38" s="8"/>
      <c r="AC38" s="8"/>
      <c r="AD38" s="8">
        <v>656822067</v>
      </c>
      <c r="AE38" s="103"/>
      <c r="AF38" s="8"/>
      <c r="AG38" s="8"/>
      <c r="AH38" s="8"/>
      <c r="AI38" s="8"/>
      <c r="AJ38" s="8"/>
      <c r="AK38" s="98"/>
      <c r="AL38" s="11"/>
      <c r="AM38" s="104">
        <v>10</v>
      </c>
    </row>
    <row r="39" spans="1:39" ht="15" customHeight="1" x14ac:dyDescent="0.25">
      <c r="A39" s="85">
        <v>39</v>
      </c>
      <c r="B39" s="93"/>
      <c r="C39" s="94">
        <v>12</v>
      </c>
      <c r="D39" s="95"/>
      <c r="E39" s="9"/>
      <c r="F39" s="9"/>
      <c r="G39" s="9"/>
      <c r="H39" s="9"/>
      <c r="I39" s="9"/>
      <c r="J39" s="9"/>
      <c r="K39" s="9"/>
      <c r="L39" s="9"/>
      <c r="M39" s="106"/>
      <c r="N39" s="9"/>
      <c r="O39" s="107"/>
      <c r="P39" s="107"/>
      <c r="Q39" s="107"/>
      <c r="R39" s="9"/>
      <c r="S39" s="9"/>
      <c r="T39" s="9"/>
      <c r="U39" s="6"/>
      <c r="V39" s="9"/>
      <c r="W39" s="9"/>
      <c r="X39" s="107"/>
      <c r="Y39" s="9"/>
      <c r="Z39" s="9"/>
      <c r="AA39" s="9"/>
      <c r="AB39" s="9"/>
      <c r="AC39" s="9"/>
      <c r="AD39" s="9"/>
      <c r="AE39" s="108"/>
      <c r="AF39" s="9"/>
      <c r="AG39" s="9"/>
      <c r="AH39" s="9"/>
      <c r="AI39" s="9"/>
      <c r="AJ39" s="9"/>
      <c r="AK39" s="98"/>
      <c r="AL39" s="99">
        <v>30</v>
      </c>
      <c r="AM39" s="99"/>
    </row>
    <row r="40" spans="1:39" ht="15" customHeight="1" x14ac:dyDescent="0.25">
      <c r="A40" s="85">
        <v>40</v>
      </c>
      <c r="B40" s="93"/>
      <c r="C40" s="11"/>
      <c r="D40" s="8" t="s">
        <v>716</v>
      </c>
      <c r="E40" s="8" t="s">
        <v>684</v>
      </c>
      <c r="F40" s="8" t="s">
        <v>683</v>
      </c>
      <c r="G40" s="8" t="s">
        <v>921</v>
      </c>
      <c r="H40" s="8"/>
      <c r="I40" s="174"/>
      <c r="J40" s="8" t="s">
        <v>684</v>
      </c>
      <c r="K40" s="8" t="s">
        <v>1359</v>
      </c>
      <c r="L40" s="8" t="s">
        <v>1354</v>
      </c>
      <c r="M40" s="8" t="str">
        <f>CONCATENATE(K40," ",L40)</f>
        <v>ZITRON-ASCAZ HOSPITALARIA</v>
      </c>
      <c r="N40" s="8" t="s">
        <v>176</v>
      </c>
      <c r="O40" s="102" t="s">
        <v>623</v>
      </c>
      <c r="P40" s="102" t="s">
        <v>622</v>
      </c>
      <c r="Q40" s="102" t="s">
        <v>411</v>
      </c>
      <c r="R40" s="8" t="s">
        <v>2</v>
      </c>
      <c r="S40" s="8" t="s">
        <v>621</v>
      </c>
      <c r="T40" s="8" t="s">
        <v>753</v>
      </c>
      <c r="U40" s="4">
        <v>31179</v>
      </c>
      <c r="V40" s="10">
        <f ca="1">YEAR($V$1)-YEAR(U40)</f>
        <v>33</v>
      </c>
      <c r="W40" s="8" t="s">
        <v>1</v>
      </c>
      <c r="X40" s="102" t="s">
        <v>408</v>
      </c>
      <c r="Y40" s="8">
        <v>12</v>
      </c>
      <c r="Z40" s="8" t="s">
        <v>407</v>
      </c>
      <c r="AA40" s="8" t="s">
        <v>0</v>
      </c>
      <c r="AB40" s="8" t="s">
        <v>35</v>
      </c>
      <c r="AC40" s="8">
        <v>33212</v>
      </c>
      <c r="AD40" s="8">
        <v>625028284</v>
      </c>
      <c r="AE40" s="103" t="s">
        <v>986</v>
      </c>
      <c r="AF40" s="8"/>
      <c r="AG40" s="8"/>
      <c r="AH40" s="8"/>
      <c r="AI40" s="8"/>
      <c r="AJ40" s="8"/>
      <c r="AK40" s="98"/>
      <c r="AL40" s="11"/>
      <c r="AM40" s="104">
        <v>10</v>
      </c>
    </row>
    <row r="41" spans="1:39" ht="15" customHeight="1" x14ac:dyDescent="0.25">
      <c r="A41" s="85">
        <v>41</v>
      </c>
      <c r="B41" s="93"/>
      <c r="C41" s="94">
        <v>13</v>
      </c>
      <c r="D41" s="95"/>
      <c r="E41" s="9"/>
      <c r="F41" s="9"/>
      <c r="G41" s="9"/>
      <c r="H41" s="9"/>
      <c r="I41" s="9"/>
      <c r="J41" s="9"/>
      <c r="K41" s="9"/>
      <c r="L41" s="9"/>
      <c r="M41" s="106"/>
      <c r="N41" s="9"/>
      <c r="O41" s="107"/>
      <c r="P41" s="107"/>
      <c r="Q41" s="107"/>
      <c r="R41" s="9"/>
      <c r="S41" s="9"/>
      <c r="T41" s="9"/>
      <c r="U41" s="6"/>
      <c r="V41" s="9"/>
      <c r="W41" s="9"/>
      <c r="X41" s="107"/>
      <c r="Y41" s="9"/>
      <c r="Z41" s="9"/>
      <c r="AA41" s="9"/>
      <c r="AB41" s="9"/>
      <c r="AC41" s="9"/>
      <c r="AD41" s="9"/>
      <c r="AE41" s="108"/>
      <c r="AF41" s="9"/>
      <c r="AG41" s="9"/>
      <c r="AH41" s="9"/>
      <c r="AI41" s="9"/>
      <c r="AJ41" s="9"/>
      <c r="AK41" s="98"/>
      <c r="AL41" s="99">
        <v>30</v>
      </c>
      <c r="AM41" s="99"/>
    </row>
    <row r="42" spans="1:39" ht="15" customHeight="1" x14ac:dyDescent="0.25">
      <c r="A42" s="85">
        <v>42</v>
      </c>
      <c r="B42" s="93"/>
      <c r="C42" s="11"/>
      <c r="D42" s="8" t="s">
        <v>717</v>
      </c>
      <c r="E42" s="8" t="s">
        <v>684</v>
      </c>
      <c r="F42" s="8" t="s">
        <v>683</v>
      </c>
      <c r="G42" s="8" t="s">
        <v>921</v>
      </c>
      <c r="H42" s="8"/>
      <c r="I42" s="174"/>
      <c r="J42" s="8" t="s">
        <v>684</v>
      </c>
      <c r="K42" s="8" t="s">
        <v>1359</v>
      </c>
      <c r="L42" s="8" t="s">
        <v>1354</v>
      </c>
      <c r="M42" s="8" t="str">
        <f t="shared" ref="M42:M44" si="16">CONCATENATE(K42," ",L42)</f>
        <v>ZITRON-ASCAZ HOSPITALARIA</v>
      </c>
      <c r="N42" s="8" t="s">
        <v>176</v>
      </c>
      <c r="O42" s="102" t="s">
        <v>987</v>
      </c>
      <c r="P42" s="102" t="s">
        <v>988</v>
      </c>
      <c r="Q42" s="102" t="s">
        <v>989</v>
      </c>
      <c r="R42" s="8" t="s">
        <v>2</v>
      </c>
      <c r="S42" s="8" t="s">
        <v>620</v>
      </c>
      <c r="T42" s="8" t="s">
        <v>772</v>
      </c>
      <c r="U42" s="4">
        <v>21886</v>
      </c>
      <c r="V42" s="10">
        <f t="shared" ref="V42:V44" ca="1" si="17">YEAR($V$1)-YEAR(U42)</f>
        <v>59</v>
      </c>
      <c r="W42" s="8" t="s">
        <v>1</v>
      </c>
      <c r="X42" s="102" t="s">
        <v>990</v>
      </c>
      <c r="Y42" s="8">
        <v>31</v>
      </c>
      <c r="Z42" s="8" t="s">
        <v>641</v>
      </c>
      <c r="AA42" s="8" t="s">
        <v>0</v>
      </c>
      <c r="AB42" s="8" t="s">
        <v>35</v>
      </c>
      <c r="AC42" s="8">
        <v>33209</v>
      </c>
      <c r="AD42" s="8">
        <v>615991504</v>
      </c>
      <c r="AE42" s="103" t="s">
        <v>991</v>
      </c>
      <c r="AF42" s="8"/>
      <c r="AG42" s="8"/>
      <c r="AH42" s="8"/>
      <c r="AI42" s="8"/>
      <c r="AJ42" s="8"/>
      <c r="AK42" s="98"/>
      <c r="AL42" s="11"/>
      <c r="AM42" s="104">
        <v>10</v>
      </c>
    </row>
    <row r="43" spans="1:39" ht="15" customHeight="1" x14ac:dyDescent="0.25">
      <c r="A43" s="85">
        <v>43</v>
      </c>
      <c r="B43" s="93"/>
      <c r="C43" s="11"/>
      <c r="D43" s="8" t="s">
        <v>718</v>
      </c>
      <c r="E43" s="8" t="s">
        <v>684</v>
      </c>
      <c r="F43" s="8" t="s">
        <v>683</v>
      </c>
      <c r="G43" s="8" t="s">
        <v>921</v>
      </c>
      <c r="H43" s="8"/>
      <c r="I43" s="174"/>
      <c r="J43" s="8" t="s">
        <v>684</v>
      </c>
      <c r="K43" s="8" t="s">
        <v>1359</v>
      </c>
      <c r="L43" s="8" t="s">
        <v>1354</v>
      </c>
      <c r="M43" s="8" t="str">
        <f t="shared" si="16"/>
        <v>ZITRON-ASCAZ HOSPITALARIA</v>
      </c>
      <c r="N43" s="8" t="s">
        <v>48</v>
      </c>
      <c r="O43" s="102" t="s">
        <v>992</v>
      </c>
      <c r="P43" s="102" t="s">
        <v>993</v>
      </c>
      <c r="Q43" s="102" t="s">
        <v>1270</v>
      </c>
      <c r="R43" s="8" t="s">
        <v>2</v>
      </c>
      <c r="S43" s="8" t="s">
        <v>1283</v>
      </c>
      <c r="T43" s="8" t="s">
        <v>753</v>
      </c>
      <c r="U43" s="4">
        <v>23788</v>
      </c>
      <c r="V43" s="10">
        <f t="shared" ca="1" si="17"/>
        <v>53</v>
      </c>
      <c r="W43" s="8"/>
      <c r="X43" s="102"/>
      <c r="Y43" s="8"/>
      <c r="Z43" s="8"/>
      <c r="AA43" s="8"/>
      <c r="AB43" s="8"/>
      <c r="AC43" s="8"/>
      <c r="AD43" s="8"/>
      <c r="AE43" s="103"/>
      <c r="AF43" s="8"/>
      <c r="AG43" s="8"/>
      <c r="AH43" s="8"/>
      <c r="AI43" s="8"/>
      <c r="AJ43" s="8"/>
      <c r="AK43" s="98"/>
      <c r="AL43" s="11"/>
      <c r="AM43" s="104">
        <v>10</v>
      </c>
    </row>
    <row r="44" spans="1:39" ht="15" customHeight="1" x14ac:dyDescent="0.25">
      <c r="A44" s="85">
        <v>44</v>
      </c>
      <c r="B44" s="93"/>
      <c r="C44" s="11"/>
      <c r="D44" s="8" t="s">
        <v>719</v>
      </c>
      <c r="E44" s="8" t="s">
        <v>684</v>
      </c>
      <c r="F44" s="8" t="s">
        <v>683</v>
      </c>
      <c r="G44" s="8" t="s">
        <v>921</v>
      </c>
      <c r="H44" s="8"/>
      <c r="I44" s="174"/>
      <c r="J44" s="8" t="s">
        <v>684</v>
      </c>
      <c r="K44" s="8" t="s">
        <v>1359</v>
      </c>
      <c r="L44" s="8" t="s">
        <v>1354</v>
      </c>
      <c r="M44" s="8" t="str">
        <f t="shared" si="16"/>
        <v>ZITRON-ASCAZ HOSPITALARIA</v>
      </c>
      <c r="N44" s="105" t="s">
        <v>932</v>
      </c>
      <c r="O44" s="102" t="s">
        <v>994</v>
      </c>
      <c r="P44" s="102" t="s">
        <v>988</v>
      </c>
      <c r="Q44" s="102" t="s">
        <v>993</v>
      </c>
      <c r="R44" s="8" t="s">
        <v>2</v>
      </c>
      <c r="S44" s="8" t="s">
        <v>618</v>
      </c>
      <c r="T44" s="8" t="s">
        <v>772</v>
      </c>
      <c r="U44" s="4">
        <v>34721</v>
      </c>
      <c r="V44" s="10">
        <f t="shared" ca="1" si="17"/>
        <v>23</v>
      </c>
      <c r="W44" s="8"/>
      <c r="X44" s="102"/>
      <c r="Y44" s="8"/>
      <c r="Z44" s="8"/>
      <c r="AA44" s="8"/>
      <c r="AB44" s="8"/>
      <c r="AC44" s="8"/>
      <c r="AD44" s="8"/>
      <c r="AE44" s="103"/>
      <c r="AF44" s="8"/>
      <c r="AG44" s="8"/>
      <c r="AH44" s="8"/>
      <c r="AI44" s="8"/>
      <c r="AJ44" s="8"/>
      <c r="AK44" s="98"/>
      <c r="AL44" s="11"/>
      <c r="AM44" s="104">
        <v>10</v>
      </c>
    </row>
    <row r="45" spans="1:39" ht="15" customHeight="1" x14ac:dyDescent="0.25">
      <c r="A45" s="85">
        <v>45</v>
      </c>
      <c r="B45" s="93"/>
      <c r="C45" s="94">
        <v>14</v>
      </c>
      <c r="D45" s="95"/>
      <c r="E45" s="9"/>
      <c r="F45" s="9"/>
      <c r="G45" s="9"/>
      <c r="H45" s="9"/>
      <c r="I45" s="9"/>
      <c r="J45" s="9"/>
      <c r="K45" s="9"/>
      <c r="L45" s="9"/>
      <c r="M45" s="106"/>
      <c r="N45" s="9"/>
      <c r="O45" s="107"/>
      <c r="P45" s="107"/>
      <c r="Q45" s="107"/>
      <c r="R45" s="9"/>
      <c r="S45" s="9"/>
      <c r="T45" s="9"/>
      <c r="U45" s="6"/>
      <c r="V45" s="9"/>
      <c r="W45" s="9"/>
      <c r="X45" s="107"/>
      <c r="Y45" s="9"/>
      <c r="Z45" s="9"/>
      <c r="AA45" s="9"/>
      <c r="AB45" s="9"/>
      <c r="AC45" s="9"/>
      <c r="AD45" s="9"/>
      <c r="AE45" s="108"/>
      <c r="AF45" s="9"/>
      <c r="AG45" s="9"/>
      <c r="AH45" s="9"/>
      <c r="AI45" s="9"/>
      <c r="AJ45" s="9"/>
      <c r="AK45" s="98"/>
      <c r="AL45" s="99">
        <v>0</v>
      </c>
      <c r="AM45" s="99"/>
    </row>
    <row r="46" spans="1:39" ht="15" customHeight="1" x14ac:dyDescent="0.25">
      <c r="A46" s="85">
        <v>46</v>
      </c>
      <c r="B46" s="93"/>
      <c r="C46" s="11"/>
      <c r="D46" s="8" t="s">
        <v>720</v>
      </c>
      <c r="E46" s="8" t="s">
        <v>684</v>
      </c>
      <c r="F46" s="8" t="s">
        <v>683</v>
      </c>
      <c r="G46" s="8" t="s">
        <v>920</v>
      </c>
      <c r="H46" s="8"/>
      <c r="I46" s="174"/>
      <c r="J46" s="8" t="s">
        <v>684</v>
      </c>
      <c r="K46" s="8" t="s">
        <v>1359</v>
      </c>
      <c r="L46" s="8" t="s">
        <v>1354</v>
      </c>
      <c r="M46" s="8" t="str">
        <f t="shared" ref="M46:M48" si="18">CONCATENATE(K46," ",L46)</f>
        <v>ZITRON-ASCAZ HOSPITALARIA</v>
      </c>
      <c r="N46" s="8" t="s">
        <v>176</v>
      </c>
      <c r="O46" s="102" t="s">
        <v>536</v>
      </c>
      <c r="P46" s="102" t="s">
        <v>328</v>
      </c>
      <c r="Q46" s="102" t="s">
        <v>535</v>
      </c>
      <c r="R46" s="8" t="s">
        <v>2</v>
      </c>
      <c r="S46" s="8" t="s">
        <v>534</v>
      </c>
      <c r="T46" s="8" t="s">
        <v>772</v>
      </c>
      <c r="U46" s="4">
        <v>29542</v>
      </c>
      <c r="V46" s="10">
        <f t="shared" ref="V46:V48" ca="1" si="19">YEAR($V$1)-YEAR(U46)</f>
        <v>38</v>
      </c>
      <c r="W46" s="8" t="s">
        <v>1</v>
      </c>
      <c r="X46" s="102" t="s">
        <v>533</v>
      </c>
      <c r="Y46" s="8">
        <v>1</v>
      </c>
      <c r="Z46" s="8" t="s">
        <v>532</v>
      </c>
      <c r="AA46" s="8" t="s">
        <v>0</v>
      </c>
      <c r="AB46" s="8" t="s">
        <v>531</v>
      </c>
      <c r="AC46" s="8">
        <v>33510</v>
      </c>
      <c r="AD46" s="8">
        <v>679944885</v>
      </c>
      <c r="AE46" s="103" t="s">
        <v>995</v>
      </c>
      <c r="AF46" s="8"/>
      <c r="AG46" s="8"/>
      <c r="AH46" s="8"/>
      <c r="AI46" s="8"/>
      <c r="AJ46" s="8"/>
      <c r="AK46" s="98"/>
      <c r="AL46" s="11"/>
      <c r="AM46" s="104">
        <v>10</v>
      </c>
    </row>
    <row r="47" spans="1:39" ht="15" customHeight="1" x14ac:dyDescent="0.25">
      <c r="A47" s="85">
        <v>47</v>
      </c>
      <c r="B47" s="93"/>
      <c r="C47" s="11"/>
      <c r="D47" s="8" t="s">
        <v>721</v>
      </c>
      <c r="E47" s="8" t="s">
        <v>684</v>
      </c>
      <c r="F47" s="8" t="s">
        <v>683</v>
      </c>
      <c r="G47" s="8" t="s">
        <v>920</v>
      </c>
      <c r="H47" s="8"/>
      <c r="I47" s="174"/>
      <c r="J47" s="8" t="s">
        <v>684</v>
      </c>
      <c r="K47" s="8" t="s">
        <v>1359</v>
      </c>
      <c r="L47" s="8" t="s">
        <v>1354</v>
      </c>
      <c r="M47" s="8" t="str">
        <f t="shared" si="18"/>
        <v>ZITRON-ASCAZ HOSPITALARIA</v>
      </c>
      <c r="N47" s="8" t="s">
        <v>48</v>
      </c>
      <c r="O47" s="102" t="s">
        <v>617</v>
      </c>
      <c r="P47" s="102" t="s">
        <v>135</v>
      </c>
      <c r="Q47" s="102" t="s">
        <v>153</v>
      </c>
      <c r="R47" s="8" t="s">
        <v>2</v>
      </c>
      <c r="S47" s="8" t="s">
        <v>616</v>
      </c>
      <c r="T47" s="8" t="s">
        <v>753</v>
      </c>
      <c r="U47" s="4">
        <v>28242</v>
      </c>
      <c r="V47" s="10">
        <f t="shared" ca="1" si="19"/>
        <v>41</v>
      </c>
      <c r="W47" s="8"/>
      <c r="X47" s="102"/>
      <c r="Y47" s="8"/>
      <c r="Z47" s="8"/>
      <c r="AA47" s="8"/>
      <c r="AB47" s="8"/>
      <c r="AC47" s="8"/>
      <c r="AD47" s="8"/>
      <c r="AE47" s="103"/>
      <c r="AF47" s="8"/>
      <c r="AG47" s="8"/>
      <c r="AH47" s="8"/>
      <c r="AI47" s="8"/>
      <c r="AJ47" s="8"/>
      <c r="AK47" s="98"/>
      <c r="AL47" s="11"/>
      <c r="AM47" s="104">
        <v>10</v>
      </c>
    </row>
    <row r="48" spans="1:39" ht="15" customHeight="1" x14ac:dyDescent="0.25">
      <c r="A48" s="85">
        <v>48</v>
      </c>
      <c r="B48" s="93"/>
      <c r="C48" s="11"/>
      <c r="D48" s="8" t="s">
        <v>722</v>
      </c>
      <c r="E48" s="8" t="s">
        <v>684</v>
      </c>
      <c r="F48" s="8" t="s">
        <v>683</v>
      </c>
      <c r="G48" s="8">
        <v>2012</v>
      </c>
      <c r="H48" s="8"/>
      <c r="I48" s="174"/>
      <c r="J48" s="8" t="s">
        <v>684</v>
      </c>
      <c r="K48" s="8" t="s">
        <v>1359</v>
      </c>
      <c r="L48" s="8" t="s">
        <v>1353</v>
      </c>
      <c r="M48" s="8" t="str">
        <f t="shared" si="18"/>
        <v>ZITRON-ASCAZ AMBULATORIA</v>
      </c>
      <c r="N48" s="105" t="s">
        <v>932</v>
      </c>
      <c r="O48" s="102" t="s">
        <v>530</v>
      </c>
      <c r="P48" s="102" t="s">
        <v>328</v>
      </c>
      <c r="Q48" s="102" t="s">
        <v>135</v>
      </c>
      <c r="R48" s="8" t="s">
        <v>2</v>
      </c>
      <c r="S48" s="8" t="s">
        <v>529</v>
      </c>
      <c r="T48" s="8" t="s">
        <v>772</v>
      </c>
      <c r="U48" s="4">
        <v>40955</v>
      </c>
      <c r="V48" s="10">
        <f t="shared" ca="1" si="19"/>
        <v>6</v>
      </c>
      <c r="W48" s="8"/>
      <c r="X48" s="102"/>
      <c r="Y48" s="8"/>
      <c r="Z48" s="8"/>
      <c r="AA48" s="8"/>
      <c r="AB48" s="8"/>
      <c r="AC48" s="8"/>
      <c r="AD48" s="8"/>
      <c r="AE48" s="103"/>
      <c r="AF48" s="8"/>
      <c r="AG48" s="8"/>
      <c r="AH48" s="8"/>
      <c r="AI48" s="8"/>
      <c r="AJ48" s="8"/>
      <c r="AK48" s="98"/>
      <c r="AL48" s="11"/>
      <c r="AM48" s="104">
        <v>10</v>
      </c>
    </row>
    <row r="49" spans="1:39" ht="15" customHeight="1" x14ac:dyDescent="0.25">
      <c r="A49" s="85">
        <v>49</v>
      </c>
      <c r="B49" s="93"/>
      <c r="C49" s="94">
        <v>15</v>
      </c>
      <c r="D49" s="95"/>
      <c r="E49" s="9"/>
      <c r="F49" s="9"/>
      <c r="G49" s="9"/>
      <c r="H49" s="9"/>
      <c r="I49" s="9"/>
      <c r="J49" s="9"/>
      <c r="K49" s="9"/>
      <c r="L49" s="9"/>
      <c r="M49" s="106"/>
      <c r="N49" s="9"/>
      <c r="O49" s="107"/>
      <c r="P49" s="107"/>
      <c r="Q49" s="107"/>
      <c r="R49" s="9"/>
      <c r="S49" s="9"/>
      <c r="T49" s="9"/>
      <c r="U49" s="6"/>
      <c r="V49" s="9"/>
      <c r="W49" s="9"/>
      <c r="X49" s="107"/>
      <c r="Y49" s="9"/>
      <c r="Z49" s="9"/>
      <c r="AA49" s="9"/>
      <c r="AB49" s="9"/>
      <c r="AC49" s="9"/>
      <c r="AD49" s="9"/>
      <c r="AE49" s="108"/>
      <c r="AF49" s="9"/>
      <c r="AG49" s="9"/>
      <c r="AH49" s="9"/>
      <c r="AI49" s="9"/>
      <c r="AJ49" s="9"/>
      <c r="AK49" s="98"/>
      <c r="AL49" s="99">
        <v>0</v>
      </c>
      <c r="AM49" s="99"/>
    </row>
    <row r="50" spans="1:39" ht="15" customHeight="1" x14ac:dyDescent="0.25">
      <c r="A50" s="85">
        <v>50</v>
      </c>
      <c r="B50" s="93"/>
      <c r="C50" s="11"/>
      <c r="D50" s="8" t="s">
        <v>723</v>
      </c>
      <c r="E50" s="8" t="s">
        <v>684</v>
      </c>
      <c r="F50" s="8" t="s">
        <v>683</v>
      </c>
      <c r="G50" s="8" t="s">
        <v>920</v>
      </c>
      <c r="H50" s="8"/>
      <c r="I50" s="174"/>
      <c r="J50" s="8" t="s">
        <v>684</v>
      </c>
      <c r="K50" s="8" t="s">
        <v>1359</v>
      </c>
      <c r="L50" s="8" t="s">
        <v>1354</v>
      </c>
      <c r="M50" s="8" t="str">
        <f t="shared" ref="M50:M52" si="20">CONCATENATE(K50," ",L50)</f>
        <v>ZITRON-ASCAZ HOSPITALARIA</v>
      </c>
      <c r="N50" s="8" t="s">
        <v>176</v>
      </c>
      <c r="O50" s="102" t="s">
        <v>615</v>
      </c>
      <c r="P50" s="102" t="s">
        <v>73</v>
      </c>
      <c r="Q50" s="102" t="s">
        <v>362</v>
      </c>
      <c r="R50" s="8" t="s">
        <v>2</v>
      </c>
      <c r="S50" s="8" t="s">
        <v>614</v>
      </c>
      <c r="T50" s="8" t="s">
        <v>772</v>
      </c>
      <c r="U50" s="4">
        <v>30063</v>
      </c>
      <c r="V50" s="10">
        <f t="shared" ref="V50:V52" ca="1" si="21">YEAR($V$1)-YEAR(U50)</f>
        <v>36</v>
      </c>
      <c r="W50" s="8"/>
      <c r="X50" s="102" t="s">
        <v>613</v>
      </c>
      <c r="Y50" s="8" t="s">
        <v>612</v>
      </c>
      <c r="Z50" s="8"/>
      <c r="AA50" s="8" t="s">
        <v>0</v>
      </c>
      <c r="AB50" s="8" t="s">
        <v>611</v>
      </c>
      <c r="AC50" s="8">
        <v>33189</v>
      </c>
      <c r="AD50" s="8">
        <v>645654032</v>
      </c>
      <c r="AE50" s="103" t="s">
        <v>996</v>
      </c>
      <c r="AF50" s="8"/>
      <c r="AG50" s="8"/>
      <c r="AH50" s="8"/>
      <c r="AI50" s="8"/>
      <c r="AJ50" s="8"/>
      <c r="AK50" s="98"/>
      <c r="AL50" s="11"/>
      <c r="AM50" s="104">
        <v>10</v>
      </c>
    </row>
    <row r="51" spans="1:39" ht="15" customHeight="1" x14ac:dyDescent="0.25">
      <c r="A51" s="85">
        <v>51</v>
      </c>
      <c r="B51" s="93"/>
      <c r="C51" s="11"/>
      <c r="D51" s="8" t="s">
        <v>724</v>
      </c>
      <c r="E51" s="8" t="s">
        <v>684</v>
      </c>
      <c r="F51" s="8" t="s">
        <v>683</v>
      </c>
      <c r="G51" s="8" t="s">
        <v>920</v>
      </c>
      <c r="H51" s="8"/>
      <c r="I51" s="174"/>
      <c r="J51" s="8" t="s">
        <v>684</v>
      </c>
      <c r="K51" s="8" t="s">
        <v>1359</v>
      </c>
      <c r="L51" s="8" t="s">
        <v>1354</v>
      </c>
      <c r="M51" s="8" t="str">
        <f t="shared" si="20"/>
        <v>ZITRON-ASCAZ HOSPITALARIA</v>
      </c>
      <c r="N51" s="8" t="s">
        <v>48</v>
      </c>
      <c r="O51" s="102" t="s">
        <v>1073</v>
      </c>
      <c r="P51" s="102" t="s">
        <v>223</v>
      </c>
      <c r="Q51" s="102" t="s">
        <v>1278</v>
      </c>
      <c r="R51" s="8" t="s">
        <v>2</v>
      </c>
      <c r="S51" s="8" t="s">
        <v>609</v>
      </c>
      <c r="T51" s="8" t="s">
        <v>753</v>
      </c>
      <c r="U51" s="4">
        <v>30237</v>
      </c>
      <c r="V51" s="10">
        <f t="shared" ca="1" si="21"/>
        <v>36</v>
      </c>
      <c r="W51" s="8"/>
      <c r="X51" s="102"/>
      <c r="Y51" s="8"/>
      <c r="Z51" s="8"/>
      <c r="AA51" s="8"/>
      <c r="AB51" s="8"/>
      <c r="AC51" s="8"/>
      <c r="AD51" s="8"/>
      <c r="AE51" s="103"/>
      <c r="AF51" s="8"/>
      <c r="AG51" s="8"/>
      <c r="AH51" s="8"/>
      <c r="AI51" s="8"/>
      <c r="AJ51" s="8"/>
      <c r="AK51" s="98"/>
      <c r="AL51" s="11"/>
      <c r="AM51" s="104">
        <v>10</v>
      </c>
    </row>
    <row r="52" spans="1:39" ht="15" customHeight="1" x14ac:dyDescent="0.25">
      <c r="A52" s="85">
        <v>52</v>
      </c>
      <c r="B52" s="93"/>
      <c r="C52" s="11"/>
      <c r="D52" s="8" t="s">
        <v>725</v>
      </c>
      <c r="E52" s="8" t="s">
        <v>684</v>
      </c>
      <c r="F52" s="8" t="s">
        <v>683</v>
      </c>
      <c r="G52" s="8" t="s">
        <v>920</v>
      </c>
      <c r="H52" s="8"/>
      <c r="I52" s="174"/>
      <c r="J52" s="8" t="s">
        <v>684</v>
      </c>
      <c r="K52" s="8" t="s">
        <v>1359</v>
      </c>
      <c r="L52" s="8" t="s">
        <v>1354</v>
      </c>
      <c r="M52" s="8" t="str">
        <f t="shared" si="20"/>
        <v>ZITRON-ASCAZ HOSPITALARIA</v>
      </c>
      <c r="N52" s="105" t="s">
        <v>932</v>
      </c>
      <c r="O52" s="102" t="s">
        <v>291</v>
      </c>
      <c r="P52" s="102" t="s">
        <v>73</v>
      </c>
      <c r="Q52" s="102" t="s">
        <v>223</v>
      </c>
      <c r="R52" s="8"/>
      <c r="S52" s="8"/>
      <c r="T52" s="8" t="s">
        <v>772</v>
      </c>
      <c r="U52" s="4">
        <v>41253</v>
      </c>
      <c r="V52" s="10">
        <f t="shared" ca="1" si="21"/>
        <v>6</v>
      </c>
      <c r="W52" s="8"/>
      <c r="X52" s="102"/>
      <c r="Y52" s="8"/>
      <c r="Z52" s="8"/>
      <c r="AA52" s="8"/>
      <c r="AB52" s="8"/>
      <c r="AC52" s="8"/>
      <c r="AD52" s="8"/>
      <c r="AE52" s="103"/>
      <c r="AF52" s="8"/>
      <c r="AG52" s="8"/>
      <c r="AH52" s="8"/>
      <c r="AI52" s="8"/>
      <c r="AJ52" s="8"/>
      <c r="AK52" s="98"/>
      <c r="AL52" s="11"/>
      <c r="AM52" s="104">
        <v>10</v>
      </c>
    </row>
    <row r="53" spans="1:39" ht="15" customHeight="1" x14ac:dyDescent="0.25">
      <c r="A53" s="85">
        <v>53</v>
      </c>
      <c r="B53" s="93"/>
      <c r="C53" s="94">
        <v>16</v>
      </c>
      <c r="D53" s="95"/>
      <c r="E53" s="9"/>
      <c r="F53" s="9"/>
      <c r="G53" s="9"/>
      <c r="H53" s="9"/>
      <c r="I53" s="9"/>
      <c r="J53" s="9"/>
      <c r="K53" s="9"/>
      <c r="L53" s="9"/>
      <c r="M53" s="106"/>
      <c r="N53" s="9"/>
      <c r="O53" s="107"/>
      <c r="P53" s="107"/>
      <c r="Q53" s="107"/>
      <c r="R53" s="9"/>
      <c r="S53" s="9"/>
      <c r="T53" s="9"/>
      <c r="U53" s="6"/>
      <c r="V53" s="9"/>
      <c r="W53" s="9"/>
      <c r="X53" s="107"/>
      <c r="Y53" s="9"/>
      <c r="Z53" s="9"/>
      <c r="AA53" s="9"/>
      <c r="AB53" s="9"/>
      <c r="AC53" s="9"/>
      <c r="AD53" s="9"/>
      <c r="AE53" s="108"/>
      <c r="AF53" s="9"/>
      <c r="AG53" s="9"/>
      <c r="AH53" s="9"/>
      <c r="AI53" s="9"/>
      <c r="AJ53" s="9"/>
      <c r="AK53" s="98"/>
      <c r="AL53" s="99">
        <v>0</v>
      </c>
      <c r="AM53" s="99"/>
    </row>
    <row r="54" spans="1:39" ht="15" customHeight="1" x14ac:dyDescent="0.25">
      <c r="A54" s="85">
        <v>54</v>
      </c>
      <c r="B54" s="93"/>
      <c r="C54" s="11"/>
      <c r="D54" s="8" t="s">
        <v>726</v>
      </c>
      <c r="E54" s="8" t="s">
        <v>684</v>
      </c>
      <c r="F54" s="8" t="s">
        <v>683</v>
      </c>
      <c r="G54" s="8" t="s">
        <v>920</v>
      </c>
      <c r="H54" s="8"/>
      <c r="I54" s="174"/>
      <c r="J54" s="8" t="s">
        <v>684</v>
      </c>
      <c r="K54" s="8" t="s">
        <v>1359</v>
      </c>
      <c r="L54" s="8" t="s">
        <v>1354</v>
      </c>
      <c r="M54" s="8" t="str">
        <f t="shared" ref="M54:M56" si="22">CONCATENATE(K54," ",L54)</f>
        <v>ZITRON-ASCAZ HOSPITALARIA</v>
      </c>
      <c r="N54" s="8" t="s">
        <v>176</v>
      </c>
      <c r="O54" s="102" t="s">
        <v>109</v>
      </c>
      <c r="P54" s="102" t="s">
        <v>73</v>
      </c>
      <c r="Q54" s="102" t="s">
        <v>1267</v>
      </c>
      <c r="R54" s="8" t="s">
        <v>2</v>
      </c>
      <c r="S54" s="8" t="s">
        <v>608</v>
      </c>
      <c r="T54" s="8" t="s">
        <v>753</v>
      </c>
      <c r="U54" s="4">
        <v>26270</v>
      </c>
      <c r="V54" s="10">
        <f t="shared" ref="V54:V56" ca="1" si="23">YEAR($V$1)-YEAR(U54)</f>
        <v>47</v>
      </c>
      <c r="W54" s="8" t="s">
        <v>1</v>
      </c>
      <c r="X54" s="102" t="s">
        <v>997</v>
      </c>
      <c r="Y54" s="8">
        <v>46</v>
      </c>
      <c r="Z54" s="8" t="s">
        <v>607</v>
      </c>
      <c r="AA54" s="8" t="s">
        <v>0</v>
      </c>
      <c r="AB54" s="8" t="s">
        <v>8</v>
      </c>
      <c r="AC54" s="8">
        <v>33007</v>
      </c>
      <c r="AD54" s="8">
        <v>649457291</v>
      </c>
      <c r="AE54" s="103" t="s">
        <v>998</v>
      </c>
      <c r="AF54" s="8"/>
      <c r="AG54" s="8"/>
      <c r="AH54" s="8"/>
      <c r="AI54" s="8"/>
      <c r="AJ54" s="8"/>
      <c r="AK54" s="98"/>
      <c r="AL54" s="11"/>
      <c r="AM54" s="104">
        <v>10</v>
      </c>
    </row>
    <row r="55" spans="1:39" ht="15" customHeight="1" x14ac:dyDescent="0.25">
      <c r="A55" s="85">
        <v>55</v>
      </c>
      <c r="B55" s="93"/>
      <c r="C55" s="11"/>
      <c r="D55" s="8" t="s">
        <v>727</v>
      </c>
      <c r="E55" s="8" t="s">
        <v>684</v>
      </c>
      <c r="F55" s="8" t="s">
        <v>683</v>
      </c>
      <c r="G55" s="8" t="s">
        <v>920</v>
      </c>
      <c r="H55" s="8"/>
      <c r="I55" s="174"/>
      <c r="J55" s="8" t="s">
        <v>684</v>
      </c>
      <c r="K55" s="8" t="s">
        <v>1359</v>
      </c>
      <c r="L55" s="8" t="s">
        <v>1354</v>
      </c>
      <c r="M55" s="8" t="str">
        <f t="shared" si="22"/>
        <v>ZITRON-ASCAZ HOSPITALARIA</v>
      </c>
      <c r="N55" s="8" t="s">
        <v>48</v>
      </c>
      <c r="O55" s="102" t="s">
        <v>999</v>
      </c>
      <c r="P55" s="102" t="s">
        <v>340</v>
      </c>
      <c r="Q55" s="102" t="s">
        <v>73</v>
      </c>
      <c r="R55" s="8" t="s">
        <v>2</v>
      </c>
      <c r="S55" s="8" t="s">
        <v>606</v>
      </c>
      <c r="T55" s="8" t="s">
        <v>772</v>
      </c>
      <c r="U55" s="4">
        <v>25550</v>
      </c>
      <c r="V55" s="10">
        <f t="shared" ca="1" si="23"/>
        <v>49</v>
      </c>
      <c r="W55" s="8"/>
      <c r="X55" s="102"/>
      <c r="Y55" s="8"/>
      <c r="Z55" s="8"/>
      <c r="AA55" s="8"/>
      <c r="AB55" s="8"/>
      <c r="AC55" s="8"/>
      <c r="AD55" s="8"/>
      <c r="AE55" s="103"/>
      <c r="AF55" s="8"/>
      <c r="AG55" s="8"/>
      <c r="AH55" s="8"/>
      <c r="AI55" s="8"/>
      <c r="AJ55" s="8"/>
      <c r="AK55" s="98"/>
      <c r="AL55" s="11"/>
      <c r="AM55" s="104">
        <v>10</v>
      </c>
    </row>
    <row r="56" spans="1:39" ht="15" customHeight="1" x14ac:dyDescent="0.25">
      <c r="A56" s="85">
        <v>56</v>
      </c>
      <c r="B56" s="93"/>
      <c r="C56" s="11"/>
      <c r="D56" s="8" t="s">
        <v>728</v>
      </c>
      <c r="E56" s="8" t="s">
        <v>684</v>
      </c>
      <c r="F56" s="8" t="s">
        <v>683</v>
      </c>
      <c r="G56" s="8" t="s">
        <v>920</v>
      </c>
      <c r="H56" s="8"/>
      <c r="I56" s="174"/>
      <c r="J56" s="8" t="s">
        <v>684</v>
      </c>
      <c r="K56" s="8" t="s">
        <v>1359</v>
      </c>
      <c r="L56" s="8" t="s">
        <v>1354</v>
      </c>
      <c r="M56" s="8" t="str">
        <f t="shared" si="22"/>
        <v>ZITRON-ASCAZ HOSPITALARIA</v>
      </c>
      <c r="N56" s="105" t="s">
        <v>932</v>
      </c>
      <c r="O56" s="102" t="s">
        <v>969</v>
      </c>
      <c r="P56" s="102" t="s">
        <v>340</v>
      </c>
      <c r="Q56" s="102" t="s">
        <v>73</v>
      </c>
      <c r="R56" s="8"/>
      <c r="S56" s="8"/>
      <c r="T56" s="8" t="s">
        <v>753</v>
      </c>
      <c r="U56" s="4">
        <v>40025</v>
      </c>
      <c r="V56" s="10">
        <f t="shared" ca="1" si="23"/>
        <v>9</v>
      </c>
      <c r="W56" s="8"/>
      <c r="X56" s="102"/>
      <c r="Y56" s="8"/>
      <c r="Z56" s="8"/>
      <c r="AA56" s="8"/>
      <c r="AB56" s="8"/>
      <c r="AC56" s="8"/>
      <c r="AD56" s="8"/>
      <c r="AE56" s="103"/>
      <c r="AF56" s="8"/>
      <c r="AG56" s="8"/>
      <c r="AH56" s="8"/>
      <c r="AI56" s="8"/>
      <c r="AJ56" s="8"/>
      <c r="AK56" s="98"/>
      <c r="AL56" s="11"/>
      <c r="AM56" s="104">
        <v>10</v>
      </c>
    </row>
    <row r="57" spans="1:39" ht="15" customHeight="1" x14ac:dyDescent="0.25">
      <c r="A57" s="85">
        <v>57</v>
      </c>
      <c r="B57" s="93"/>
      <c r="C57" s="94">
        <v>17</v>
      </c>
      <c r="D57" s="95"/>
      <c r="E57" s="9"/>
      <c r="F57" s="9"/>
      <c r="G57" s="9"/>
      <c r="H57" s="9"/>
      <c r="I57" s="9"/>
      <c r="J57" s="9"/>
      <c r="K57" s="9"/>
      <c r="L57" s="9"/>
      <c r="M57" s="106"/>
      <c r="N57" s="9"/>
      <c r="O57" s="107"/>
      <c r="P57" s="107"/>
      <c r="Q57" s="107"/>
      <c r="R57" s="9"/>
      <c r="S57" s="9"/>
      <c r="T57" s="9"/>
      <c r="U57" s="6"/>
      <c r="V57" s="9"/>
      <c r="W57" s="9"/>
      <c r="X57" s="107"/>
      <c r="Y57" s="9"/>
      <c r="Z57" s="9"/>
      <c r="AA57" s="9"/>
      <c r="AB57" s="9"/>
      <c r="AC57" s="9"/>
      <c r="AD57" s="9"/>
      <c r="AE57" s="108"/>
      <c r="AF57" s="9"/>
      <c r="AG57" s="9"/>
      <c r="AH57" s="9"/>
      <c r="AI57" s="9"/>
      <c r="AJ57" s="9"/>
      <c r="AK57" s="98"/>
      <c r="AL57" s="99">
        <v>30</v>
      </c>
      <c r="AM57" s="99"/>
    </row>
    <row r="58" spans="1:39" ht="15" customHeight="1" x14ac:dyDescent="0.25">
      <c r="A58" s="85">
        <v>58</v>
      </c>
      <c r="B58" s="93"/>
      <c r="C58" s="11"/>
      <c r="D58" s="8" t="s">
        <v>729</v>
      </c>
      <c r="E58" s="8" t="s">
        <v>684</v>
      </c>
      <c r="F58" s="8" t="s">
        <v>683</v>
      </c>
      <c r="G58" s="8" t="s">
        <v>921</v>
      </c>
      <c r="H58" s="8"/>
      <c r="I58" s="174"/>
      <c r="J58" s="8" t="s">
        <v>684</v>
      </c>
      <c r="K58" s="8" t="s">
        <v>1359</v>
      </c>
      <c r="L58" s="8" t="s">
        <v>1354</v>
      </c>
      <c r="M58" s="8" t="str">
        <f>CONCATENATE(K58," ",L58)</f>
        <v>ZITRON-ASCAZ HOSPITALARIA</v>
      </c>
      <c r="N58" s="8" t="s">
        <v>176</v>
      </c>
      <c r="O58" s="102" t="s">
        <v>605</v>
      </c>
      <c r="P58" s="102" t="s">
        <v>334</v>
      </c>
      <c r="Q58" s="102" t="s">
        <v>604</v>
      </c>
      <c r="R58" s="8" t="s">
        <v>2</v>
      </c>
      <c r="S58" s="8" t="s">
        <v>603</v>
      </c>
      <c r="T58" s="8" t="s">
        <v>772</v>
      </c>
      <c r="U58" s="4">
        <v>30957</v>
      </c>
      <c r="V58" s="10">
        <f ca="1">YEAR($V$1)-YEAR(U58)</f>
        <v>34</v>
      </c>
      <c r="W58" s="8" t="s">
        <v>196</v>
      </c>
      <c r="X58" s="102" t="s">
        <v>602</v>
      </c>
      <c r="Y58" s="8">
        <v>30</v>
      </c>
      <c r="Z58" s="8" t="s">
        <v>593</v>
      </c>
      <c r="AA58" s="8" t="s">
        <v>0</v>
      </c>
      <c r="AB58" s="8" t="s">
        <v>35</v>
      </c>
      <c r="AC58" s="8">
        <v>33212</v>
      </c>
      <c r="AD58" s="8">
        <v>626644467</v>
      </c>
      <c r="AE58" s="103" t="s">
        <v>1000</v>
      </c>
      <c r="AF58" s="8"/>
      <c r="AG58" s="8"/>
      <c r="AH58" s="8"/>
      <c r="AI58" s="8"/>
      <c r="AJ58" s="8"/>
      <c r="AK58" s="98"/>
      <c r="AL58" s="11"/>
      <c r="AM58" s="104">
        <v>10</v>
      </c>
    </row>
    <row r="59" spans="1:39" ht="15" customHeight="1" x14ac:dyDescent="0.25">
      <c r="A59" s="85">
        <v>59</v>
      </c>
      <c r="B59" s="93"/>
      <c r="C59" s="94">
        <v>18</v>
      </c>
      <c r="D59" s="95"/>
      <c r="E59" s="9"/>
      <c r="F59" s="9"/>
      <c r="G59" s="9"/>
      <c r="H59" s="9"/>
      <c r="I59" s="9"/>
      <c r="J59" s="9"/>
      <c r="K59" s="9"/>
      <c r="L59" s="9"/>
      <c r="M59" s="106"/>
      <c r="N59" s="9"/>
      <c r="O59" s="107"/>
      <c r="P59" s="107"/>
      <c r="Q59" s="107"/>
      <c r="R59" s="9"/>
      <c r="S59" s="9"/>
      <c r="T59" s="9"/>
      <c r="U59" s="6"/>
      <c r="V59" s="9"/>
      <c r="W59" s="9"/>
      <c r="X59" s="107"/>
      <c r="Y59" s="9"/>
      <c r="Z59" s="9"/>
      <c r="AA59" s="9"/>
      <c r="AB59" s="9"/>
      <c r="AC59" s="9"/>
      <c r="AD59" s="9"/>
      <c r="AE59" s="108"/>
      <c r="AF59" s="9"/>
      <c r="AG59" s="9"/>
      <c r="AH59" s="9"/>
      <c r="AI59" s="9"/>
      <c r="AJ59" s="9"/>
      <c r="AK59" s="98"/>
      <c r="AL59" s="99">
        <v>30</v>
      </c>
      <c r="AM59" s="99"/>
    </row>
    <row r="60" spans="1:39" ht="15" customHeight="1" x14ac:dyDescent="0.25">
      <c r="A60" s="85">
        <v>60</v>
      </c>
      <c r="B60" s="93"/>
      <c r="C60" s="11"/>
      <c r="D60" s="8" t="s">
        <v>730</v>
      </c>
      <c r="E60" s="8" t="s">
        <v>684</v>
      </c>
      <c r="F60" s="8" t="s">
        <v>683</v>
      </c>
      <c r="G60" s="8" t="s">
        <v>921</v>
      </c>
      <c r="H60" s="8"/>
      <c r="I60" s="101"/>
      <c r="J60" s="8" t="s">
        <v>684</v>
      </c>
      <c r="K60" s="8" t="s">
        <v>1359</v>
      </c>
      <c r="L60" s="8" t="s">
        <v>1354</v>
      </c>
      <c r="M60" s="8" t="str">
        <f t="shared" ref="M60:M62" si="24">CONCATENATE(K60," ",L60)</f>
        <v>ZITRON-ASCAZ HOSPITALARIA</v>
      </c>
      <c r="N60" s="8" t="s">
        <v>176</v>
      </c>
      <c r="O60" s="102" t="s">
        <v>518</v>
      </c>
      <c r="P60" s="102" t="s">
        <v>268</v>
      </c>
      <c r="Q60" s="102" t="s">
        <v>340</v>
      </c>
      <c r="R60" s="8" t="s">
        <v>2</v>
      </c>
      <c r="S60" s="8" t="s">
        <v>517</v>
      </c>
      <c r="T60" s="8" t="s">
        <v>753</v>
      </c>
      <c r="U60" s="4">
        <v>27089</v>
      </c>
      <c r="V60" s="10">
        <f t="shared" ref="V60:V62" ca="1" si="25">YEAR($V$1)-YEAR(U60)</f>
        <v>44</v>
      </c>
      <c r="W60" s="8" t="s">
        <v>516</v>
      </c>
      <c r="X60" s="102" t="s">
        <v>515</v>
      </c>
      <c r="Y60" s="8">
        <v>188</v>
      </c>
      <c r="Z60" s="8" t="s">
        <v>514</v>
      </c>
      <c r="AA60" s="8" t="s">
        <v>0</v>
      </c>
      <c r="AB60" s="8" t="s">
        <v>35</v>
      </c>
      <c r="AC60" s="8">
        <v>33394</v>
      </c>
      <c r="AD60" s="8">
        <v>637342166</v>
      </c>
      <c r="AE60" s="103" t="s">
        <v>1001</v>
      </c>
      <c r="AF60" s="8"/>
      <c r="AG60" s="8"/>
      <c r="AH60" s="8"/>
      <c r="AI60" s="8"/>
      <c r="AJ60" s="8"/>
      <c r="AK60" s="98"/>
      <c r="AL60" s="11"/>
      <c r="AM60" s="104">
        <v>10</v>
      </c>
    </row>
    <row r="61" spans="1:39" ht="15" customHeight="1" x14ac:dyDescent="0.25">
      <c r="A61" s="85">
        <v>61</v>
      </c>
      <c r="B61" s="93"/>
      <c r="C61" s="11"/>
      <c r="D61" s="8" t="s">
        <v>731</v>
      </c>
      <c r="E61" s="8" t="s">
        <v>684</v>
      </c>
      <c r="F61" s="8" t="s">
        <v>683</v>
      </c>
      <c r="G61" s="8" t="s">
        <v>921</v>
      </c>
      <c r="H61" s="8"/>
      <c r="I61" s="101"/>
      <c r="J61" s="8" t="s">
        <v>684</v>
      </c>
      <c r="K61" s="8" t="s">
        <v>1359</v>
      </c>
      <c r="L61" s="8" t="s">
        <v>1354</v>
      </c>
      <c r="M61" s="8" t="str">
        <f t="shared" si="24"/>
        <v>ZITRON-ASCAZ HOSPITALARIA</v>
      </c>
      <c r="N61" s="8" t="s">
        <v>48</v>
      </c>
      <c r="O61" s="102" t="s">
        <v>600</v>
      </c>
      <c r="P61" s="102" t="s">
        <v>199</v>
      </c>
      <c r="Q61" s="102" t="s">
        <v>340</v>
      </c>
      <c r="R61" s="8" t="s">
        <v>2</v>
      </c>
      <c r="S61" s="8" t="s">
        <v>599</v>
      </c>
      <c r="T61" s="8" t="s">
        <v>772</v>
      </c>
      <c r="U61" s="4">
        <v>23676</v>
      </c>
      <c r="V61" s="10">
        <f t="shared" ca="1" si="25"/>
        <v>54</v>
      </c>
      <c r="W61" s="8"/>
      <c r="X61" s="102"/>
      <c r="Y61" s="8"/>
      <c r="Z61" s="8"/>
      <c r="AA61" s="8"/>
      <c r="AB61" s="8"/>
      <c r="AC61" s="8"/>
      <c r="AD61" s="8">
        <v>649815158</v>
      </c>
      <c r="AE61" s="103" t="s">
        <v>1002</v>
      </c>
      <c r="AF61" s="8"/>
      <c r="AG61" s="8"/>
      <c r="AH61" s="8"/>
      <c r="AI61" s="8"/>
      <c r="AJ61" s="8"/>
      <c r="AK61" s="98"/>
      <c r="AL61" s="11"/>
      <c r="AM61" s="104">
        <v>10</v>
      </c>
    </row>
    <row r="62" spans="1:39" ht="15" customHeight="1" x14ac:dyDescent="0.25">
      <c r="A62" s="85">
        <v>62</v>
      </c>
      <c r="B62" s="93"/>
      <c r="C62" s="11"/>
      <c r="D62" s="8" t="s">
        <v>732</v>
      </c>
      <c r="E62" s="8" t="s">
        <v>684</v>
      </c>
      <c r="F62" s="8" t="s">
        <v>683</v>
      </c>
      <c r="G62" s="8" t="s">
        <v>921</v>
      </c>
      <c r="H62" s="8"/>
      <c r="I62" s="101"/>
      <c r="J62" s="8" t="s">
        <v>684</v>
      </c>
      <c r="K62" s="8" t="s">
        <v>1359</v>
      </c>
      <c r="L62" s="8" t="s">
        <v>1353</v>
      </c>
      <c r="M62" s="8" t="str">
        <f t="shared" si="24"/>
        <v>ZITRON-ASCAZ AMBULATORIA</v>
      </c>
      <c r="N62" s="105" t="s">
        <v>932</v>
      </c>
      <c r="O62" s="102" t="s">
        <v>512</v>
      </c>
      <c r="P62" s="102" t="s">
        <v>199</v>
      </c>
      <c r="Q62" s="102" t="s">
        <v>268</v>
      </c>
      <c r="R62" s="8" t="s">
        <v>2</v>
      </c>
      <c r="S62" s="8" t="s">
        <v>511</v>
      </c>
      <c r="T62" s="8" t="s">
        <v>753</v>
      </c>
      <c r="U62" s="4">
        <v>40123</v>
      </c>
      <c r="V62" s="10">
        <f t="shared" ca="1" si="25"/>
        <v>9</v>
      </c>
      <c r="W62" s="8"/>
      <c r="X62" s="102"/>
      <c r="Y62" s="8"/>
      <c r="Z62" s="8"/>
      <c r="AA62" s="8"/>
      <c r="AB62" s="8"/>
      <c r="AC62" s="8"/>
      <c r="AD62" s="8"/>
      <c r="AE62" s="103"/>
      <c r="AF62" s="8"/>
      <c r="AG62" s="8"/>
      <c r="AH62" s="8"/>
      <c r="AI62" s="8"/>
      <c r="AJ62" s="8"/>
      <c r="AK62" s="98"/>
      <c r="AL62" s="11"/>
      <c r="AM62" s="104">
        <v>10</v>
      </c>
    </row>
    <row r="63" spans="1:39" ht="15" customHeight="1" x14ac:dyDescent="0.25">
      <c r="A63" s="85">
        <v>63</v>
      </c>
      <c r="B63" s="93"/>
      <c r="C63" s="94">
        <v>19</v>
      </c>
      <c r="D63" s="95"/>
      <c r="E63" s="9"/>
      <c r="F63" s="9"/>
      <c r="G63" s="9"/>
      <c r="H63" s="9"/>
      <c r="I63" s="9"/>
      <c r="J63" s="9"/>
      <c r="K63" s="9"/>
      <c r="L63" s="9"/>
      <c r="M63" s="106"/>
      <c r="N63" s="9"/>
      <c r="O63" s="107"/>
      <c r="P63" s="107"/>
      <c r="Q63" s="107"/>
      <c r="R63" s="9"/>
      <c r="S63" s="9"/>
      <c r="T63" s="9"/>
      <c r="U63" s="6"/>
      <c r="V63" s="9"/>
      <c r="W63" s="9"/>
      <c r="X63" s="107"/>
      <c r="Y63" s="9"/>
      <c r="Z63" s="9"/>
      <c r="AA63" s="9"/>
      <c r="AB63" s="9"/>
      <c r="AC63" s="9"/>
      <c r="AD63" s="9"/>
      <c r="AE63" s="108"/>
      <c r="AF63" s="9"/>
      <c r="AG63" s="9"/>
      <c r="AH63" s="9"/>
      <c r="AI63" s="9"/>
      <c r="AJ63" s="9"/>
      <c r="AK63" s="98"/>
      <c r="AL63" s="99">
        <v>30</v>
      </c>
      <c r="AM63" s="99"/>
    </row>
    <row r="64" spans="1:39" ht="15" customHeight="1" x14ac:dyDescent="0.25">
      <c r="A64" s="85">
        <v>64</v>
      </c>
      <c r="B64" s="93"/>
      <c r="C64" s="11"/>
      <c r="D64" s="8" t="s">
        <v>733</v>
      </c>
      <c r="E64" s="8" t="s">
        <v>684</v>
      </c>
      <c r="F64" s="8" t="s">
        <v>683</v>
      </c>
      <c r="G64" s="8" t="s">
        <v>921</v>
      </c>
      <c r="H64" s="8"/>
      <c r="I64" s="174"/>
      <c r="J64" s="8" t="s">
        <v>684</v>
      </c>
      <c r="K64" s="8" t="s">
        <v>1359</v>
      </c>
      <c r="L64" s="8" t="s">
        <v>1354</v>
      </c>
      <c r="M64" s="8" t="str">
        <f>CONCATENATE(K64," ",L64)</f>
        <v>ZITRON-ASCAZ HOSPITALARIA</v>
      </c>
      <c r="N64" s="8" t="s">
        <v>176</v>
      </c>
      <c r="O64" s="102" t="s">
        <v>232</v>
      </c>
      <c r="P64" s="102" t="s">
        <v>1269</v>
      </c>
      <c r="Q64" s="102" t="s">
        <v>539</v>
      </c>
      <c r="R64" s="8" t="s">
        <v>2</v>
      </c>
      <c r="S64" s="8" t="s">
        <v>597</v>
      </c>
      <c r="T64" s="8" t="s">
        <v>772</v>
      </c>
      <c r="U64" s="4">
        <v>29602</v>
      </c>
      <c r="V64" s="10">
        <f ca="1">YEAR($V$1)-YEAR(U64)</f>
        <v>37</v>
      </c>
      <c r="W64" s="8" t="s">
        <v>1</v>
      </c>
      <c r="X64" s="102" t="s">
        <v>1003</v>
      </c>
      <c r="Y64" s="8">
        <v>1271</v>
      </c>
      <c r="Z64" s="8" t="s">
        <v>596</v>
      </c>
      <c r="AA64" s="8" t="s">
        <v>0</v>
      </c>
      <c r="AB64" s="8" t="s">
        <v>35</v>
      </c>
      <c r="AC64" s="8">
        <v>33209</v>
      </c>
      <c r="AD64" s="8">
        <v>664513605</v>
      </c>
      <c r="AE64" s="103" t="s">
        <v>1004</v>
      </c>
      <c r="AF64" s="8"/>
      <c r="AG64" s="8"/>
      <c r="AH64" s="8"/>
      <c r="AI64" s="8"/>
      <c r="AJ64" s="8"/>
      <c r="AK64" s="98"/>
      <c r="AL64" s="11"/>
      <c r="AM64" s="104">
        <v>10</v>
      </c>
    </row>
    <row r="65" spans="1:39" ht="15" customHeight="1" x14ac:dyDescent="0.25">
      <c r="A65" s="85">
        <v>65</v>
      </c>
      <c r="B65" s="93"/>
      <c r="C65" s="94">
        <v>20</v>
      </c>
      <c r="D65" s="95"/>
      <c r="E65" s="9"/>
      <c r="F65" s="9"/>
      <c r="G65" s="9"/>
      <c r="H65" s="9"/>
      <c r="I65" s="9"/>
      <c r="J65" s="9"/>
      <c r="K65" s="9"/>
      <c r="L65" s="9"/>
      <c r="M65" s="106"/>
      <c r="N65" s="9"/>
      <c r="O65" s="107"/>
      <c r="P65" s="107"/>
      <c r="Q65" s="107"/>
      <c r="R65" s="9"/>
      <c r="S65" s="9"/>
      <c r="T65" s="9"/>
      <c r="U65" s="6"/>
      <c r="V65" s="9"/>
      <c r="W65" s="9"/>
      <c r="X65" s="107"/>
      <c r="Y65" s="9"/>
      <c r="Z65" s="9"/>
      <c r="AA65" s="9"/>
      <c r="AB65" s="9"/>
      <c r="AC65" s="9"/>
      <c r="AD65" s="9"/>
      <c r="AE65" s="108"/>
      <c r="AF65" s="9"/>
      <c r="AG65" s="9"/>
      <c r="AH65" s="9"/>
      <c r="AI65" s="9"/>
      <c r="AJ65" s="9"/>
      <c r="AK65" s="98"/>
      <c r="AL65" s="99">
        <v>0</v>
      </c>
      <c r="AM65" s="99"/>
    </row>
    <row r="66" spans="1:39" ht="15" customHeight="1" x14ac:dyDescent="0.25">
      <c r="A66" s="85">
        <v>66</v>
      </c>
      <c r="B66" s="93"/>
      <c r="C66" s="11"/>
      <c r="D66" s="8" t="s">
        <v>734</v>
      </c>
      <c r="E66" s="8" t="s">
        <v>684</v>
      </c>
      <c r="F66" s="8" t="s">
        <v>683</v>
      </c>
      <c r="G66" s="8" t="s">
        <v>920</v>
      </c>
      <c r="H66" s="8"/>
      <c r="I66" s="101"/>
      <c r="J66" s="8" t="s">
        <v>684</v>
      </c>
      <c r="K66" s="8" t="s">
        <v>1359</v>
      </c>
      <c r="L66" s="8" t="s">
        <v>1354</v>
      </c>
      <c r="M66" s="8" t="str">
        <f t="shared" ref="M66:M67" si="26">CONCATENATE(K66," ",L66)</f>
        <v>ZITRON-ASCAZ HOSPITALARIA</v>
      </c>
      <c r="N66" s="8" t="s">
        <v>176</v>
      </c>
      <c r="O66" s="102" t="s">
        <v>1005</v>
      </c>
      <c r="P66" s="102" t="s">
        <v>10</v>
      </c>
      <c r="Q66" s="102" t="s">
        <v>73</v>
      </c>
      <c r="R66" s="8" t="s">
        <v>2</v>
      </c>
      <c r="S66" s="8" t="s">
        <v>1006</v>
      </c>
      <c r="T66" s="8" t="s">
        <v>772</v>
      </c>
      <c r="U66" s="4">
        <v>27540</v>
      </c>
      <c r="V66" s="10">
        <f t="shared" ref="V66:V67" ca="1" si="27">YEAR($V$1)-YEAR(U66)</f>
        <v>43</v>
      </c>
      <c r="W66" s="8" t="s">
        <v>1</v>
      </c>
      <c r="X66" s="102" t="s">
        <v>1007</v>
      </c>
      <c r="Y66" s="8" t="s">
        <v>594</v>
      </c>
      <c r="Z66" s="8" t="s">
        <v>593</v>
      </c>
      <c r="AA66" s="8" t="s">
        <v>0</v>
      </c>
      <c r="AB66" s="8" t="s">
        <v>35</v>
      </c>
      <c r="AC66" s="8">
        <v>33207</v>
      </c>
      <c r="AD66" s="8">
        <v>659827836</v>
      </c>
      <c r="AE66" s="103" t="s">
        <v>1273</v>
      </c>
      <c r="AF66" s="8"/>
      <c r="AG66" s="8"/>
      <c r="AH66" s="8"/>
      <c r="AI66" s="8"/>
      <c r="AJ66" s="8"/>
      <c r="AK66" s="98"/>
      <c r="AL66" s="11"/>
      <c r="AM66" s="104">
        <v>10</v>
      </c>
    </row>
    <row r="67" spans="1:39" ht="15" customHeight="1" x14ac:dyDescent="0.25">
      <c r="A67" s="85">
        <v>67</v>
      </c>
      <c r="B67" s="93"/>
      <c r="C67" s="11"/>
      <c r="D67" s="8" t="s">
        <v>735</v>
      </c>
      <c r="E67" s="8" t="s">
        <v>684</v>
      </c>
      <c r="F67" s="8" t="s">
        <v>683</v>
      </c>
      <c r="G67" s="8" t="s">
        <v>920</v>
      </c>
      <c r="H67" s="8"/>
      <c r="I67" s="101"/>
      <c r="J67" s="8" t="s">
        <v>684</v>
      </c>
      <c r="K67" s="8" t="s">
        <v>1359</v>
      </c>
      <c r="L67" s="8" t="s">
        <v>1354</v>
      </c>
      <c r="M67" s="8" t="str">
        <f t="shared" si="26"/>
        <v>ZITRON-ASCAZ HOSPITALARIA</v>
      </c>
      <c r="N67" s="8" t="s">
        <v>48</v>
      </c>
      <c r="O67" s="102" t="s">
        <v>1008</v>
      </c>
      <c r="P67" s="102" t="s">
        <v>1009</v>
      </c>
      <c r="Q67" s="102" t="s">
        <v>24</v>
      </c>
      <c r="R67" s="8" t="s">
        <v>2</v>
      </c>
      <c r="S67" s="8" t="s">
        <v>1010</v>
      </c>
      <c r="T67" s="8" t="s">
        <v>753</v>
      </c>
      <c r="U67" s="4">
        <v>28821</v>
      </c>
      <c r="V67" s="10">
        <f t="shared" ca="1" si="27"/>
        <v>40</v>
      </c>
      <c r="W67" s="8"/>
      <c r="X67" s="102"/>
      <c r="Y67" s="8"/>
      <c r="Z67" s="8"/>
      <c r="AA67" s="8"/>
      <c r="AB67" s="8"/>
      <c r="AC67" s="8"/>
      <c r="AD67" s="8"/>
      <c r="AE67" s="103"/>
      <c r="AF67" s="8"/>
      <c r="AG67" s="8"/>
      <c r="AH67" s="8"/>
      <c r="AI67" s="8"/>
      <c r="AJ67" s="8"/>
      <c r="AK67" s="98"/>
      <c r="AL67" s="11"/>
      <c r="AM67" s="104">
        <v>10</v>
      </c>
    </row>
    <row r="68" spans="1:39" ht="15" customHeight="1" x14ac:dyDescent="0.25">
      <c r="A68" s="85">
        <v>68</v>
      </c>
      <c r="B68" s="93"/>
      <c r="C68" s="94">
        <v>21</v>
      </c>
      <c r="D68" s="95"/>
      <c r="E68" s="9"/>
      <c r="F68" s="9"/>
      <c r="G68" s="9"/>
      <c r="H68" s="9"/>
      <c r="I68" s="9"/>
      <c r="J68" s="9"/>
      <c r="K68" s="9"/>
      <c r="L68" s="9"/>
      <c r="M68" s="106"/>
      <c r="N68" s="9"/>
      <c r="O68" s="107"/>
      <c r="P68" s="107"/>
      <c r="Q68" s="107"/>
      <c r="R68" s="9"/>
      <c r="S68" s="9"/>
      <c r="T68" s="9"/>
      <c r="U68" s="6"/>
      <c r="V68" s="9"/>
      <c r="W68" s="9"/>
      <c r="X68" s="107"/>
      <c r="Y68" s="9"/>
      <c r="Z68" s="9"/>
      <c r="AA68" s="9"/>
      <c r="AB68" s="9"/>
      <c r="AC68" s="9"/>
      <c r="AD68" s="9"/>
      <c r="AE68" s="108"/>
      <c r="AF68" s="9"/>
      <c r="AG68" s="9"/>
      <c r="AH68" s="9"/>
      <c r="AI68" s="9"/>
      <c r="AJ68" s="9"/>
      <c r="AK68" s="98"/>
      <c r="AL68" s="99">
        <v>0</v>
      </c>
      <c r="AM68" s="99"/>
    </row>
    <row r="69" spans="1:39" ht="15" customHeight="1" x14ac:dyDescent="0.25">
      <c r="A69" s="85">
        <v>69</v>
      </c>
      <c r="B69" s="93"/>
      <c r="C69" s="11"/>
      <c r="D69" s="8" t="s">
        <v>736</v>
      </c>
      <c r="E69" s="8" t="s">
        <v>684</v>
      </c>
      <c r="F69" s="8" t="s">
        <v>683</v>
      </c>
      <c r="G69" s="8" t="s">
        <v>920</v>
      </c>
      <c r="H69" s="8"/>
      <c r="I69" s="174"/>
      <c r="J69" s="8" t="s">
        <v>684</v>
      </c>
      <c r="K69" s="8" t="s">
        <v>1359</v>
      </c>
      <c r="L69" s="8" t="s">
        <v>1354</v>
      </c>
      <c r="M69" s="8" t="str">
        <f t="shared" ref="M69:M70" si="28">CONCATENATE(K69," ",L69)</f>
        <v>ZITRON-ASCAZ HOSPITALARIA</v>
      </c>
      <c r="N69" s="8" t="s">
        <v>176</v>
      </c>
      <c r="O69" s="102" t="s">
        <v>591</v>
      </c>
      <c r="P69" s="102" t="s">
        <v>97</v>
      </c>
      <c r="Q69" s="102" t="s">
        <v>590</v>
      </c>
      <c r="R69" s="8" t="s">
        <v>2</v>
      </c>
      <c r="S69" s="8" t="s">
        <v>589</v>
      </c>
      <c r="T69" s="8" t="s">
        <v>772</v>
      </c>
      <c r="U69" s="4">
        <v>20478</v>
      </c>
      <c r="V69" s="10">
        <f t="shared" ref="V69:V70" ca="1" si="29">YEAR($V$1)-YEAR(U69)</f>
        <v>62</v>
      </c>
      <c r="W69" s="8" t="s">
        <v>1</v>
      </c>
      <c r="X69" s="102" t="s">
        <v>94</v>
      </c>
      <c r="Y69" s="8">
        <v>17</v>
      </c>
      <c r="Z69" s="8" t="s">
        <v>93</v>
      </c>
      <c r="AA69" s="8" t="s">
        <v>0</v>
      </c>
      <c r="AB69" s="8" t="s">
        <v>35</v>
      </c>
      <c r="AC69" s="8">
        <v>33204</v>
      </c>
      <c r="AD69" s="8">
        <v>985364576</v>
      </c>
      <c r="AE69" s="103" t="s">
        <v>1011</v>
      </c>
      <c r="AF69" s="8"/>
      <c r="AG69" s="8"/>
      <c r="AH69" s="8"/>
      <c r="AI69" s="8"/>
      <c r="AJ69" s="8"/>
      <c r="AK69" s="98"/>
      <c r="AL69" s="11"/>
      <c r="AM69" s="104">
        <v>10</v>
      </c>
    </row>
    <row r="70" spans="1:39" ht="15" customHeight="1" x14ac:dyDescent="0.25">
      <c r="A70" s="85">
        <v>70</v>
      </c>
      <c r="B70" s="93"/>
      <c r="C70" s="11"/>
      <c r="D70" s="8" t="s">
        <v>737</v>
      </c>
      <c r="E70" s="8" t="s">
        <v>684</v>
      </c>
      <c r="F70" s="8" t="s">
        <v>683</v>
      </c>
      <c r="G70" s="8" t="s">
        <v>920</v>
      </c>
      <c r="H70" s="8"/>
      <c r="I70" s="174"/>
      <c r="J70" s="8" t="s">
        <v>684</v>
      </c>
      <c r="K70" s="8" t="s">
        <v>1359</v>
      </c>
      <c r="L70" s="8" t="s">
        <v>1354</v>
      </c>
      <c r="M70" s="8" t="str">
        <f t="shared" si="28"/>
        <v>ZITRON-ASCAZ HOSPITALARIA</v>
      </c>
      <c r="N70" s="8" t="s">
        <v>48</v>
      </c>
      <c r="O70" s="102" t="s">
        <v>1256</v>
      </c>
      <c r="P70" s="102" t="s">
        <v>96</v>
      </c>
      <c r="Q70" s="102" t="s">
        <v>588</v>
      </c>
      <c r="R70" s="8" t="s">
        <v>2</v>
      </c>
      <c r="S70" s="8" t="s">
        <v>587</v>
      </c>
      <c r="T70" s="8" t="s">
        <v>753</v>
      </c>
      <c r="U70" s="4">
        <v>20758</v>
      </c>
      <c r="V70" s="10">
        <f t="shared" ca="1" si="29"/>
        <v>62</v>
      </c>
      <c r="W70" s="8"/>
      <c r="X70" s="102"/>
      <c r="Y70" s="8"/>
      <c r="Z70" s="8"/>
      <c r="AA70" s="8"/>
      <c r="AB70" s="8"/>
      <c r="AC70" s="8"/>
      <c r="AD70" s="8"/>
      <c r="AE70" s="103"/>
      <c r="AF70" s="8"/>
      <c r="AG70" s="8"/>
      <c r="AH70" s="8"/>
      <c r="AI70" s="8"/>
      <c r="AJ70" s="8"/>
      <c r="AK70" s="98"/>
      <c r="AL70" s="11"/>
      <c r="AM70" s="104">
        <v>10</v>
      </c>
    </row>
    <row r="71" spans="1:39" ht="15" customHeight="1" x14ac:dyDescent="0.25">
      <c r="A71" s="85">
        <v>71</v>
      </c>
      <c r="B71" s="93"/>
      <c r="C71" s="94">
        <v>22</v>
      </c>
      <c r="D71" s="95"/>
      <c r="E71" s="9"/>
      <c r="F71" s="9"/>
      <c r="G71" s="9"/>
      <c r="H71" s="9"/>
      <c r="I71" s="9"/>
      <c r="J71" s="9"/>
      <c r="K71" s="9"/>
      <c r="L71" s="9"/>
      <c r="M71" s="106"/>
      <c r="N71" s="9"/>
      <c r="O71" s="107"/>
      <c r="P71" s="107"/>
      <c r="Q71" s="107"/>
      <c r="R71" s="9"/>
      <c r="S71" s="9"/>
      <c r="T71" s="9"/>
      <c r="U71" s="6"/>
      <c r="V71" s="9"/>
      <c r="W71" s="9"/>
      <c r="X71" s="107"/>
      <c r="Y71" s="9"/>
      <c r="Z71" s="9"/>
      <c r="AA71" s="9"/>
      <c r="AB71" s="9"/>
      <c r="AC71" s="9"/>
      <c r="AD71" s="9"/>
      <c r="AE71" s="108"/>
      <c r="AF71" s="9"/>
      <c r="AG71" s="9"/>
      <c r="AH71" s="9"/>
      <c r="AI71" s="9"/>
      <c r="AJ71" s="9"/>
      <c r="AK71" s="98"/>
      <c r="AL71" s="99">
        <v>0</v>
      </c>
      <c r="AM71" s="99"/>
    </row>
    <row r="72" spans="1:39" ht="15" customHeight="1" x14ac:dyDescent="0.25">
      <c r="A72" s="85">
        <v>72</v>
      </c>
      <c r="B72" s="93"/>
      <c r="C72" s="11"/>
      <c r="D72" s="8" t="s">
        <v>738</v>
      </c>
      <c r="E72" s="8" t="s">
        <v>684</v>
      </c>
      <c r="F72" s="8" t="s">
        <v>683</v>
      </c>
      <c r="G72" s="8" t="s">
        <v>920</v>
      </c>
      <c r="H72" s="8"/>
      <c r="I72" s="174"/>
      <c r="J72" s="8" t="s">
        <v>684</v>
      </c>
      <c r="K72" s="8" t="s">
        <v>1359</v>
      </c>
      <c r="L72" s="8" t="s">
        <v>1354</v>
      </c>
      <c r="M72" s="8" t="str">
        <f>CONCATENATE(K72," ",L72)</f>
        <v>ZITRON-ASCAZ HOSPITALARIA</v>
      </c>
      <c r="N72" s="8" t="s">
        <v>176</v>
      </c>
      <c r="O72" s="102" t="s">
        <v>586</v>
      </c>
      <c r="P72" s="102" t="s">
        <v>97</v>
      </c>
      <c r="Q72" s="102" t="s">
        <v>96</v>
      </c>
      <c r="R72" s="8" t="s">
        <v>2</v>
      </c>
      <c r="S72" s="8" t="s">
        <v>585</v>
      </c>
      <c r="T72" s="8" t="s">
        <v>772</v>
      </c>
      <c r="U72" s="4">
        <v>33043</v>
      </c>
      <c r="V72" s="10">
        <f ca="1">YEAR($V$1)-YEAR(U72)</f>
        <v>28</v>
      </c>
      <c r="W72" s="8" t="s">
        <v>1</v>
      </c>
      <c r="X72" s="102" t="s">
        <v>94</v>
      </c>
      <c r="Y72" s="8">
        <v>17</v>
      </c>
      <c r="Z72" s="8" t="s">
        <v>93</v>
      </c>
      <c r="AA72" s="8" t="s">
        <v>0</v>
      </c>
      <c r="AB72" s="8" t="s">
        <v>35</v>
      </c>
      <c r="AC72" s="8">
        <v>33204</v>
      </c>
      <c r="AD72" s="8">
        <v>677131164</v>
      </c>
      <c r="AE72" s="103" t="s">
        <v>1012</v>
      </c>
      <c r="AF72" s="8"/>
      <c r="AG72" s="8"/>
      <c r="AH72" s="8"/>
      <c r="AI72" s="8"/>
      <c r="AJ72" s="8"/>
      <c r="AK72" s="98"/>
      <c r="AL72" s="11"/>
      <c r="AM72" s="104">
        <v>10</v>
      </c>
    </row>
    <row r="73" spans="1:39" ht="15" customHeight="1" x14ac:dyDescent="0.25">
      <c r="A73" s="85">
        <v>73</v>
      </c>
      <c r="B73" s="93"/>
      <c r="C73" s="94">
        <v>23</v>
      </c>
      <c r="D73" s="95"/>
      <c r="E73" s="9"/>
      <c r="F73" s="9"/>
      <c r="G73" s="9"/>
      <c r="H73" s="9"/>
      <c r="I73" s="9"/>
      <c r="J73" s="9"/>
      <c r="K73" s="9"/>
      <c r="L73" s="9"/>
      <c r="M73" s="106"/>
      <c r="N73" s="9"/>
      <c r="O73" s="107"/>
      <c r="P73" s="107"/>
      <c r="Q73" s="107"/>
      <c r="R73" s="9"/>
      <c r="S73" s="9"/>
      <c r="T73" s="9"/>
      <c r="U73" s="6"/>
      <c r="V73" s="9"/>
      <c r="W73" s="9"/>
      <c r="X73" s="107"/>
      <c r="Y73" s="9"/>
      <c r="Z73" s="9"/>
      <c r="AA73" s="9"/>
      <c r="AB73" s="9"/>
      <c r="AC73" s="9"/>
      <c r="AD73" s="9"/>
      <c r="AE73" s="108"/>
      <c r="AF73" s="9"/>
      <c r="AG73" s="9"/>
      <c r="AH73" s="9"/>
      <c r="AI73" s="9"/>
      <c r="AJ73" s="9"/>
      <c r="AK73" s="98"/>
      <c r="AL73" s="99">
        <v>30</v>
      </c>
      <c r="AM73" s="99"/>
    </row>
    <row r="74" spans="1:39" ht="15" customHeight="1" x14ac:dyDescent="0.25">
      <c r="A74" s="85">
        <v>74</v>
      </c>
      <c r="B74" s="93"/>
      <c r="C74" s="11"/>
      <c r="D74" s="8" t="s">
        <v>740</v>
      </c>
      <c r="E74" s="8" t="s">
        <v>684</v>
      </c>
      <c r="F74" s="8" t="s">
        <v>683</v>
      </c>
      <c r="G74" s="8" t="s">
        <v>921</v>
      </c>
      <c r="H74" s="8"/>
      <c r="I74" s="175"/>
      <c r="J74" s="8" t="s">
        <v>684</v>
      </c>
      <c r="K74" s="8" t="s">
        <v>1359</v>
      </c>
      <c r="L74" s="8" t="s">
        <v>1354</v>
      </c>
      <c r="M74" s="8" t="str">
        <f>CONCATENATE(K74," ",L74)</f>
        <v>ZITRON-ASCAZ HOSPITALARIA</v>
      </c>
      <c r="N74" s="8" t="s">
        <v>176</v>
      </c>
      <c r="O74" s="102" t="s">
        <v>1013</v>
      </c>
      <c r="P74" s="102" t="s">
        <v>1014</v>
      </c>
      <c r="Q74" s="102" t="s">
        <v>1015</v>
      </c>
      <c r="R74" s="8" t="s">
        <v>2</v>
      </c>
      <c r="S74" s="8" t="s">
        <v>584</v>
      </c>
      <c r="T74" s="8" t="s">
        <v>753</v>
      </c>
      <c r="U74" s="4">
        <v>23516</v>
      </c>
      <c r="V74" s="10">
        <f ca="1">YEAR($V$1)-YEAR(U74)</f>
        <v>54</v>
      </c>
      <c r="W74" s="8" t="s">
        <v>1</v>
      </c>
      <c r="X74" s="102" t="s">
        <v>485</v>
      </c>
      <c r="Y74" s="8">
        <v>188</v>
      </c>
      <c r="Z74" s="8" t="s">
        <v>583</v>
      </c>
      <c r="AA74" s="8" t="s">
        <v>0</v>
      </c>
      <c r="AB74" s="8" t="s">
        <v>35</v>
      </c>
      <c r="AC74" s="8">
        <v>33203</v>
      </c>
      <c r="AD74" s="8">
        <v>629416487</v>
      </c>
      <c r="AE74" s="103" t="s">
        <v>1016</v>
      </c>
      <c r="AF74" s="8"/>
      <c r="AG74" s="8"/>
      <c r="AH74" s="8"/>
      <c r="AI74" s="8"/>
      <c r="AJ74" s="8"/>
      <c r="AK74" s="98"/>
      <c r="AL74" s="11"/>
      <c r="AM74" s="104">
        <v>10</v>
      </c>
    </row>
    <row r="75" spans="1:39" ht="15" customHeight="1" x14ac:dyDescent="0.25">
      <c r="A75" s="85">
        <v>75</v>
      </c>
      <c r="B75" s="93"/>
      <c r="C75" s="94">
        <v>24</v>
      </c>
      <c r="D75" s="95"/>
      <c r="E75" s="9"/>
      <c r="F75" s="9"/>
      <c r="G75" s="9"/>
      <c r="H75" s="9"/>
      <c r="I75" s="9"/>
      <c r="J75" s="9"/>
      <c r="K75" s="9"/>
      <c r="L75" s="9"/>
      <c r="M75" s="106"/>
      <c r="N75" s="9"/>
      <c r="O75" s="107"/>
      <c r="P75" s="107"/>
      <c r="Q75" s="107"/>
      <c r="R75" s="9"/>
      <c r="S75" s="9"/>
      <c r="T75" s="9"/>
      <c r="U75" s="6"/>
      <c r="V75" s="9"/>
      <c r="W75" s="9"/>
      <c r="X75" s="107"/>
      <c r="Y75" s="9"/>
      <c r="Z75" s="9"/>
      <c r="AA75" s="9"/>
      <c r="AB75" s="9"/>
      <c r="AC75" s="9"/>
      <c r="AD75" s="9"/>
      <c r="AE75" s="108"/>
      <c r="AF75" s="9"/>
      <c r="AG75" s="9"/>
      <c r="AH75" s="9"/>
      <c r="AI75" s="9"/>
      <c r="AJ75" s="9"/>
      <c r="AK75" s="98"/>
      <c r="AL75" s="99">
        <v>30</v>
      </c>
      <c r="AM75" s="99"/>
    </row>
    <row r="76" spans="1:39" ht="15" customHeight="1" x14ac:dyDescent="0.25">
      <c r="A76" s="85">
        <v>76</v>
      </c>
      <c r="B76" s="93"/>
      <c r="C76" s="11"/>
      <c r="D76" s="8" t="s">
        <v>741</v>
      </c>
      <c r="E76" s="8" t="s">
        <v>684</v>
      </c>
      <c r="F76" s="8" t="s">
        <v>683</v>
      </c>
      <c r="G76" s="8" t="s">
        <v>921</v>
      </c>
      <c r="H76" s="8"/>
      <c r="I76" s="101"/>
      <c r="J76" s="8" t="s">
        <v>684</v>
      </c>
      <c r="K76" s="8" t="s">
        <v>1359</v>
      </c>
      <c r="L76" s="8" t="s">
        <v>1354</v>
      </c>
      <c r="M76" s="8" t="str">
        <f>CONCATENATE(K76," ",L76)</f>
        <v>ZITRON-ASCAZ HOSPITALARIA</v>
      </c>
      <c r="N76" s="8" t="s">
        <v>3</v>
      </c>
      <c r="O76" s="102" t="s">
        <v>1017</v>
      </c>
      <c r="P76" s="102" t="s">
        <v>1018</v>
      </c>
      <c r="Q76" s="102"/>
      <c r="R76" s="8" t="s">
        <v>526</v>
      </c>
      <c r="S76" s="8" t="s">
        <v>582</v>
      </c>
      <c r="T76" s="8" t="s">
        <v>772</v>
      </c>
      <c r="U76" s="4">
        <v>31652</v>
      </c>
      <c r="V76" s="10">
        <f ca="1">YEAR($V$1)-YEAR(U76)</f>
        <v>32</v>
      </c>
      <c r="W76" s="8" t="s">
        <v>1</v>
      </c>
      <c r="X76" s="102" t="s">
        <v>1019</v>
      </c>
      <c r="Y76" s="8">
        <v>17</v>
      </c>
      <c r="Z76" s="8" t="s">
        <v>28</v>
      </c>
      <c r="AA76" s="8" t="s">
        <v>0</v>
      </c>
      <c r="AB76" s="8" t="s">
        <v>35</v>
      </c>
      <c r="AC76" s="8">
        <v>33202</v>
      </c>
      <c r="AD76" s="8">
        <v>686560846</v>
      </c>
      <c r="AE76" s="103" t="s">
        <v>1020</v>
      </c>
      <c r="AF76" s="8"/>
      <c r="AG76" s="8"/>
      <c r="AH76" s="8"/>
      <c r="AI76" s="8"/>
      <c r="AJ76" s="8"/>
      <c r="AK76" s="98"/>
      <c r="AL76" s="11"/>
      <c r="AM76" s="104">
        <v>10</v>
      </c>
    </row>
    <row r="77" spans="1:39" ht="15" customHeight="1" x14ac:dyDescent="0.25">
      <c r="A77" s="85">
        <v>77</v>
      </c>
      <c r="B77" s="93"/>
      <c r="C77" s="94">
        <v>25</v>
      </c>
      <c r="D77" s="95"/>
      <c r="E77" s="9"/>
      <c r="F77" s="9"/>
      <c r="G77" s="9"/>
      <c r="H77" s="9"/>
      <c r="I77" s="9"/>
      <c r="J77" s="9"/>
      <c r="K77" s="9"/>
      <c r="L77" s="9"/>
      <c r="M77" s="106"/>
      <c r="N77" s="9"/>
      <c r="O77" s="107"/>
      <c r="P77" s="107"/>
      <c r="Q77" s="107"/>
      <c r="R77" s="9"/>
      <c r="S77" s="9"/>
      <c r="T77" s="9"/>
      <c r="U77" s="6"/>
      <c r="V77" s="9"/>
      <c r="W77" s="9"/>
      <c r="X77" s="107"/>
      <c r="Y77" s="9"/>
      <c r="Z77" s="9"/>
      <c r="AA77" s="9"/>
      <c r="AB77" s="9"/>
      <c r="AC77" s="9"/>
      <c r="AD77" s="9"/>
      <c r="AE77" s="108"/>
      <c r="AF77" s="9"/>
      <c r="AG77" s="9"/>
      <c r="AH77" s="9"/>
      <c r="AI77" s="9"/>
      <c r="AJ77" s="9"/>
      <c r="AK77" s="98"/>
      <c r="AL77" s="99">
        <v>30</v>
      </c>
      <c r="AM77" s="99"/>
    </row>
    <row r="78" spans="1:39" ht="15" customHeight="1" x14ac:dyDescent="0.25">
      <c r="A78" s="85">
        <v>78</v>
      </c>
      <c r="B78" s="93"/>
      <c r="C78" s="11"/>
      <c r="D78" s="8" t="s">
        <v>742</v>
      </c>
      <c r="E78" s="8" t="s">
        <v>684</v>
      </c>
      <c r="F78" s="8" t="s">
        <v>683</v>
      </c>
      <c r="G78" s="8" t="s">
        <v>921</v>
      </c>
      <c r="H78" s="8"/>
      <c r="I78" s="174"/>
      <c r="J78" s="8" t="s">
        <v>684</v>
      </c>
      <c r="K78" s="8" t="s">
        <v>1359</v>
      </c>
      <c r="L78" s="8" t="s">
        <v>1354</v>
      </c>
      <c r="M78" s="8" t="str">
        <f t="shared" ref="M78:M80" si="30">CONCATENATE(K78," ",L78)</f>
        <v>ZITRON-ASCAZ HOSPITALARIA</v>
      </c>
      <c r="N78" s="8" t="s">
        <v>3</v>
      </c>
      <c r="O78" s="102" t="s">
        <v>1021</v>
      </c>
      <c r="P78" s="102" t="s">
        <v>462</v>
      </c>
      <c r="Q78" s="102" t="s">
        <v>1022</v>
      </c>
      <c r="R78" s="8" t="s">
        <v>2</v>
      </c>
      <c r="S78" s="8" t="s">
        <v>267</v>
      </c>
      <c r="T78" s="8" t="s">
        <v>772</v>
      </c>
      <c r="U78" s="4">
        <v>32014</v>
      </c>
      <c r="V78" s="10">
        <f t="shared" ref="V78:V80" ca="1" si="31">YEAR($V$1)-YEAR(U78)</f>
        <v>31</v>
      </c>
      <c r="W78" s="8" t="s">
        <v>1</v>
      </c>
      <c r="X78" s="102" t="s">
        <v>1023</v>
      </c>
      <c r="Y78" s="8">
        <v>4</v>
      </c>
      <c r="Z78" s="8"/>
      <c r="AA78" s="8" t="s">
        <v>0</v>
      </c>
      <c r="AB78" s="8" t="s">
        <v>255</v>
      </c>
      <c r="AC78" s="8">
        <v>33316</v>
      </c>
      <c r="AD78" s="8">
        <v>680791548</v>
      </c>
      <c r="AE78" s="103" t="s">
        <v>1024</v>
      </c>
      <c r="AF78" s="8"/>
      <c r="AG78" s="8"/>
      <c r="AH78" s="8"/>
      <c r="AI78" s="8"/>
      <c r="AJ78" s="8"/>
      <c r="AK78" s="98"/>
      <c r="AL78" s="11"/>
      <c r="AM78" s="104">
        <v>10</v>
      </c>
    </row>
    <row r="79" spans="1:39" ht="15" customHeight="1" x14ac:dyDescent="0.25">
      <c r="A79" s="85">
        <v>79</v>
      </c>
      <c r="B79" s="93"/>
      <c r="C79" s="11"/>
      <c r="D79" s="8" t="s">
        <v>844</v>
      </c>
      <c r="E79" s="8" t="s">
        <v>839</v>
      </c>
      <c r="F79" s="8" t="s">
        <v>683</v>
      </c>
      <c r="G79" s="8" t="s">
        <v>921</v>
      </c>
      <c r="H79" s="8"/>
      <c r="I79" s="174"/>
      <c r="J79" s="8" t="s">
        <v>684</v>
      </c>
      <c r="K79" s="8" t="s">
        <v>1352</v>
      </c>
      <c r="L79" s="8" t="s">
        <v>1354</v>
      </c>
      <c r="M79" s="8" t="str">
        <f t="shared" si="30"/>
        <v>ASCAZ HOSPITALARIA</v>
      </c>
      <c r="N79" s="105" t="s">
        <v>933</v>
      </c>
      <c r="O79" s="102" t="s">
        <v>1247</v>
      </c>
      <c r="P79" s="102" t="s">
        <v>1022</v>
      </c>
      <c r="Q79" s="102" t="s">
        <v>1025</v>
      </c>
      <c r="R79" s="8" t="s">
        <v>2</v>
      </c>
      <c r="S79" s="8" t="s">
        <v>266</v>
      </c>
      <c r="T79" s="8" t="s">
        <v>753</v>
      </c>
      <c r="U79" s="4">
        <v>23701</v>
      </c>
      <c r="V79" s="10">
        <f t="shared" ca="1" si="31"/>
        <v>54</v>
      </c>
      <c r="W79" s="8"/>
      <c r="X79" s="102"/>
      <c r="Y79" s="8"/>
      <c r="Z79" s="8"/>
      <c r="AA79" s="8"/>
      <c r="AB79" s="8"/>
      <c r="AC79" s="8"/>
      <c r="AD79" s="8">
        <v>650837197</v>
      </c>
      <c r="AE79" s="103" t="s">
        <v>1026</v>
      </c>
      <c r="AF79" s="8"/>
      <c r="AG79" s="8"/>
      <c r="AH79" s="8"/>
      <c r="AI79" s="8"/>
      <c r="AJ79" s="8"/>
      <c r="AK79" s="98"/>
      <c r="AL79" s="11"/>
      <c r="AM79" s="104">
        <v>10</v>
      </c>
    </row>
    <row r="80" spans="1:39" ht="15" customHeight="1" x14ac:dyDescent="0.25">
      <c r="A80" s="85">
        <v>80</v>
      </c>
      <c r="B80" s="93"/>
      <c r="C80" s="11"/>
      <c r="D80" s="8" t="s">
        <v>845</v>
      </c>
      <c r="E80" s="8" t="s">
        <v>839</v>
      </c>
      <c r="F80" s="8" t="s">
        <v>683</v>
      </c>
      <c r="G80" s="8" t="s">
        <v>921</v>
      </c>
      <c r="H80" s="8"/>
      <c r="I80" s="174"/>
      <c r="J80" s="8" t="s">
        <v>684</v>
      </c>
      <c r="K80" s="8" t="s">
        <v>1352</v>
      </c>
      <c r="L80" s="8" t="s">
        <v>1354</v>
      </c>
      <c r="M80" s="8" t="str">
        <f t="shared" si="30"/>
        <v>ASCAZ HOSPITALARIA</v>
      </c>
      <c r="N80" s="105" t="s">
        <v>933</v>
      </c>
      <c r="O80" s="102" t="s">
        <v>1253</v>
      </c>
      <c r="P80" s="102" t="s">
        <v>1022</v>
      </c>
      <c r="Q80" s="102" t="s">
        <v>1025</v>
      </c>
      <c r="R80" s="8" t="s">
        <v>2</v>
      </c>
      <c r="S80" s="8" t="s">
        <v>264</v>
      </c>
      <c r="T80" s="8" t="s">
        <v>753</v>
      </c>
      <c r="U80" s="4">
        <v>23098</v>
      </c>
      <c r="V80" s="10">
        <f t="shared" ca="1" si="31"/>
        <v>55</v>
      </c>
      <c r="W80" s="8"/>
      <c r="X80" s="102"/>
      <c r="Y80" s="8"/>
      <c r="Z80" s="8"/>
      <c r="AA80" s="8"/>
      <c r="AB80" s="8"/>
      <c r="AC80" s="8"/>
      <c r="AD80" s="8">
        <v>680575730</v>
      </c>
      <c r="AE80" s="103"/>
      <c r="AF80" s="8"/>
      <c r="AG80" s="8"/>
      <c r="AH80" s="8"/>
      <c r="AI80" s="8"/>
      <c r="AJ80" s="8"/>
      <c r="AK80" s="98"/>
      <c r="AL80" s="11"/>
      <c r="AM80" s="104">
        <v>10</v>
      </c>
    </row>
    <row r="81" spans="1:39" ht="15" customHeight="1" x14ac:dyDescent="0.25">
      <c r="A81" s="85">
        <v>81</v>
      </c>
      <c r="B81" s="93"/>
      <c r="C81" s="94">
        <v>26</v>
      </c>
      <c r="D81" s="95"/>
      <c r="E81" s="9"/>
      <c r="F81" s="9"/>
      <c r="G81" s="9"/>
      <c r="H81" s="9"/>
      <c r="I81" s="9"/>
      <c r="J81" s="9"/>
      <c r="K81" s="9"/>
      <c r="L81" s="9"/>
      <c r="M81" s="106"/>
      <c r="N81" s="9"/>
      <c r="O81" s="107"/>
      <c r="P81" s="107"/>
      <c r="Q81" s="107"/>
      <c r="R81" s="9"/>
      <c r="S81" s="9"/>
      <c r="T81" s="9"/>
      <c r="U81" s="6"/>
      <c r="V81" s="9"/>
      <c r="W81" s="9"/>
      <c r="X81" s="107"/>
      <c r="Y81" s="9"/>
      <c r="Z81" s="9"/>
      <c r="AA81" s="9"/>
      <c r="AB81" s="9"/>
      <c r="AC81" s="9"/>
      <c r="AD81" s="9"/>
      <c r="AE81" s="108"/>
      <c r="AF81" s="9"/>
      <c r="AG81" s="9"/>
      <c r="AH81" s="9"/>
      <c r="AI81" s="9"/>
      <c r="AJ81" s="9"/>
      <c r="AK81" s="98"/>
      <c r="AL81" s="99">
        <v>30</v>
      </c>
      <c r="AM81" s="99"/>
    </row>
    <row r="82" spans="1:39" ht="15" customHeight="1" x14ac:dyDescent="0.25">
      <c r="A82" s="85">
        <v>82</v>
      </c>
      <c r="B82" s="93"/>
      <c r="C82" s="11"/>
      <c r="D82" s="8" t="s">
        <v>743</v>
      </c>
      <c r="E82" s="8" t="s">
        <v>684</v>
      </c>
      <c r="F82" s="8" t="s">
        <v>683</v>
      </c>
      <c r="G82" s="8" t="s">
        <v>921</v>
      </c>
      <c r="H82" s="8"/>
      <c r="I82" s="174"/>
      <c r="J82" s="8" t="s">
        <v>684</v>
      </c>
      <c r="K82" s="8" t="s">
        <v>1359</v>
      </c>
      <c r="L82" s="8" t="s">
        <v>1354</v>
      </c>
      <c r="M82" s="8" t="str">
        <f>CONCATENATE(K82," ",L82)</f>
        <v>ZITRON-ASCAZ HOSPITALARIA</v>
      </c>
      <c r="N82" s="8" t="s">
        <v>3</v>
      </c>
      <c r="O82" s="102" t="s">
        <v>1027</v>
      </c>
      <c r="P82" s="102" t="s">
        <v>1028</v>
      </c>
      <c r="Q82" s="102" t="s">
        <v>604</v>
      </c>
      <c r="R82" s="8" t="s">
        <v>2</v>
      </c>
      <c r="S82" s="8" t="s">
        <v>580</v>
      </c>
      <c r="T82" s="8" t="s">
        <v>772</v>
      </c>
      <c r="U82" s="4">
        <v>30830</v>
      </c>
      <c r="V82" s="10">
        <f ca="1">YEAR($V$1)-YEAR(U82)</f>
        <v>34</v>
      </c>
      <c r="W82" s="8" t="s">
        <v>1</v>
      </c>
      <c r="X82" s="102" t="s">
        <v>1029</v>
      </c>
      <c r="Y82" s="8">
        <v>4</v>
      </c>
      <c r="Z82" s="8" t="s">
        <v>579</v>
      </c>
      <c r="AA82" s="8" t="s">
        <v>0</v>
      </c>
      <c r="AB82" s="8" t="s">
        <v>35</v>
      </c>
      <c r="AC82" s="8">
        <v>33205</v>
      </c>
      <c r="AD82" s="8">
        <v>620069054</v>
      </c>
      <c r="AE82" s="103" t="s">
        <v>1030</v>
      </c>
      <c r="AF82" s="8"/>
      <c r="AG82" s="8"/>
      <c r="AH82" s="8"/>
      <c r="AI82" s="8"/>
      <c r="AJ82" s="8"/>
      <c r="AK82" s="98"/>
      <c r="AL82" s="11"/>
      <c r="AM82" s="104">
        <v>10</v>
      </c>
    </row>
    <row r="83" spans="1:39" ht="15" customHeight="1" x14ac:dyDescent="0.25">
      <c r="A83" s="85">
        <v>83</v>
      </c>
      <c r="B83" s="93"/>
      <c r="C83" s="94">
        <v>27</v>
      </c>
      <c r="D83" s="95"/>
      <c r="E83" s="9"/>
      <c r="F83" s="9"/>
      <c r="G83" s="9"/>
      <c r="H83" s="9"/>
      <c r="I83" s="9"/>
      <c r="J83" s="9"/>
      <c r="K83" s="9"/>
      <c r="L83" s="9"/>
      <c r="M83" s="106"/>
      <c r="N83" s="9"/>
      <c r="O83" s="107"/>
      <c r="P83" s="107"/>
      <c r="Q83" s="107"/>
      <c r="R83" s="9"/>
      <c r="S83" s="9"/>
      <c r="T83" s="9"/>
      <c r="U83" s="6"/>
      <c r="V83" s="9"/>
      <c r="W83" s="9"/>
      <c r="X83" s="107"/>
      <c r="Y83" s="9"/>
      <c r="Z83" s="9"/>
      <c r="AA83" s="9"/>
      <c r="AB83" s="9"/>
      <c r="AC83" s="9"/>
      <c r="AD83" s="9"/>
      <c r="AE83" s="108"/>
      <c r="AF83" s="9"/>
      <c r="AG83" s="9"/>
      <c r="AH83" s="9"/>
      <c r="AI83" s="9"/>
      <c r="AJ83" s="9"/>
      <c r="AK83" s="98"/>
      <c r="AL83" s="99">
        <v>30</v>
      </c>
      <c r="AM83" s="99"/>
    </row>
    <row r="84" spans="1:39" ht="15" customHeight="1" x14ac:dyDescent="0.25">
      <c r="A84" s="85">
        <v>84</v>
      </c>
      <c r="B84" s="93"/>
      <c r="C84" s="11"/>
      <c r="D84" s="8" t="s">
        <v>744</v>
      </c>
      <c r="E84" s="8" t="s">
        <v>684</v>
      </c>
      <c r="F84" s="8" t="s">
        <v>683</v>
      </c>
      <c r="G84" s="8" t="s">
        <v>921</v>
      </c>
      <c r="H84" s="8"/>
      <c r="I84" s="101"/>
      <c r="J84" s="8" t="s">
        <v>684</v>
      </c>
      <c r="K84" s="8" t="s">
        <v>1359</v>
      </c>
      <c r="L84" s="8" t="s">
        <v>1354</v>
      </c>
      <c r="M84" s="8" t="str">
        <f t="shared" ref="M84:M85" si="32">CONCATENATE(K84," ",L84)</f>
        <v>ZITRON-ASCAZ HOSPITALARIA</v>
      </c>
      <c r="N84" s="8" t="s">
        <v>3</v>
      </c>
      <c r="O84" s="102" t="s">
        <v>605</v>
      </c>
      <c r="P84" s="102" t="s">
        <v>1031</v>
      </c>
      <c r="Q84" s="102" t="s">
        <v>1032</v>
      </c>
      <c r="R84" s="8" t="s">
        <v>2</v>
      </c>
      <c r="S84" s="8" t="s">
        <v>577</v>
      </c>
      <c r="T84" s="8" t="s">
        <v>772</v>
      </c>
      <c r="U84" s="4">
        <v>29332</v>
      </c>
      <c r="V84" s="10">
        <f t="shared" ref="V84:V85" ca="1" si="33">YEAR($V$1)-YEAR(U84)</f>
        <v>38</v>
      </c>
      <c r="W84" s="8" t="s">
        <v>1</v>
      </c>
      <c r="X84" s="102" t="s">
        <v>1033</v>
      </c>
      <c r="Y84" s="8">
        <v>6</v>
      </c>
      <c r="Z84" s="8" t="s">
        <v>338</v>
      </c>
      <c r="AA84" s="8" t="s">
        <v>0</v>
      </c>
      <c r="AB84" s="8" t="s">
        <v>35</v>
      </c>
      <c r="AC84" s="8">
        <v>33201</v>
      </c>
      <c r="AD84" s="8">
        <v>618329527</v>
      </c>
      <c r="AE84" s="103" t="s">
        <v>1034</v>
      </c>
      <c r="AF84" s="8"/>
      <c r="AG84" s="8"/>
      <c r="AH84" s="8"/>
      <c r="AI84" s="8"/>
      <c r="AJ84" s="8"/>
      <c r="AK84" s="98"/>
      <c r="AL84" s="11"/>
      <c r="AM84" s="104">
        <v>10</v>
      </c>
    </row>
    <row r="85" spans="1:39" ht="15" customHeight="1" x14ac:dyDescent="0.25">
      <c r="A85" s="85">
        <v>85</v>
      </c>
      <c r="B85" s="93"/>
      <c r="C85" s="11"/>
      <c r="D85" s="8" t="s">
        <v>745</v>
      </c>
      <c r="E85" s="8" t="s">
        <v>684</v>
      </c>
      <c r="F85" s="8" t="s">
        <v>683</v>
      </c>
      <c r="G85" s="8" t="s">
        <v>921</v>
      </c>
      <c r="H85" s="8"/>
      <c r="I85" s="101"/>
      <c r="J85" s="8" t="s">
        <v>684</v>
      </c>
      <c r="K85" s="8" t="s">
        <v>1359</v>
      </c>
      <c r="L85" s="8" t="s">
        <v>1354</v>
      </c>
      <c r="M85" s="8" t="str">
        <f t="shared" si="32"/>
        <v>ZITRON-ASCAZ HOSPITALARIA</v>
      </c>
      <c r="N85" s="8" t="s">
        <v>48</v>
      </c>
      <c r="O85" s="102" t="s">
        <v>1035</v>
      </c>
      <c r="P85" s="102" t="s">
        <v>73</v>
      </c>
      <c r="Q85" s="102" t="s">
        <v>73</v>
      </c>
      <c r="R85" s="8" t="s">
        <v>2</v>
      </c>
      <c r="S85" s="8" t="s">
        <v>575</v>
      </c>
      <c r="T85" s="8" t="s">
        <v>753</v>
      </c>
      <c r="U85" s="4">
        <v>30611</v>
      </c>
      <c r="V85" s="10">
        <f t="shared" ca="1" si="33"/>
        <v>35</v>
      </c>
      <c r="W85" s="8"/>
      <c r="X85" s="102"/>
      <c r="Y85" s="8"/>
      <c r="Z85" s="8"/>
      <c r="AA85" s="8"/>
      <c r="AB85" s="8"/>
      <c r="AC85" s="8"/>
      <c r="AD85" s="8"/>
      <c r="AE85" s="103"/>
      <c r="AF85" s="8"/>
      <c r="AG85" s="8"/>
      <c r="AH85" s="8"/>
      <c r="AI85" s="8"/>
      <c r="AJ85" s="8"/>
      <c r="AK85" s="98"/>
      <c r="AL85" s="11"/>
      <c r="AM85" s="104">
        <v>10</v>
      </c>
    </row>
    <row r="86" spans="1:39" ht="15" customHeight="1" x14ac:dyDescent="0.25">
      <c r="A86" s="85">
        <v>86</v>
      </c>
      <c r="B86" s="93"/>
      <c r="C86" s="94">
        <v>28</v>
      </c>
      <c r="D86" s="95"/>
      <c r="E86" s="9"/>
      <c r="F86" s="9"/>
      <c r="G86" s="9"/>
      <c r="H86" s="9"/>
      <c r="I86" s="9"/>
      <c r="J86" s="9"/>
      <c r="K86" s="9"/>
      <c r="L86" s="9"/>
      <c r="M86" s="106"/>
      <c r="N86" s="9"/>
      <c r="O86" s="107"/>
      <c r="P86" s="107"/>
      <c r="Q86" s="107"/>
      <c r="R86" s="9"/>
      <c r="S86" s="9"/>
      <c r="T86" s="9"/>
      <c r="U86" s="6"/>
      <c r="V86" s="9"/>
      <c r="W86" s="9"/>
      <c r="X86" s="107"/>
      <c r="Y86" s="9"/>
      <c r="Z86" s="9"/>
      <c r="AA86" s="9"/>
      <c r="AB86" s="9"/>
      <c r="AC86" s="9"/>
      <c r="AD86" s="9"/>
      <c r="AE86" s="108"/>
      <c r="AF86" s="9"/>
      <c r="AG86" s="9"/>
      <c r="AH86" s="9"/>
      <c r="AI86" s="9"/>
      <c r="AJ86" s="9"/>
      <c r="AK86" s="98"/>
      <c r="AL86" s="99">
        <v>30</v>
      </c>
      <c r="AM86" s="99"/>
    </row>
    <row r="87" spans="1:39" ht="15" customHeight="1" x14ac:dyDescent="0.25">
      <c r="A87" s="85">
        <v>87</v>
      </c>
      <c r="B87" s="93"/>
      <c r="C87" s="11"/>
      <c r="D87" s="8" t="s">
        <v>849</v>
      </c>
      <c r="E87" s="8" t="s">
        <v>684</v>
      </c>
      <c r="F87" s="8" t="s">
        <v>683</v>
      </c>
      <c r="G87" s="8" t="s">
        <v>921</v>
      </c>
      <c r="H87" s="8"/>
      <c r="I87" s="174"/>
      <c r="J87" s="8" t="s">
        <v>684</v>
      </c>
      <c r="K87" s="8" t="s">
        <v>1359</v>
      </c>
      <c r="L87" s="8" t="s">
        <v>1354</v>
      </c>
      <c r="M87" s="8" t="str">
        <f t="shared" ref="M87:M88" si="34">CONCATENATE(K87," ",L87)</f>
        <v>ZITRON-ASCAZ HOSPITALARIA</v>
      </c>
      <c r="N87" s="8" t="s">
        <v>3</v>
      </c>
      <c r="O87" s="102" t="s">
        <v>262</v>
      </c>
      <c r="P87" s="102" t="s">
        <v>261</v>
      </c>
      <c r="Q87" s="102" t="s">
        <v>260</v>
      </c>
      <c r="R87" s="8" t="s">
        <v>2</v>
      </c>
      <c r="S87" s="8" t="s">
        <v>259</v>
      </c>
      <c r="T87" s="8" t="s">
        <v>772</v>
      </c>
      <c r="U87" s="4">
        <v>27577</v>
      </c>
      <c r="V87" s="10">
        <f t="shared" ref="V87:V88" ca="1" si="35">YEAR($V$1)-YEAR(U87)</f>
        <v>43</v>
      </c>
      <c r="W87" s="8" t="s">
        <v>258</v>
      </c>
      <c r="X87" s="102" t="s">
        <v>257</v>
      </c>
      <c r="Y87" s="8">
        <v>52</v>
      </c>
      <c r="Z87" s="8" t="s">
        <v>256</v>
      </c>
      <c r="AA87" s="8" t="s">
        <v>0</v>
      </c>
      <c r="AB87" s="8" t="s">
        <v>255</v>
      </c>
      <c r="AC87" s="8">
        <v>33314</v>
      </c>
      <c r="AD87" s="8">
        <v>639182229</v>
      </c>
      <c r="AE87" s="103" t="s">
        <v>1036</v>
      </c>
      <c r="AF87" s="8"/>
      <c r="AG87" s="8"/>
      <c r="AH87" s="8"/>
      <c r="AI87" s="8"/>
      <c r="AJ87" s="8"/>
      <c r="AK87" s="98"/>
      <c r="AL87" s="11"/>
      <c r="AM87" s="104">
        <v>10</v>
      </c>
    </row>
    <row r="88" spans="1:39" ht="15" customHeight="1" x14ac:dyDescent="0.25">
      <c r="A88" s="85">
        <v>88</v>
      </c>
      <c r="B88" s="93"/>
      <c r="C88" s="11"/>
      <c r="D88" s="8" t="s">
        <v>916</v>
      </c>
      <c r="E88" s="8" t="s">
        <v>839</v>
      </c>
      <c r="F88" s="8" t="s">
        <v>683</v>
      </c>
      <c r="G88" s="8" t="s">
        <v>921</v>
      </c>
      <c r="H88" s="8"/>
      <c r="I88" s="174"/>
      <c r="J88" s="8" t="s">
        <v>684</v>
      </c>
      <c r="K88" s="8" t="s">
        <v>1352</v>
      </c>
      <c r="L88" s="8" t="s">
        <v>1354</v>
      </c>
      <c r="M88" s="8" t="str">
        <f t="shared" si="34"/>
        <v>ASCAZ HOSPITALARIA</v>
      </c>
      <c r="N88" s="8" t="s">
        <v>48</v>
      </c>
      <c r="O88" s="102" t="s">
        <v>253</v>
      </c>
      <c r="P88" s="102" t="s">
        <v>334</v>
      </c>
      <c r="Q88" s="102" t="s">
        <v>1270</v>
      </c>
      <c r="R88" s="8" t="s">
        <v>2</v>
      </c>
      <c r="S88" s="8" t="s">
        <v>252</v>
      </c>
      <c r="T88" s="8" t="s">
        <v>753</v>
      </c>
      <c r="U88" s="4">
        <v>30467</v>
      </c>
      <c r="V88" s="10">
        <f t="shared" ca="1" si="35"/>
        <v>35</v>
      </c>
      <c r="W88" s="8"/>
      <c r="X88" s="102"/>
      <c r="Y88" s="8"/>
      <c r="Z88" s="8"/>
      <c r="AA88" s="8"/>
      <c r="AB88" s="8"/>
      <c r="AC88" s="8"/>
      <c r="AD88" s="8">
        <v>639147008</v>
      </c>
      <c r="AE88" s="103" t="s">
        <v>1037</v>
      </c>
      <c r="AF88" s="8"/>
      <c r="AG88" s="8"/>
      <c r="AH88" s="8"/>
      <c r="AI88" s="8"/>
      <c r="AJ88" s="8"/>
      <c r="AK88" s="98"/>
      <c r="AL88" s="11"/>
      <c r="AM88" s="104">
        <v>10</v>
      </c>
    </row>
    <row r="89" spans="1:39" ht="15" customHeight="1" x14ac:dyDescent="0.25">
      <c r="A89" s="85">
        <v>89</v>
      </c>
      <c r="B89" s="93"/>
      <c r="C89" s="94">
        <v>29</v>
      </c>
      <c r="D89" s="95"/>
      <c r="E89" s="9"/>
      <c r="F89" s="9"/>
      <c r="G89" s="9"/>
      <c r="H89" s="9"/>
      <c r="I89" s="9"/>
      <c r="J89" s="9"/>
      <c r="K89" s="9"/>
      <c r="L89" s="9"/>
      <c r="M89" s="106"/>
      <c r="N89" s="9"/>
      <c r="O89" s="107"/>
      <c r="P89" s="107"/>
      <c r="Q89" s="107"/>
      <c r="R89" s="9"/>
      <c r="S89" s="9"/>
      <c r="T89" s="9"/>
      <c r="U89" s="6"/>
      <c r="V89" s="9"/>
      <c r="W89" s="9"/>
      <c r="X89" s="107"/>
      <c r="Y89" s="9"/>
      <c r="Z89" s="9"/>
      <c r="AA89" s="9"/>
      <c r="AB89" s="9"/>
      <c r="AC89" s="9"/>
      <c r="AD89" s="9"/>
      <c r="AE89" s="108"/>
      <c r="AF89" s="9"/>
      <c r="AG89" s="9"/>
      <c r="AH89" s="9"/>
      <c r="AI89" s="9"/>
      <c r="AJ89" s="9"/>
      <c r="AK89" s="98"/>
      <c r="AL89" s="99">
        <v>30</v>
      </c>
      <c r="AM89" s="99"/>
    </row>
    <row r="90" spans="1:39" ht="15" customHeight="1" x14ac:dyDescent="0.25">
      <c r="A90" s="85">
        <v>90</v>
      </c>
      <c r="B90" s="93"/>
      <c r="C90" s="11"/>
      <c r="D90" s="8" t="s">
        <v>746</v>
      </c>
      <c r="E90" s="8" t="s">
        <v>684</v>
      </c>
      <c r="F90" s="8" t="s">
        <v>683</v>
      </c>
      <c r="G90" s="8" t="s">
        <v>921</v>
      </c>
      <c r="H90" s="8"/>
      <c r="I90" s="174"/>
      <c r="J90" s="8" t="s">
        <v>684</v>
      </c>
      <c r="K90" s="8" t="s">
        <v>1359</v>
      </c>
      <c r="L90" s="8" t="s">
        <v>1354</v>
      </c>
      <c r="M90" s="8" t="str">
        <f t="shared" ref="M90:M92" si="36">CONCATENATE(K90," ",L90)</f>
        <v>ZITRON-ASCAZ HOSPITALARIA</v>
      </c>
      <c r="N90" s="8" t="s">
        <v>3</v>
      </c>
      <c r="O90" s="102" t="s">
        <v>503</v>
      </c>
      <c r="P90" s="102" t="s">
        <v>73</v>
      </c>
      <c r="Q90" s="102" t="s">
        <v>72</v>
      </c>
      <c r="R90" s="8" t="s">
        <v>2</v>
      </c>
      <c r="S90" s="8" t="s">
        <v>502</v>
      </c>
      <c r="T90" s="8" t="s">
        <v>772</v>
      </c>
      <c r="U90" s="4">
        <v>21965</v>
      </c>
      <c r="V90" s="10">
        <f t="shared" ref="V90:V92" ca="1" si="37">YEAR($V$1)-YEAR(U90)</f>
        <v>58</v>
      </c>
      <c r="W90" s="8" t="s">
        <v>1</v>
      </c>
      <c r="X90" s="102" t="s">
        <v>501</v>
      </c>
      <c r="Y90" s="8">
        <v>22</v>
      </c>
      <c r="Z90" s="8" t="s">
        <v>500</v>
      </c>
      <c r="AA90" s="8" t="s">
        <v>0</v>
      </c>
      <c r="AB90" s="8" t="s">
        <v>35</v>
      </c>
      <c r="AC90" s="8">
        <v>33205</v>
      </c>
      <c r="AD90" s="8">
        <v>617308724</v>
      </c>
      <c r="AE90" s="103" t="s">
        <v>1038</v>
      </c>
      <c r="AF90" s="8"/>
      <c r="AG90" s="8"/>
      <c r="AH90" s="8"/>
      <c r="AI90" s="8"/>
      <c r="AJ90" s="8"/>
      <c r="AK90" s="98"/>
      <c r="AL90" s="11"/>
      <c r="AM90" s="104">
        <v>10</v>
      </c>
    </row>
    <row r="91" spans="1:39" ht="15" customHeight="1" x14ac:dyDescent="0.25">
      <c r="A91" s="85">
        <v>91</v>
      </c>
      <c r="B91" s="93"/>
      <c r="C91" s="11"/>
      <c r="D91" s="8" t="s">
        <v>747</v>
      </c>
      <c r="E91" s="8" t="s">
        <v>684</v>
      </c>
      <c r="F91" s="8" t="s">
        <v>683</v>
      </c>
      <c r="G91" s="8" t="s">
        <v>921</v>
      </c>
      <c r="H91" s="8"/>
      <c r="I91" s="174"/>
      <c r="J91" s="8" t="s">
        <v>684</v>
      </c>
      <c r="K91" s="8" t="s">
        <v>1359</v>
      </c>
      <c r="L91" s="8" t="s">
        <v>1354</v>
      </c>
      <c r="M91" s="8" t="str">
        <f t="shared" si="36"/>
        <v>ZITRON-ASCAZ HOSPITALARIA</v>
      </c>
      <c r="N91" s="8" t="s">
        <v>48</v>
      </c>
      <c r="O91" s="102" t="s">
        <v>1252</v>
      </c>
      <c r="P91" s="102" t="s">
        <v>223</v>
      </c>
      <c r="Q91" s="102" t="s">
        <v>574</v>
      </c>
      <c r="R91" s="8" t="s">
        <v>2</v>
      </c>
      <c r="S91" s="8" t="s">
        <v>573</v>
      </c>
      <c r="T91" s="8" t="s">
        <v>753</v>
      </c>
      <c r="U91" s="4">
        <v>21789</v>
      </c>
      <c r="V91" s="10">
        <f t="shared" ca="1" si="37"/>
        <v>59</v>
      </c>
      <c r="W91" s="8"/>
      <c r="X91" s="102"/>
      <c r="Y91" s="8"/>
      <c r="Z91" s="8"/>
      <c r="AA91" s="8"/>
      <c r="AB91" s="8"/>
      <c r="AC91" s="8"/>
      <c r="AD91" s="8">
        <v>636144230</v>
      </c>
      <c r="AE91" s="103" t="s">
        <v>1039</v>
      </c>
      <c r="AF91" s="8"/>
      <c r="AG91" s="8"/>
      <c r="AH91" s="8"/>
      <c r="AI91" s="8"/>
      <c r="AJ91" s="8"/>
      <c r="AK91" s="98"/>
      <c r="AL91" s="11"/>
      <c r="AM91" s="104">
        <v>10</v>
      </c>
    </row>
    <row r="92" spans="1:39" ht="15" customHeight="1" x14ac:dyDescent="0.25">
      <c r="A92" s="85">
        <v>92</v>
      </c>
      <c r="B92" s="93"/>
      <c r="C92" s="11"/>
      <c r="D92" s="8" t="s">
        <v>748</v>
      </c>
      <c r="E92" s="8" t="s">
        <v>684</v>
      </c>
      <c r="F92" s="8" t="s">
        <v>683</v>
      </c>
      <c r="G92" s="8" t="s">
        <v>921</v>
      </c>
      <c r="H92" s="8"/>
      <c r="I92" s="174"/>
      <c r="J92" s="8" t="s">
        <v>684</v>
      </c>
      <c r="K92" s="8" t="s">
        <v>1359</v>
      </c>
      <c r="L92" s="8" t="s">
        <v>1353</v>
      </c>
      <c r="M92" s="8" t="str">
        <f t="shared" si="36"/>
        <v>ZITRON-ASCAZ AMBULATORIA</v>
      </c>
      <c r="N92" s="105" t="s">
        <v>932</v>
      </c>
      <c r="O92" s="102" t="s">
        <v>463</v>
      </c>
      <c r="P92" s="102" t="s">
        <v>73</v>
      </c>
      <c r="Q92" s="102" t="s">
        <v>223</v>
      </c>
      <c r="R92" s="8" t="s">
        <v>2</v>
      </c>
      <c r="S92" s="8" t="s">
        <v>498</v>
      </c>
      <c r="T92" s="8" t="s">
        <v>753</v>
      </c>
      <c r="U92" s="4">
        <v>32658</v>
      </c>
      <c r="V92" s="10">
        <f t="shared" ca="1" si="37"/>
        <v>29</v>
      </c>
      <c r="W92" s="8"/>
      <c r="X92" s="102"/>
      <c r="Y92" s="8"/>
      <c r="Z92" s="8"/>
      <c r="AA92" s="8"/>
      <c r="AB92" s="8"/>
      <c r="AC92" s="8"/>
      <c r="AD92" s="8">
        <v>678304556</v>
      </c>
      <c r="AE92" s="103" t="s">
        <v>1040</v>
      </c>
      <c r="AF92" s="8"/>
      <c r="AG92" s="8"/>
      <c r="AH92" s="8"/>
      <c r="AI92" s="8"/>
      <c r="AJ92" s="8"/>
      <c r="AK92" s="98"/>
      <c r="AL92" s="11"/>
      <c r="AM92" s="104">
        <v>10</v>
      </c>
    </row>
    <row r="93" spans="1:39" ht="15" customHeight="1" x14ac:dyDescent="0.25">
      <c r="A93" s="85">
        <v>93</v>
      </c>
      <c r="B93" s="93"/>
      <c r="C93" s="94">
        <v>30</v>
      </c>
      <c r="D93" s="95"/>
      <c r="E93" s="9"/>
      <c r="F93" s="9"/>
      <c r="G93" s="9"/>
      <c r="H93" s="9"/>
      <c r="I93" s="9"/>
      <c r="J93" s="9"/>
      <c r="K93" s="9"/>
      <c r="L93" s="9"/>
      <c r="M93" s="106"/>
      <c r="N93" s="9"/>
      <c r="O93" s="107"/>
      <c r="P93" s="107"/>
      <c r="Q93" s="107"/>
      <c r="R93" s="9"/>
      <c r="S93" s="9"/>
      <c r="T93" s="9"/>
      <c r="U93" s="6"/>
      <c r="V93" s="9"/>
      <c r="W93" s="9"/>
      <c r="X93" s="107"/>
      <c r="Y93" s="9"/>
      <c r="Z93" s="9"/>
      <c r="AA93" s="9"/>
      <c r="AB93" s="9"/>
      <c r="AC93" s="9"/>
      <c r="AD93" s="9"/>
      <c r="AE93" s="108"/>
      <c r="AF93" s="9"/>
      <c r="AG93" s="9"/>
      <c r="AH93" s="9"/>
      <c r="AI93" s="9"/>
      <c r="AJ93" s="9"/>
      <c r="AK93" s="98"/>
      <c r="AL93" s="99">
        <v>30</v>
      </c>
      <c r="AM93" s="99"/>
    </row>
    <row r="94" spans="1:39" ht="15" customHeight="1" x14ac:dyDescent="0.25">
      <c r="A94" s="85">
        <v>94</v>
      </c>
      <c r="B94" s="93"/>
      <c r="C94" s="11"/>
      <c r="D94" s="8" t="s">
        <v>749</v>
      </c>
      <c r="E94" s="8" t="s">
        <v>684</v>
      </c>
      <c r="F94" s="8" t="s">
        <v>683</v>
      </c>
      <c r="G94" s="8" t="s">
        <v>921</v>
      </c>
      <c r="H94" s="8"/>
      <c r="I94" s="174"/>
      <c r="J94" s="8" t="s">
        <v>684</v>
      </c>
      <c r="K94" s="8" t="s">
        <v>1359</v>
      </c>
      <c r="L94" s="8" t="s">
        <v>1353</v>
      </c>
      <c r="M94" s="8" t="str">
        <f t="shared" ref="M94:M97" si="38">CONCATENATE(K94," ",L94)</f>
        <v>ZITRON-ASCAZ AMBULATORIA</v>
      </c>
      <c r="N94" s="8" t="s">
        <v>3</v>
      </c>
      <c r="O94" s="102" t="s">
        <v>528</v>
      </c>
      <c r="P94" s="102" t="s">
        <v>527</v>
      </c>
      <c r="Q94" s="102"/>
      <c r="R94" s="8" t="s">
        <v>526</v>
      </c>
      <c r="S94" s="8" t="s">
        <v>525</v>
      </c>
      <c r="T94" s="8" t="s">
        <v>772</v>
      </c>
      <c r="U94" s="4">
        <v>29535</v>
      </c>
      <c r="V94" s="10">
        <f t="shared" ref="V94:V97" ca="1" si="39">YEAR($V$1)-YEAR(U94)</f>
        <v>38</v>
      </c>
      <c r="W94" s="8" t="s">
        <v>1</v>
      </c>
      <c r="X94" s="102" t="s">
        <v>468</v>
      </c>
      <c r="Y94" s="8">
        <v>78</v>
      </c>
      <c r="Z94" s="8" t="s">
        <v>524</v>
      </c>
      <c r="AA94" s="8" t="s">
        <v>0</v>
      </c>
      <c r="AB94" s="8" t="s">
        <v>35</v>
      </c>
      <c r="AC94" s="8">
        <v>33210</v>
      </c>
      <c r="AD94" s="8">
        <v>646429595</v>
      </c>
      <c r="AE94" s="103" t="s">
        <v>523</v>
      </c>
      <c r="AF94" s="8"/>
      <c r="AG94" s="8"/>
      <c r="AH94" s="8"/>
      <c r="AI94" s="8"/>
      <c r="AJ94" s="8"/>
      <c r="AK94" s="98"/>
      <c r="AL94" s="11"/>
      <c r="AM94" s="104">
        <v>10</v>
      </c>
    </row>
    <row r="95" spans="1:39" ht="15" customHeight="1" x14ac:dyDescent="0.25">
      <c r="A95" s="85">
        <v>95</v>
      </c>
      <c r="B95" s="93"/>
      <c r="C95" s="11"/>
      <c r="D95" s="8" t="s">
        <v>750</v>
      </c>
      <c r="E95" s="8" t="s">
        <v>684</v>
      </c>
      <c r="F95" s="8" t="s">
        <v>683</v>
      </c>
      <c r="G95" s="8" t="s">
        <v>921</v>
      </c>
      <c r="H95" s="8"/>
      <c r="I95" s="174"/>
      <c r="J95" s="8" t="s">
        <v>684</v>
      </c>
      <c r="K95" s="8" t="s">
        <v>1359</v>
      </c>
      <c r="L95" s="8" t="s">
        <v>1354</v>
      </c>
      <c r="M95" s="8" t="str">
        <f t="shared" si="38"/>
        <v>ZITRON-ASCAZ HOSPITALARIA</v>
      </c>
      <c r="N95" s="8" t="s">
        <v>48</v>
      </c>
      <c r="O95" s="102" t="s">
        <v>571</v>
      </c>
      <c r="P95" s="102" t="s">
        <v>520</v>
      </c>
      <c r="Q95" s="102"/>
      <c r="R95" s="8" t="s">
        <v>526</v>
      </c>
      <c r="S95" s="8" t="s">
        <v>570</v>
      </c>
      <c r="T95" s="8" t="s">
        <v>753</v>
      </c>
      <c r="U95" s="4">
        <v>29816</v>
      </c>
      <c r="V95" s="10">
        <f t="shared" ca="1" si="39"/>
        <v>37</v>
      </c>
      <c r="W95" s="8"/>
      <c r="X95" s="102"/>
      <c r="Y95" s="8"/>
      <c r="Z95" s="8"/>
      <c r="AA95" s="8"/>
      <c r="AB95" s="8"/>
      <c r="AC95" s="8"/>
      <c r="AD95" s="8"/>
      <c r="AE95" s="103"/>
      <c r="AF95" s="8"/>
      <c r="AG95" s="8"/>
      <c r="AH95" s="8"/>
      <c r="AI95" s="8"/>
      <c r="AJ95" s="8"/>
      <c r="AK95" s="98"/>
      <c r="AL95" s="11"/>
      <c r="AM95" s="104">
        <v>10</v>
      </c>
    </row>
    <row r="96" spans="1:39" ht="15" customHeight="1" x14ac:dyDescent="0.25">
      <c r="A96" s="85">
        <v>96</v>
      </c>
      <c r="B96" s="93"/>
      <c r="C96" s="11"/>
      <c r="D96" s="8" t="s">
        <v>751</v>
      </c>
      <c r="E96" s="8" t="s">
        <v>684</v>
      </c>
      <c r="F96" s="8" t="s">
        <v>683</v>
      </c>
      <c r="G96" s="8" t="s">
        <v>921</v>
      </c>
      <c r="H96" s="8"/>
      <c r="I96" s="174"/>
      <c r="J96" s="8" t="s">
        <v>684</v>
      </c>
      <c r="K96" s="8" t="s">
        <v>1359</v>
      </c>
      <c r="L96" s="8" t="s">
        <v>1353</v>
      </c>
      <c r="M96" s="8" t="str">
        <f t="shared" si="38"/>
        <v>ZITRON-ASCAZ AMBULATORIA</v>
      </c>
      <c r="N96" s="105" t="s">
        <v>932</v>
      </c>
      <c r="O96" s="102" t="s">
        <v>522</v>
      </c>
      <c r="P96" s="102" t="s">
        <v>520</v>
      </c>
      <c r="Q96" s="102" t="s">
        <v>519</v>
      </c>
      <c r="R96" s="8"/>
      <c r="S96" s="8"/>
      <c r="T96" s="8" t="s">
        <v>772</v>
      </c>
      <c r="U96" s="4">
        <v>37414</v>
      </c>
      <c r="V96" s="10">
        <f t="shared" ca="1" si="39"/>
        <v>16</v>
      </c>
      <c r="W96" s="8"/>
      <c r="X96" s="102"/>
      <c r="Y96" s="8"/>
      <c r="Z96" s="8"/>
      <c r="AA96" s="8"/>
      <c r="AB96" s="8"/>
      <c r="AC96" s="8"/>
      <c r="AD96" s="8"/>
      <c r="AE96" s="103"/>
      <c r="AF96" s="8"/>
      <c r="AG96" s="8"/>
      <c r="AH96" s="8"/>
      <c r="AI96" s="8"/>
      <c r="AJ96" s="8"/>
      <c r="AK96" s="98"/>
      <c r="AL96" s="11"/>
      <c r="AM96" s="104">
        <v>10</v>
      </c>
    </row>
    <row r="97" spans="1:39" ht="15" customHeight="1" x14ac:dyDescent="0.25">
      <c r="A97" s="85">
        <v>97</v>
      </c>
      <c r="B97" s="93"/>
      <c r="C97" s="11"/>
      <c r="D97" s="8" t="s">
        <v>752</v>
      </c>
      <c r="E97" s="8" t="s">
        <v>684</v>
      </c>
      <c r="F97" s="8" t="s">
        <v>683</v>
      </c>
      <c r="G97" s="8" t="s">
        <v>921</v>
      </c>
      <c r="H97" s="8"/>
      <c r="I97" s="174"/>
      <c r="J97" s="8" t="s">
        <v>684</v>
      </c>
      <c r="K97" s="8" t="s">
        <v>1359</v>
      </c>
      <c r="L97" s="8" t="s">
        <v>1353</v>
      </c>
      <c r="M97" s="8" t="str">
        <f t="shared" si="38"/>
        <v>ZITRON-ASCAZ AMBULATORIA</v>
      </c>
      <c r="N97" s="105" t="s">
        <v>932</v>
      </c>
      <c r="O97" s="102" t="s">
        <v>521</v>
      </c>
      <c r="P97" s="102" t="s">
        <v>520</v>
      </c>
      <c r="Q97" s="102" t="s">
        <v>519</v>
      </c>
      <c r="R97" s="8"/>
      <c r="S97" s="8"/>
      <c r="T97" s="8" t="s">
        <v>772</v>
      </c>
      <c r="U97" s="4">
        <v>38851</v>
      </c>
      <c r="V97" s="10">
        <f t="shared" ca="1" si="39"/>
        <v>12</v>
      </c>
      <c r="W97" s="8"/>
      <c r="X97" s="102"/>
      <c r="Y97" s="8"/>
      <c r="Z97" s="8"/>
      <c r="AA97" s="8"/>
      <c r="AB97" s="8"/>
      <c r="AC97" s="8"/>
      <c r="AD97" s="8"/>
      <c r="AE97" s="103"/>
      <c r="AF97" s="8"/>
      <c r="AG97" s="8"/>
      <c r="AH97" s="8"/>
      <c r="AI97" s="8"/>
      <c r="AJ97" s="8"/>
      <c r="AK97" s="98"/>
      <c r="AL97" s="11"/>
      <c r="AM97" s="104">
        <v>10</v>
      </c>
    </row>
    <row r="98" spans="1:39" ht="15" customHeight="1" x14ac:dyDescent="0.25">
      <c r="A98" s="85">
        <v>98</v>
      </c>
      <c r="B98" s="93"/>
      <c r="C98" s="94">
        <v>31</v>
      </c>
      <c r="D98" s="95"/>
      <c r="E98" s="9"/>
      <c r="F98" s="9"/>
      <c r="G98" s="9"/>
      <c r="H98" s="9"/>
      <c r="I98" s="9"/>
      <c r="J98" s="9"/>
      <c r="K98" s="9"/>
      <c r="L98" s="9"/>
      <c r="M98" s="106"/>
      <c r="N98" s="9"/>
      <c r="O98" s="107"/>
      <c r="P98" s="107"/>
      <c r="Q98" s="107"/>
      <c r="R98" s="9"/>
      <c r="S98" s="9"/>
      <c r="T98" s="9"/>
      <c r="U98" s="6"/>
      <c r="V98" s="9"/>
      <c r="W98" s="9"/>
      <c r="X98" s="107"/>
      <c r="Y98" s="9"/>
      <c r="Z98" s="9"/>
      <c r="AA98" s="9"/>
      <c r="AB98" s="9"/>
      <c r="AC98" s="9"/>
      <c r="AD98" s="9"/>
      <c r="AE98" s="108"/>
      <c r="AF98" s="9"/>
      <c r="AG98" s="9"/>
      <c r="AH98" s="9"/>
      <c r="AI98" s="9"/>
      <c r="AJ98" s="9"/>
      <c r="AK98" s="98"/>
      <c r="AL98" s="99">
        <v>30</v>
      </c>
      <c r="AM98" s="99"/>
    </row>
    <row r="99" spans="1:39" ht="15" customHeight="1" x14ac:dyDescent="0.25">
      <c r="A99" s="85">
        <v>99</v>
      </c>
      <c r="B99" s="93"/>
      <c r="C99" s="11"/>
      <c r="D99" s="8" t="s">
        <v>754</v>
      </c>
      <c r="E99" s="8" t="s">
        <v>684</v>
      </c>
      <c r="F99" s="8" t="s">
        <v>683</v>
      </c>
      <c r="G99" s="8" t="s">
        <v>921</v>
      </c>
      <c r="H99" s="8"/>
      <c r="I99" s="174"/>
      <c r="J99" s="8" t="s">
        <v>684</v>
      </c>
      <c r="K99" s="8" t="s">
        <v>1359</v>
      </c>
      <c r="L99" s="8" t="s">
        <v>1354</v>
      </c>
      <c r="M99" s="8" t="str">
        <f t="shared" ref="M99:M101" si="40">CONCATENATE(K99," ",L99)</f>
        <v>ZITRON-ASCAZ HOSPITALARIA</v>
      </c>
      <c r="N99" s="8" t="s">
        <v>3</v>
      </c>
      <c r="O99" s="102" t="s">
        <v>569</v>
      </c>
      <c r="P99" s="102" t="s">
        <v>559</v>
      </c>
      <c r="Q99" s="102" t="s">
        <v>568</v>
      </c>
      <c r="R99" s="8" t="s">
        <v>526</v>
      </c>
      <c r="S99" s="8" t="s">
        <v>567</v>
      </c>
      <c r="T99" s="8" t="s">
        <v>772</v>
      </c>
      <c r="U99" s="4">
        <v>30796</v>
      </c>
      <c r="V99" s="10">
        <f t="shared" ref="V99:V101" ca="1" si="41">YEAR($V$1)-YEAR(U99)</f>
        <v>34</v>
      </c>
      <c r="W99" s="8" t="s">
        <v>1</v>
      </c>
      <c r="X99" s="102" t="s">
        <v>563</v>
      </c>
      <c r="Y99" s="8">
        <v>1</v>
      </c>
      <c r="Z99" s="8" t="s">
        <v>562</v>
      </c>
      <c r="AA99" s="8" t="s">
        <v>0</v>
      </c>
      <c r="AB99" s="8" t="s">
        <v>35</v>
      </c>
      <c r="AC99" s="8">
        <v>33204</v>
      </c>
      <c r="AD99" s="8">
        <v>684094136</v>
      </c>
      <c r="AE99" s="103" t="s">
        <v>1041</v>
      </c>
      <c r="AF99" s="8"/>
      <c r="AG99" s="8"/>
      <c r="AH99" s="8"/>
      <c r="AI99" s="8"/>
      <c r="AJ99" s="8"/>
      <c r="AK99" s="98"/>
      <c r="AL99" s="11"/>
      <c r="AM99" s="104">
        <v>10</v>
      </c>
    </row>
    <row r="100" spans="1:39" ht="15" customHeight="1" x14ac:dyDescent="0.25">
      <c r="A100" s="85">
        <v>100</v>
      </c>
      <c r="B100" s="93"/>
      <c r="C100" s="11"/>
      <c r="D100" s="8" t="s">
        <v>755</v>
      </c>
      <c r="E100" s="8" t="s">
        <v>684</v>
      </c>
      <c r="F100" s="8" t="s">
        <v>683</v>
      </c>
      <c r="G100" s="8" t="s">
        <v>921</v>
      </c>
      <c r="H100" s="8"/>
      <c r="I100" s="174"/>
      <c r="J100" s="8" t="s">
        <v>684</v>
      </c>
      <c r="K100" s="8" t="s">
        <v>1359</v>
      </c>
      <c r="L100" s="8" t="s">
        <v>1354</v>
      </c>
      <c r="M100" s="8" t="str">
        <f t="shared" si="40"/>
        <v>ZITRON-ASCAZ HOSPITALARIA</v>
      </c>
      <c r="N100" s="8" t="s">
        <v>48</v>
      </c>
      <c r="O100" s="102" t="s">
        <v>463</v>
      </c>
      <c r="P100" s="102" t="s">
        <v>1263</v>
      </c>
      <c r="Q100" s="102" t="s">
        <v>565</v>
      </c>
      <c r="R100" s="8" t="s">
        <v>2</v>
      </c>
      <c r="S100" s="8" t="s">
        <v>564</v>
      </c>
      <c r="T100" s="8" t="s">
        <v>753</v>
      </c>
      <c r="U100" s="4">
        <v>30880</v>
      </c>
      <c r="V100" s="10">
        <f t="shared" ca="1" si="41"/>
        <v>34</v>
      </c>
      <c r="W100" s="8"/>
      <c r="X100" s="102"/>
      <c r="Y100" s="8"/>
      <c r="Z100" s="8"/>
      <c r="AA100" s="8"/>
      <c r="AB100" s="8"/>
      <c r="AC100" s="8"/>
      <c r="AD100" s="8"/>
      <c r="AE100" s="103" t="s">
        <v>1042</v>
      </c>
      <c r="AF100" s="8"/>
      <c r="AG100" s="8"/>
      <c r="AH100" s="8"/>
      <c r="AI100" s="8"/>
      <c r="AJ100" s="8"/>
      <c r="AK100" s="98"/>
      <c r="AL100" s="11"/>
      <c r="AM100" s="104">
        <v>10</v>
      </c>
    </row>
    <row r="101" spans="1:39" ht="15" customHeight="1" x14ac:dyDescent="0.25">
      <c r="A101" s="85">
        <v>101</v>
      </c>
      <c r="B101" s="93"/>
      <c r="C101" s="11"/>
      <c r="D101" s="8" t="s">
        <v>756</v>
      </c>
      <c r="E101" s="8" t="s">
        <v>684</v>
      </c>
      <c r="F101" s="8" t="s">
        <v>683</v>
      </c>
      <c r="G101" s="8" t="s">
        <v>921</v>
      </c>
      <c r="H101" s="8"/>
      <c r="I101" s="174"/>
      <c r="J101" s="8" t="s">
        <v>684</v>
      </c>
      <c r="K101" s="8" t="s">
        <v>1359</v>
      </c>
      <c r="L101" s="8" t="s">
        <v>1354</v>
      </c>
      <c r="M101" s="8" t="str">
        <f t="shared" si="40"/>
        <v>ZITRON-ASCAZ HOSPITALARIA</v>
      </c>
      <c r="N101" s="105" t="s">
        <v>932</v>
      </c>
      <c r="O101" s="102" t="s">
        <v>560</v>
      </c>
      <c r="P101" s="102" t="s">
        <v>1239</v>
      </c>
      <c r="Q101" s="131" t="s">
        <v>1263</v>
      </c>
      <c r="R101" s="131"/>
      <c r="S101" s="8"/>
      <c r="T101" s="8" t="s">
        <v>753</v>
      </c>
      <c r="U101" s="4">
        <v>42729</v>
      </c>
      <c r="V101" s="10">
        <f t="shared" ca="1" si="41"/>
        <v>2</v>
      </c>
      <c r="W101" s="8"/>
      <c r="X101" s="102"/>
      <c r="Y101" s="8"/>
      <c r="Z101" s="8"/>
      <c r="AA101" s="8"/>
      <c r="AB101" s="8"/>
      <c r="AC101" s="8"/>
      <c r="AD101" s="8"/>
      <c r="AE101" s="103"/>
      <c r="AF101" s="8"/>
      <c r="AG101" s="8"/>
      <c r="AH101" s="8"/>
      <c r="AI101" s="8"/>
      <c r="AJ101" s="8"/>
      <c r="AK101" s="98"/>
      <c r="AL101" s="11"/>
      <c r="AM101" s="104">
        <v>10</v>
      </c>
    </row>
    <row r="102" spans="1:39" ht="15" customHeight="1" x14ac:dyDescent="0.25">
      <c r="A102" s="85">
        <v>102</v>
      </c>
      <c r="B102" s="93"/>
      <c r="C102" s="94">
        <v>32</v>
      </c>
      <c r="D102" s="95"/>
      <c r="E102" s="9"/>
      <c r="F102" s="9"/>
      <c r="G102" s="9"/>
      <c r="H102" s="9"/>
      <c r="I102" s="9"/>
      <c r="J102" s="9"/>
      <c r="K102" s="9"/>
      <c r="L102" s="9"/>
      <c r="M102" s="106"/>
      <c r="N102" s="9"/>
      <c r="O102" s="107"/>
      <c r="P102" s="107"/>
      <c r="Q102" s="107"/>
      <c r="R102" s="9"/>
      <c r="S102" s="9"/>
      <c r="T102" s="9"/>
      <c r="U102" s="6"/>
      <c r="V102" s="9"/>
      <c r="W102" s="9"/>
      <c r="X102" s="107"/>
      <c r="Y102" s="9"/>
      <c r="Z102" s="9"/>
      <c r="AA102" s="9"/>
      <c r="AB102" s="9"/>
      <c r="AC102" s="9"/>
      <c r="AD102" s="9"/>
      <c r="AE102" s="108"/>
      <c r="AF102" s="9"/>
      <c r="AG102" s="9"/>
      <c r="AH102" s="9"/>
      <c r="AI102" s="9"/>
      <c r="AJ102" s="9"/>
      <c r="AK102" s="98"/>
      <c r="AL102" s="99">
        <v>30</v>
      </c>
      <c r="AM102" s="99"/>
    </row>
    <row r="103" spans="1:39" ht="15" customHeight="1" x14ac:dyDescent="0.25">
      <c r="A103" s="85">
        <v>103</v>
      </c>
      <c r="B103" s="93"/>
      <c r="C103" s="11"/>
      <c r="D103" s="8" t="s">
        <v>757</v>
      </c>
      <c r="E103" s="8" t="s">
        <v>684</v>
      </c>
      <c r="F103" s="8" t="s">
        <v>683</v>
      </c>
      <c r="G103" s="8" t="s">
        <v>921</v>
      </c>
      <c r="H103" s="8"/>
      <c r="I103" s="101"/>
      <c r="J103" s="8" t="s">
        <v>684</v>
      </c>
      <c r="K103" s="8" t="s">
        <v>1359</v>
      </c>
      <c r="L103" s="8" t="s">
        <v>1354</v>
      </c>
      <c r="M103" s="8" t="str">
        <f>CONCATENATE(K103," ",L103)</f>
        <v>ZITRON-ASCAZ HOSPITALARIA</v>
      </c>
      <c r="N103" s="8" t="s">
        <v>3</v>
      </c>
      <c r="O103" s="102" t="s">
        <v>558</v>
      </c>
      <c r="P103" s="102" t="s">
        <v>340</v>
      </c>
      <c r="Q103" s="102" t="s">
        <v>39</v>
      </c>
      <c r="R103" s="8" t="s">
        <v>2</v>
      </c>
      <c r="S103" s="8" t="s">
        <v>557</v>
      </c>
      <c r="T103" s="8" t="s">
        <v>772</v>
      </c>
      <c r="U103" s="4">
        <v>33063</v>
      </c>
      <c r="V103" s="10">
        <f ca="1">YEAR($V$1)-YEAR(U103)</f>
        <v>28</v>
      </c>
      <c r="W103" s="8" t="s">
        <v>1</v>
      </c>
      <c r="X103" s="102" t="s">
        <v>37</v>
      </c>
      <c r="Y103" s="8">
        <v>1</v>
      </c>
      <c r="Z103" s="8" t="s">
        <v>36</v>
      </c>
      <c r="AA103" s="8" t="s">
        <v>0</v>
      </c>
      <c r="AB103" s="8" t="s">
        <v>35</v>
      </c>
      <c r="AC103" s="8">
        <v>33208</v>
      </c>
      <c r="AD103" s="8">
        <v>667469527</v>
      </c>
      <c r="AE103" s="103" t="s">
        <v>1043</v>
      </c>
      <c r="AF103" s="8"/>
      <c r="AG103" s="8"/>
      <c r="AH103" s="8"/>
      <c r="AI103" s="8"/>
      <c r="AJ103" s="8"/>
      <c r="AK103" s="98"/>
      <c r="AL103" s="11"/>
      <c r="AM103" s="104">
        <v>10</v>
      </c>
    </row>
    <row r="104" spans="1:39" ht="15" customHeight="1" x14ac:dyDescent="0.25">
      <c r="A104" s="85">
        <v>104</v>
      </c>
      <c r="B104" s="93"/>
      <c r="C104" s="94">
        <v>33</v>
      </c>
      <c r="D104" s="95"/>
      <c r="E104" s="9"/>
      <c r="F104" s="9"/>
      <c r="G104" s="9"/>
      <c r="H104" s="9"/>
      <c r="I104" s="9"/>
      <c r="J104" s="9"/>
      <c r="K104" s="9"/>
      <c r="L104" s="9"/>
      <c r="M104" s="106"/>
      <c r="N104" s="9"/>
      <c r="O104" s="107"/>
      <c r="P104" s="107"/>
      <c r="Q104" s="107"/>
      <c r="R104" s="9"/>
      <c r="S104" s="9"/>
      <c r="T104" s="9"/>
      <c r="U104" s="6"/>
      <c r="V104" s="9"/>
      <c r="W104" s="9"/>
      <c r="X104" s="107"/>
      <c r="Y104" s="9"/>
      <c r="Z104" s="9"/>
      <c r="AA104" s="9"/>
      <c r="AB104" s="9"/>
      <c r="AC104" s="9"/>
      <c r="AD104" s="9"/>
      <c r="AE104" s="108"/>
      <c r="AF104" s="9"/>
      <c r="AG104" s="9"/>
      <c r="AH104" s="9"/>
      <c r="AI104" s="9"/>
      <c r="AJ104" s="9"/>
      <c r="AK104" s="98"/>
      <c r="AL104" s="99">
        <v>30</v>
      </c>
      <c r="AM104" s="99"/>
    </row>
    <row r="105" spans="1:39" ht="15" customHeight="1" x14ac:dyDescent="0.25">
      <c r="A105" s="85">
        <v>105</v>
      </c>
      <c r="B105" s="93"/>
      <c r="C105" s="11"/>
      <c r="D105" s="8" t="s">
        <v>758</v>
      </c>
      <c r="E105" s="8" t="s">
        <v>684</v>
      </c>
      <c r="F105" s="8" t="s">
        <v>683</v>
      </c>
      <c r="G105" s="8" t="s">
        <v>921</v>
      </c>
      <c r="H105" s="8"/>
      <c r="I105" s="101"/>
      <c r="J105" s="8" t="s">
        <v>684</v>
      </c>
      <c r="K105" s="8" t="s">
        <v>1359</v>
      </c>
      <c r="L105" s="8" t="s">
        <v>1354</v>
      </c>
      <c r="M105" s="8" t="str">
        <f>CONCATENATE(K105," ",L105)</f>
        <v>ZITRON-ASCAZ HOSPITALARIA</v>
      </c>
      <c r="N105" s="8" t="s">
        <v>3</v>
      </c>
      <c r="O105" s="102" t="s">
        <v>536</v>
      </c>
      <c r="P105" s="102" t="s">
        <v>199</v>
      </c>
      <c r="Q105" s="102" t="s">
        <v>555</v>
      </c>
      <c r="R105" s="8" t="s">
        <v>2</v>
      </c>
      <c r="S105" s="8" t="s">
        <v>554</v>
      </c>
      <c r="T105" s="8" t="s">
        <v>772</v>
      </c>
      <c r="U105" s="4">
        <v>31164</v>
      </c>
      <c r="V105" s="10">
        <f ca="1">YEAR($V$1)-YEAR(U105)</f>
        <v>33</v>
      </c>
      <c r="W105" s="8" t="s">
        <v>1</v>
      </c>
      <c r="X105" s="102" t="s">
        <v>553</v>
      </c>
      <c r="Y105" s="8">
        <v>17</v>
      </c>
      <c r="Z105" s="8" t="s">
        <v>552</v>
      </c>
      <c r="AA105" s="8" t="s">
        <v>0</v>
      </c>
      <c r="AB105" s="8" t="s">
        <v>35</v>
      </c>
      <c r="AC105" s="8">
        <v>33210</v>
      </c>
      <c r="AD105" s="8">
        <v>687393200</v>
      </c>
      <c r="AE105" s="103" t="s">
        <v>1044</v>
      </c>
      <c r="AF105" s="8"/>
      <c r="AG105" s="8"/>
      <c r="AH105" s="8"/>
      <c r="AI105" s="8"/>
      <c r="AJ105" s="8"/>
      <c r="AK105" s="98"/>
      <c r="AL105" s="11"/>
      <c r="AM105" s="104">
        <v>10</v>
      </c>
    </row>
    <row r="106" spans="1:39" ht="15" customHeight="1" x14ac:dyDescent="0.25">
      <c r="A106" s="85">
        <v>106</v>
      </c>
      <c r="B106" s="93"/>
      <c r="C106" s="94">
        <v>34</v>
      </c>
      <c r="D106" s="95"/>
      <c r="E106" s="9"/>
      <c r="F106" s="9"/>
      <c r="G106" s="9"/>
      <c r="H106" s="9"/>
      <c r="I106" s="9"/>
      <c r="J106" s="9"/>
      <c r="K106" s="9"/>
      <c r="L106" s="9"/>
      <c r="M106" s="106"/>
      <c r="N106" s="9"/>
      <c r="O106" s="107"/>
      <c r="P106" s="107"/>
      <c r="Q106" s="107"/>
      <c r="R106" s="9"/>
      <c r="S106" s="9"/>
      <c r="T106" s="9"/>
      <c r="U106" s="6"/>
      <c r="V106" s="9"/>
      <c r="W106" s="9"/>
      <c r="X106" s="107"/>
      <c r="Y106" s="9"/>
      <c r="Z106" s="9"/>
      <c r="AA106" s="9"/>
      <c r="AB106" s="9"/>
      <c r="AC106" s="9"/>
      <c r="AD106" s="9"/>
      <c r="AE106" s="108"/>
      <c r="AF106" s="9"/>
      <c r="AG106" s="9"/>
      <c r="AH106" s="9"/>
      <c r="AI106" s="9"/>
      <c r="AJ106" s="9"/>
      <c r="AK106" s="98"/>
      <c r="AL106" s="99">
        <v>30</v>
      </c>
      <c r="AM106" s="99"/>
    </row>
    <row r="107" spans="1:39" ht="15" customHeight="1" x14ac:dyDescent="0.25">
      <c r="A107" s="85">
        <v>107</v>
      </c>
      <c r="B107" s="93"/>
      <c r="C107" s="11"/>
      <c r="D107" s="8" t="s">
        <v>759</v>
      </c>
      <c r="E107" s="8" t="s">
        <v>684</v>
      </c>
      <c r="F107" s="8" t="s">
        <v>683</v>
      </c>
      <c r="G107" s="8" t="s">
        <v>921</v>
      </c>
      <c r="H107" s="8"/>
      <c r="I107" s="174"/>
      <c r="J107" s="8" t="s">
        <v>684</v>
      </c>
      <c r="K107" s="8" t="s">
        <v>1359</v>
      </c>
      <c r="L107" s="8" t="s">
        <v>1354</v>
      </c>
      <c r="M107" s="8" t="str">
        <f t="shared" ref="M107:M109" si="42">CONCATENATE(K107," ",L107)</f>
        <v>ZITRON-ASCAZ HOSPITALARIA</v>
      </c>
      <c r="N107" s="8" t="s">
        <v>3</v>
      </c>
      <c r="O107" s="102" t="s">
        <v>1045</v>
      </c>
      <c r="P107" s="102" t="s">
        <v>1046</v>
      </c>
      <c r="Q107" s="102" t="s">
        <v>1047</v>
      </c>
      <c r="R107" s="8" t="s">
        <v>2</v>
      </c>
      <c r="S107" s="8" t="s">
        <v>550</v>
      </c>
      <c r="T107" s="8" t="s">
        <v>772</v>
      </c>
      <c r="U107" s="4">
        <v>30644</v>
      </c>
      <c r="V107" s="10">
        <f t="shared" ref="V107:V109" ca="1" si="43">YEAR($V$1)-YEAR(U107)</f>
        <v>35</v>
      </c>
      <c r="W107" s="8" t="s">
        <v>1</v>
      </c>
      <c r="X107" s="102" t="s">
        <v>1048</v>
      </c>
      <c r="Y107" s="8">
        <v>17</v>
      </c>
      <c r="Z107" s="8" t="s">
        <v>1049</v>
      </c>
      <c r="AA107" s="8" t="s">
        <v>0</v>
      </c>
      <c r="AB107" s="8" t="s">
        <v>1050</v>
      </c>
      <c r="AC107" s="8">
        <v>33420</v>
      </c>
      <c r="AD107" s="8">
        <v>646694363</v>
      </c>
      <c r="AE107" s="103" t="s">
        <v>1051</v>
      </c>
      <c r="AF107" s="8"/>
      <c r="AG107" s="8"/>
      <c r="AH107" s="8"/>
      <c r="AI107" s="8"/>
      <c r="AJ107" s="8"/>
      <c r="AK107" s="98"/>
      <c r="AL107" s="11"/>
      <c r="AM107" s="104">
        <v>10</v>
      </c>
    </row>
    <row r="108" spans="1:39" ht="15" customHeight="1" x14ac:dyDescent="0.25">
      <c r="A108" s="85">
        <v>108</v>
      </c>
      <c r="B108" s="93"/>
      <c r="C108" s="11"/>
      <c r="D108" s="8" t="s">
        <v>760</v>
      </c>
      <c r="E108" s="8" t="s">
        <v>684</v>
      </c>
      <c r="F108" s="8" t="s">
        <v>683</v>
      </c>
      <c r="G108" s="8" t="s">
        <v>921</v>
      </c>
      <c r="H108" s="8"/>
      <c r="I108" s="174"/>
      <c r="J108" s="8" t="s">
        <v>684</v>
      </c>
      <c r="K108" s="8" t="s">
        <v>1359</v>
      </c>
      <c r="L108" s="8" t="s">
        <v>1354</v>
      </c>
      <c r="M108" s="8" t="str">
        <f t="shared" si="42"/>
        <v>ZITRON-ASCAZ HOSPITALARIA</v>
      </c>
      <c r="N108" s="8" t="s">
        <v>48</v>
      </c>
      <c r="O108" s="102" t="s">
        <v>1052</v>
      </c>
      <c r="P108" s="102" t="s">
        <v>1053</v>
      </c>
      <c r="Q108" s="102" t="s">
        <v>1054</v>
      </c>
      <c r="R108" s="8" t="s">
        <v>2</v>
      </c>
      <c r="S108" s="8" t="s">
        <v>548</v>
      </c>
      <c r="T108" s="8" t="s">
        <v>753</v>
      </c>
      <c r="U108" s="4">
        <v>32461</v>
      </c>
      <c r="V108" s="10">
        <f t="shared" ca="1" si="43"/>
        <v>30</v>
      </c>
      <c r="W108" s="8"/>
      <c r="X108" s="102"/>
      <c r="Y108" s="8"/>
      <c r="Z108" s="8"/>
      <c r="AA108" s="8"/>
      <c r="AB108" s="8"/>
      <c r="AC108" s="8"/>
      <c r="AD108" s="8">
        <v>635211107</v>
      </c>
      <c r="AE108" s="103" t="s">
        <v>1055</v>
      </c>
      <c r="AF108" s="8"/>
      <c r="AG108" s="8"/>
      <c r="AH108" s="8"/>
      <c r="AI108" s="8"/>
      <c r="AJ108" s="8"/>
      <c r="AK108" s="98"/>
      <c r="AL108" s="11"/>
      <c r="AM108" s="104">
        <v>10</v>
      </c>
    </row>
    <row r="109" spans="1:39" ht="15" customHeight="1" x14ac:dyDescent="0.25">
      <c r="A109" s="85">
        <v>109</v>
      </c>
      <c r="B109" s="93"/>
      <c r="C109" s="11"/>
      <c r="D109" s="8" t="s">
        <v>761</v>
      </c>
      <c r="E109" s="8" t="s">
        <v>684</v>
      </c>
      <c r="F109" s="8" t="s">
        <v>683</v>
      </c>
      <c r="G109" s="8" t="s">
        <v>921</v>
      </c>
      <c r="H109" s="8"/>
      <c r="I109" s="174"/>
      <c r="J109" s="8" t="s">
        <v>684</v>
      </c>
      <c r="K109" s="8" t="s">
        <v>1359</v>
      </c>
      <c r="L109" s="8" t="s">
        <v>1353</v>
      </c>
      <c r="M109" s="8" t="str">
        <f t="shared" si="42"/>
        <v>ZITRON-ASCAZ AMBULATORIA</v>
      </c>
      <c r="N109" s="105" t="s">
        <v>932</v>
      </c>
      <c r="O109" s="102" t="s">
        <v>1056</v>
      </c>
      <c r="P109" s="102" t="s">
        <v>328</v>
      </c>
      <c r="Q109" s="102" t="s">
        <v>1053</v>
      </c>
      <c r="R109" s="8"/>
      <c r="S109" s="8"/>
      <c r="T109" s="8" t="s">
        <v>753</v>
      </c>
      <c r="U109" s="4">
        <v>43090</v>
      </c>
      <c r="V109" s="10">
        <f t="shared" ca="1" si="43"/>
        <v>1</v>
      </c>
      <c r="W109" s="8"/>
      <c r="X109" s="102"/>
      <c r="Y109" s="8"/>
      <c r="Z109" s="8"/>
      <c r="AA109" s="8"/>
      <c r="AB109" s="8"/>
      <c r="AC109" s="8"/>
      <c r="AD109" s="8"/>
      <c r="AE109" s="103"/>
      <c r="AF109" s="8"/>
      <c r="AG109" s="8"/>
      <c r="AH109" s="8"/>
      <c r="AI109" s="8"/>
      <c r="AJ109" s="8"/>
      <c r="AK109" s="98"/>
      <c r="AL109" s="11"/>
      <c r="AM109" s="104">
        <v>10</v>
      </c>
    </row>
    <row r="110" spans="1:39" ht="15" customHeight="1" x14ac:dyDescent="0.25">
      <c r="A110" s="85">
        <v>110</v>
      </c>
      <c r="B110" s="93"/>
      <c r="C110" s="94">
        <v>35</v>
      </c>
      <c r="D110" s="95"/>
      <c r="E110" s="9"/>
      <c r="F110" s="9"/>
      <c r="G110" s="9"/>
      <c r="H110" s="9"/>
      <c r="I110" s="9"/>
      <c r="J110" s="9"/>
      <c r="K110" s="9"/>
      <c r="L110" s="9"/>
      <c r="M110" s="106"/>
      <c r="N110" s="9"/>
      <c r="O110" s="107"/>
      <c r="P110" s="107"/>
      <c r="Q110" s="107"/>
      <c r="R110" s="9"/>
      <c r="S110" s="9"/>
      <c r="T110" s="9"/>
      <c r="U110" s="6"/>
      <c r="V110" s="9"/>
      <c r="W110" s="9"/>
      <c r="X110" s="107"/>
      <c r="Y110" s="9"/>
      <c r="Z110" s="9"/>
      <c r="AA110" s="9"/>
      <c r="AB110" s="9"/>
      <c r="AC110" s="9"/>
      <c r="AD110" s="9"/>
      <c r="AE110" s="108"/>
      <c r="AF110" s="9"/>
      <c r="AG110" s="9"/>
      <c r="AH110" s="9"/>
      <c r="AI110" s="9"/>
      <c r="AJ110" s="9"/>
      <c r="AK110" s="98"/>
      <c r="AL110" s="99">
        <v>30</v>
      </c>
      <c r="AM110" s="99"/>
    </row>
    <row r="111" spans="1:39" ht="15" customHeight="1" x14ac:dyDescent="0.25">
      <c r="A111" s="85">
        <v>111</v>
      </c>
      <c r="B111" s="93"/>
      <c r="C111" s="11"/>
      <c r="D111" s="8" t="s">
        <v>762</v>
      </c>
      <c r="E111" s="8" t="s">
        <v>684</v>
      </c>
      <c r="F111" s="8" t="s">
        <v>683</v>
      </c>
      <c r="G111" s="8" t="s">
        <v>921</v>
      </c>
      <c r="H111" s="8"/>
      <c r="I111" s="174"/>
      <c r="J111" s="8" t="s">
        <v>684</v>
      </c>
      <c r="K111" s="8" t="s">
        <v>1359</v>
      </c>
      <c r="L111" s="8" t="s">
        <v>1354</v>
      </c>
      <c r="M111" s="8" t="str">
        <f>CONCATENATE(K111," ",L111)</f>
        <v>ZITRON-ASCAZ HOSPITALARIA</v>
      </c>
      <c r="N111" s="8" t="s">
        <v>3</v>
      </c>
      <c r="O111" s="102" t="s">
        <v>1057</v>
      </c>
      <c r="P111" s="102" t="s">
        <v>340</v>
      </c>
      <c r="Q111" s="102" t="s">
        <v>73</v>
      </c>
      <c r="R111" s="8" t="s">
        <v>2</v>
      </c>
      <c r="S111" s="8" t="s">
        <v>546</v>
      </c>
      <c r="T111" s="8" t="s">
        <v>772</v>
      </c>
      <c r="U111" s="4">
        <v>24990</v>
      </c>
      <c r="V111" s="10">
        <f ca="1">YEAR($V$1)-YEAR(U111)</f>
        <v>50</v>
      </c>
      <c r="W111" s="8" t="s">
        <v>1</v>
      </c>
      <c r="X111" s="102" t="s">
        <v>1058</v>
      </c>
      <c r="Y111" s="8">
        <v>14</v>
      </c>
      <c r="Z111" s="8" t="s">
        <v>288</v>
      </c>
      <c r="AA111" s="8" t="s">
        <v>0</v>
      </c>
      <c r="AB111" s="8" t="s">
        <v>8</v>
      </c>
      <c r="AC111" s="8">
        <v>33006</v>
      </c>
      <c r="AD111" s="8">
        <v>666522458</v>
      </c>
      <c r="AE111" s="103" t="s">
        <v>1059</v>
      </c>
      <c r="AF111" s="8"/>
      <c r="AG111" s="8"/>
      <c r="AH111" s="8"/>
      <c r="AI111" s="8"/>
      <c r="AJ111" s="8"/>
      <c r="AK111" s="98"/>
      <c r="AL111" s="11"/>
      <c r="AM111" s="104">
        <v>10</v>
      </c>
    </row>
    <row r="112" spans="1:39" ht="15" customHeight="1" x14ac:dyDescent="0.25">
      <c r="A112" s="85">
        <v>112</v>
      </c>
      <c r="B112" s="93"/>
      <c r="C112" s="94">
        <v>36</v>
      </c>
      <c r="D112" s="95"/>
      <c r="E112" s="9"/>
      <c r="F112" s="9"/>
      <c r="G112" s="9"/>
      <c r="H112" s="9"/>
      <c r="I112" s="9"/>
      <c r="J112" s="9"/>
      <c r="K112" s="9"/>
      <c r="L112" s="9"/>
      <c r="M112" s="106"/>
      <c r="N112" s="9"/>
      <c r="O112" s="107"/>
      <c r="P112" s="107"/>
      <c r="Q112" s="107"/>
      <c r="R112" s="9"/>
      <c r="S112" s="9"/>
      <c r="T112" s="9"/>
      <c r="U112" s="6"/>
      <c r="V112" s="9"/>
      <c r="W112" s="9"/>
      <c r="X112" s="107"/>
      <c r="Y112" s="9"/>
      <c r="Z112" s="9"/>
      <c r="AA112" s="9"/>
      <c r="AB112" s="9"/>
      <c r="AC112" s="9"/>
      <c r="AD112" s="9"/>
      <c r="AE112" s="108"/>
      <c r="AF112" s="9"/>
      <c r="AG112" s="9"/>
      <c r="AH112" s="9"/>
      <c r="AI112" s="9"/>
      <c r="AJ112" s="9"/>
      <c r="AK112" s="98"/>
      <c r="AL112" s="99">
        <v>30</v>
      </c>
      <c r="AM112" s="99"/>
    </row>
    <row r="113" spans="1:39" ht="15" customHeight="1" x14ac:dyDescent="0.25">
      <c r="A113" s="85">
        <v>113</v>
      </c>
      <c r="B113" s="93"/>
      <c r="C113" s="11"/>
      <c r="D113" s="8" t="s">
        <v>763</v>
      </c>
      <c r="E113" s="8" t="s">
        <v>684</v>
      </c>
      <c r="F113" s="8" t="s">
        <v>683</v>
      </c>
      <c r="G113" s="8" t="s">
        <v>921</v>
      </c>
      <c r="H113" s="8"/>
      <c r="I113" s="174"/>
      <c r="J113" s="8" t="s">
        <v>684</v>
      </c>
      <c r="K113" s="8" t="s">
        <v>1359</v>
      </c>
      <c r="L113" s="8" t="s">
        <v>1354</v>
      </c>
      <c r="M113" s="8" t="str">
        <f t="shared" ref="M113:M114" si="44">CONCATENATE(K113," ",L113)</f>
        <v>ZITRON-ASCAZ HOSPITALARIA</v>
      </c>
      <c r="N113" s="8" t="s">
        <v>3</v>
      </c>
      <c r="O113" s="102" t="s">
        <v>1060</v>
      </c>
      <c r="P113" s="102" t="s">
        <v>1061</v>
      </c>
      <c r="Q113" s="102"/>
      <c r="R113" s="8" t="s">
        <v>526</v>
      </c>
      <c r="S113" s="8" t="s">
        <v>544</v>
      </c>
      <c r="T113" s="8" t="s">
        <v>753</v>
      </c>
      <c r="U113" s="4">
        <v>29337</v>
      </c>
      <c r="V113" s="10">
        <f t="shared" ref="V113:V114" ca="1" si="45">YEAR($V$1)-YEAR(U113)</f>
        <v>38</v>
      </c>
      <c r="W113" s="8" t="s">
        <v>196</v>
      </c>
      <c r="X113" s="102" t="s">
        <v>1062</v>
      </c>
      <c r="Y113" s="8">
        <v>30</v>
      </c>
      <c r="Z113" s="8">
        <v>7</v>
      </c>
      <c r="AA113" s="8" t="s">
        <v>0</v>
      </c>
      <c r="AB113" s="8" t="s">
        <v>42</v>
      </c>
      <c r="AC113" s="8">
        <v>33930</v>
      </c>
      <c r="AD113" s="8">
        <v>679373334</v>
      </c>
      <c r="AE113" s="103" t="s">
        <v>1063</v>
      </c>
      <c r="AF113" s="8"/>
      <c r="AG113" s="8"/>
      <c r="AH113" s="8"/>
      <c r="AI113" s="8"/>
      <c r="AJ113" s="8"/>
      <c r="AK113" s="98"/>
      <c r="AL113" s="11"/>
      <c r="AM113" s="104">
        <v>10</v>
      </c>
    </row>
    <row r="114" spans="1:39" ht="15" customHeight="1" x14ac:dyDescent="0.25">
      <c r="A114" s="85">
        <v>114</v>
      </c>
      <c r="B114" s="93"/>
      <c r="C114" s="11"/>
      <c r="D114" s="8" t="s">
        <v>764</v>
      </c>
      <c r="E114" s="8" t="s">
        <v>684</v>
      </c>
      <c r="F114" s="8" t="s">
        <v>683</v>
      </c>
      <c r="G114" s="8" t="s">
        <v>921</v>
      </c>
      <c r="H114" s="8"/>
      <c r="I114" s="174"/>
      <c r="J114" s="8" t="s">
        <v>684</v>
      </c>
      <c r="K114" s="8" t="s">
        <v>1359</v>
      </c>
      <c r="L114" s="8" t="s">
        <v>1354</v>
      </c>
      <c r="M114" s="8" t="str">
        <f t="shared" si="44"/>
        <v>ZITRON-ASCAZ HOSPITALARIA</v>
      </c>
      <c r="N114" s="8" t="s">
        <v>48</v>
      </c>
      <c r="O114" s="102" t="s">
        <v>1064</v>
      </c>
      <c r="P114" s="102" t="s">
        <v>1065</v>
      </c>
      <c r="Q114" s="102" t="s">
        <v>1281</v>
      </c>
      <c r="R114" s="8" t="s">
        <v>2</v>
      </c>
      <c r="S114" s="8" t="s">
        <v>542</v>
      </c>
      <c r="T114" s="8" t="s">
        <v>772</v>
      </c>
      <c r="U114" s="4">
        <v>28218</v>
      </c>
      <c r="V114" s="10">
        <f t="shared" ca="1" si="45"/>
        <v>41</v>
      </c>
      <c r="W114" s="8"/>
      <c r="X114" s="102"/>
      <c r="Y114" s="8"/>
      <c r="Z114" s="8"/>
      <c r="AA114" s="8"/>
      <c r="AB114" s="8"/>
      <c r="AC114" s="8"/>
      <c r="AD114" s="8">
        <v>664766119</v>
      </c>
      <c r="AE114" s="103" t="s">
        <v>1066</v>
      </c>
      <c r="AF114" s="8"/>
      <c r="AG114" s="8"/>
      <c r="AH114" s="8"/>
      <c r="AI114" s="8"/>
      <c r="AJ114" s="8"/>
      <c r="AK114" s="98"/>
      <c r="AL114" s="11"/>
      <c r="AM114" s="104">
        <v>10</v>
      </c>
    </row>
    <row r="115" spans="1:39" ht="15" customHeight="1" x14ac:dyDescent="0.25">
      <c r="A115" s="85">
        <v>115</v>
      </c>
      <c r="B115" s="93"/>
      <c r="C115" s="94">
        <v>37</v>
      </c>
      <c r="D115" s="95"/>
      <c r="E115" s="9"/>
      <c r="F115" s="9"/>
      <c r="G115" s="9"/>
      <c r="H115" s="9"/>
      <c r="I115" s="9"/>
      <c r="J115" s="9"/>
      <c r="K115" s="9"/>
      <c r="L115" s="9"/>
      <c r="M115" s="106"/>
      <c r="N115" s="9"/>
      <c r="O115" s="107"/>
      <c r="P115" s="107"/>
      <c r="Q115" s="107"/>
      <c r="R115" s="9"/>
      <c r="S115" s="9"/>
      <c r="T115" s="9"/>
      <c r="U115" s="6"/>
      <c r="V115" s="9"/>
      <c r="W115" s="9"/>
      <c r="X115" s="107"/>
      <c r="Y115" s="9"/>
      <c r="Z115" s="9"/>
      <c r="AA115" s="9"/>
      <c r="AB115" s="9"/>
      <c r="AC115" s="9"/>
      <c r="AD115" s="9"/>
      <c r="AE115" s="108"/>
      <c r="AF115" s="9"/>
      <c r="AG115" s="9"/>
      <c r="AH115" s="9"/>
      <c r="AI115" s="9"/>
      <c r="AJ115" s="9"/>
      <c r="AK115" s="98"/>
      <c r="AL115" s="99">
        <v>30</v>
      </c>
      <c r="AM115" s="99"/>
    </row>
    <row r="116" spans="1:39" ht="15" customHeight="1" x14ac:dyDescent="0.25">
      <c r="A116" s="85">
        <v>116</v>
      </c>
      <c r="B116" s="93"/>
      <c r="C116" s="11"/>
      <c r="D116" s="8" t="s">
        <v>766</v>
      </c>
      <c r="E116" s="8" t="s">
        <v>684</v>
      </c>
      <c r="F116" s="8" t="s">
        <v>683</v>
      </c>
      <c r="G116" s="8" t="s">
        <v>921</v>
      </c>
      <c r="H116" s="8"/>
      <c r="I116" s="174"/>
      <c r="J116" s="8" t="s">
        <v>684</v>
      </c>
      <c r="K116" s="8" t="s">
        <v>1359</v>
      </c>
      <c r="L116" s="8" t="s">
        <v>1354</v>
      </c>
      <c r="M116" s="8" t="str">
        <f t="shared" ref="M116:M118" si="46">CONCATENATE(K116," ",L116)</f>
        <v>ZITRON-ASCAZ HOSPITALARIA</v>
      </c>
      <c r="N116" s="8" t="s">
        <v>3</v>
      </c>
      <c r="O116" s="102" t="s">
        <v>494</v>
      </c>
      <c r="P116" s="102" t="s">
        <v>328</v>
      </c>
      <c r="Q116" s="102" t="s">
        <v>645</v>
      </c>
      <c r="R116" s="8" t="s">
        <v>2</v>
      </c>
      <c r="S116" s="8" t="s">
        <v>493</v>
      </c>
      <c r="T116" s="8" t="s">
        <v>753</v>
      </c>
      <c r="U116" s="4">
        <v>29860</v>
      </c>
      <c r="V116" s="10">
        <f t="shared" ref="V116:V118" ca="1" si="47">YEAR($V$1)-YEAR(U116)</f>
        <v>37</v>
      </c>
      <c r="W116" s="8" t="s">
        <v>1</v>
      </c>
      <c r="X116" s="102" t="s">
        <v>1276</v>
      </c>
      <c r="Y116" s="8">
        <v>4</v>
      </c>
      <c r="Z116" s="8" t="s">
        <v>120</v>
      </c>
      <c r="AA116" s="8" t="s">
        <v>0</v>
      </c>
      <c r="AB116" s="8" t="s">
        <v>35</v>
      </c>
      <c r="AC116" s="8">
        <v>33211</v>
      </c>
      <c r="AD116" s="8">
        <v>697222761</v>
      </c>
      <c r="AE116" s="103" t="s">
        <v>1067</v>
      </c>
      <c r="AF116" s="8"/>
      <c r="AG116" s="8"/>
      <c r="AH116" s="8"/>
      <c r="AI116" s="8"/>
      <c r="AJ116" s="8"/>
      <c r="AK116" s="98"/>
      <c r="AL116" s="11"/>
      <c r="AM116" s="104">
        <v>10</v>
      </c>
    </row>
    <row r="117" spans="1:39" ht="15" customHeight="1" x14ac:dyDescent="0.25">
      <c r="A117" s="85">
        <v>117</v>
      </c>
      <c r="B117" s="93"/>
      <c r="C117" s="11"/>
      <c r="D117" s="8" t="s">
        <v>765</v>
      </c>
      <c r="E117" s="8" t="s">
        <v>684</v>
      </c>
      <c r="F117" s="8" t="s">
        <v>683</v>
      </c>
      <c r="G117" s="8" t="s">
        <v>921</v>
      </c>
      <c r="H117" s="8"/>
      <c r="I117" s="174"/>
      <c r="J117" s="8" t="s">
        <v>684</v>
      </c>
      <c r="K117" s="8" t="s">
        <v>1359</v>
      </c>
      <c r="L117" s="8" t="s">
        <v>1354</v>
      </c>
      <c r="M117" s="8" t="str">
        <f t="shared" si="46"/>
        <v>ZITRON-ASCAZ HOSPITALARIA</v>
      </c>
      <c r="N117" s="8" t="s">
        <v>48</v>
      </c>
      <c r="O117" s="102" t="s">
        <v>540</v>
      </c>
      <c r="P117" s="102" t="s">
        <v>539</v>
      </c>
      <c r="Q117" s="102" t="s">
        <v>1264</v>
      </c>
      <c r="R117" s="8" t="s">
        <v>2</v>
      </c>
      <c r="S117" s="8" t="s">
        <v>538</v>
      </c>
      <c r="T117" s="8" t="s">
        <v>772</v>
      </c>
      <c r="U117" s="4">
        <v>28964</v>
      </c>
      <c r="V117" s="10">
        <f t="shared" ca="1" si="47"/>
        <v>39</v>
      </c>
      <c r="W117" s="8"/>
      <c r="X117" s="102"/>
      <c r="Y117" s="8"/>
      <c r="Z117" s="8"/>
      <c r="AA117" s="8"/>
      <c r="AB117" s="8"/>
      <c r="AC117" s="8"/>
      <c r="AD117" s="8">
        <v>649989063</v>
      </c>
      <c r="AE117" s="103" t="s">
        <v>1068</v>
      </c>
      <c r="AF117" s="8"/>
      <c r="AG117" s="8"/>
      <c r="AH117" s="8"/>
      <c r="AI117" s="8"/>
      <c r="AJ117" s="8"/>
      <c r="AK117" s="98"/>
      <c r="AL117" s="11"/>
      <c r="AM117" s="104">
        <v>10</v>
      </c>
    </row>
    <row r="118" spans="1:39" ht="15" customHeight="1" x14ac:dyDescent="0.25">
      <c r="A118" s="85">
        <v>118</v>
      </c>
      <c r="B118" s="93"/>
      <c r="C118" s="11"/>
      <c r="D118" s="8" t="s">
        <v>767</v>
      </c>
      <c r="E118" s="8" t="s">
        <v>684</v>
      </c>
      <c r="F118" s="8" t="s">
        <v>683</v>
      </c>
      <c r="G118" s="8" t="s">
        <v>921</v>
      </c>
      <c r="H118" s="8"/>
      <c r="I118" s="174"/>
      <c r="J118" s="8" t="s">
        <v>684</v>
      </c>
      <c r="K118" s="8" t="s">
        <v>1359</v>
      </c>
      <c r="L118" s="8" t="s">
        <v>1353</v>
      </c>
      <c r="M118" s="8" t="str">
        <f t="shared" si="46"/>
        <v>ZITRON-ASCAZ AMBULATORIA</v>
      </c>
      <c r="N118" s="105" t="s">
        <v>932</v>
      </c>
      <c r="O118" s="102" t="s">
        <v>491</v>
      </c>
      <c r="P118" s="102" t="s">
        <v>490</v>
      </c>
      <c r="Q118" s="102" t="s">
        <v>328</v>
      </c>
      <c r="R118" s="8"/>
      <c r="S118" s="8"/>
      <c r="T118" s="8" t="s">
        <v>772</v>
      </c>
      <c r="U118" s="4">
        <v>41528</v>
      </c>
      <c r="V118" s="10">
        <f t="shared" ca="1" si="47"/>
        <v>5</v>
      </c>
      <c r="W118" s="8"/>
      <c r="X118" s="102"/>
      <c r="Y118" s="8"/>
      <c r="Z118" s="8"/>
      <c r="AA118" s="8"/>
      <c r="AB118" s="8"/>
      <c r="AC118" s="8"/>
      <c r="AD118" s="8"/>
      <c r="AE118" s="103"/>
      <c r="AF118" s="8"/>
      <c r="AG118" s="8"/>
      <c r="AH118" s="8"/>
      <c r="AI118" s="8"/>
      <c r="AJ118" s="8"/>
      <c r="AK118" s="98"/>
      <c r="AL118" s="11"/>
      <c r="AM118" s="104">
        <v>10</v>
      </c>
    </row>
    <row r="119" spans="1:39" ht="15" customHeight="1" x14ac:dyDescent="0.25">
      <c r="A119" s="85">
        <v>119</v>
      </c>
      <c r="B119" s="93"/>
      <c r="C119" s="94">
        <v>38</v>
      </c>
      <c r="D119" s="95"/>
      <c r="E119" s="9"/>
      <c r="F119" s="9"/>
      <c r="G119" s="9"/>
      <c r="H119" s="9"/>
      <c r="I119" s="9"/>
      <c r="J119" s="9"/>
      <c r="K119" s="9"/>
      <c r="L119" s="9"/>
      <c r="M119" s="106"/>
      <c r="N119" s="9"/>
      <c r="O119" s="107"/>
      <c r="P119" s="107"/>
      <c r="Q119" s="107"/>
      <c r="R119" s="9"/>
      <c r="S119" s="9"/>
      <c r="T119" s="9"/>
      <c r="U119" s="6"/>
      <c r="V119" s="9"/>
      <c r="W119" s="9"/>
      <c r="X119" s="107"/>
      <c r="Y119" s="9"/>
      <c r="Z119" s="9"/>
      <c r="AA119" s="9"/>
      <c r="AB119" s="9"/>
      <c r="AC119" s="9"/>
      <c r="AD119" s="9"/>
      <c r="AE119" s="108"/>
      <c r="AF119" s="9"/>
      <c r="AG119" s="9"/>
      <c r="AH119" s="9"/>
      <c r="AI119" s="9"/>
      <c r="AJ119" s="9"/>
      <c r="AK119" s="98"/>
      <c r="AL119" s="99">
        <v>0</v>
      </c>
      <c r="AM119" s="99"/>
    </row>
    <row r="120" spans="1:39" ht="15" customHeight="1" x14ac:dyDescent="0.25">
      <c r="A120" s="85">
        <v>120</v>
      </c>
      <c r="B120" s="93"/>
      <c r="C120" s="11"/>
      <c r="D120" s="8" t="s">
        <v>768</v>
      </c>
      <c r="E120" s="8" t="s">
        <v>684</v>
      </c>
      <c r="F120" s="8" t="s">
        <v>683</v>
      </c>
      <c r="G120" s="8" t="s">
        <v>920</v>
      </c>
      <c r="H120" s="8"/>
      <c r="I120" s="174"/>
      <c r="J120" s="8" t="s">
        <v>684</v>
      </c>
      <c r="K120" s="8" t="s">
        <v>1359</v>
      </c>
      <c r="L120" s="8" t="s">
        <v>1353</v>
      </c>
      <c r="M120" s="8" t="str">
        <f t="shared" ref="M120:M121" si="48">CONCATENATE(K120," ",L120)</f>
        <v>ZITRON-ASCAZ AMBULATORIA</v>
      </c>
      <c r="N120" s="8" t="s">
        <v>3</v>
      </c>
      <c r="O120" s="102" t="s">
        <v>994</v>
      </c>
      <c r="P120" s="102" t="s">
        <v>1069</v>
      </c>
      <c r="Q120" s="102" t="s">
        <v>24</v>
      </c>
      <c r="R120" s="8" t="s">
        <v>2</v>
      </c>
      <c r="S120" s="8" t="s">
        <v>496</v>
      </c>
      <c r="T120" s="8" t="s">
        <v>772</v>
      </c>
      <c r="U120" s="4">
        <v>27612</v>
      </c>
      <c r="V120" s="10">
        <f ca="1">YEAR($V$1)-YEAR(U120)</f>
        <v>43</v>
      </c>
      <c r="W120" s="8" t="s">
        <v>1</v>
      </c>
      <c r="X120" s="102" t="s">
        <v>1070</v>
      </c>
      <c r="Y120" s="8">
        <v>35</v>
      </c>
      <c r="Z120" s="8"/>
      <c r="AA120" s="8" t="s">
        <v>0</v>
      </c>
      <c r="AB120" s="8" t="s">
        <v>1071</v>
      </c>
      <c r="AC120" s="8">
        <v>33430</v>
      </c>
      <c r="AD120" s="8">
        <v>651043841</v>
      </c>
      <c r="AE120" s="103" t="s">
        <v>1072</v>
      </c>
      <c r="AF120" s="8"/>
      <c r="AG120" s="8"/>
      <c r="AH120" s="8"/>
      <c r="AI120" s="8"/>
      <c r="AJ120" s="8"/>
      <c r="AK120" s="98"/>
      <c r="AL120" s="11"/>
      <c r="AM120" s="104">
        <v>10</v>
      </c>
    </row>
    <row r="121" spans="1:39" ht="15" customHeight="1" x14ac:dyDescent="0.25">
      <c r="A121" s="85">
        <v>121</v>
      </c>
      <c r="B121" s="93"/>
      <c r="C121" s="11"/>
      <c r="D121" s="8" t="s">
        <v>769</v>
      </c>
      <c r="E121" s="8" t="s">
        <v>684</v>
      </c>
      <c r="F121" s="8" t="s">
        <v>683</v>
      </c>
      <c r="G121" s="8" t="s">
        <v>920</v>
      </c>
      <c r="H121" s="8"/>
      <c r="I121" s="174"/>
      <c r="J121" s="8" t="s">
        <v>684</v>
      </c>
      <c r="K121" s="8" t="s">
        <v>1359</v>
      </c>
      <c r="L121" s="8" t="s">
        <v>1353</v>
      </c>
      <c r="M121" s="8" t="str">
        <f t="shared" si="48"/>
        <v>ZITRON-ASCAZ AMBULATORIA</v>
      </c>
      <c r="N121" s="8" t="s">
        <v>48</v>
      </c>
      <c r="O121" s="102" t="s">
        <v>1073</v>
      </c>
      <c r="P121" s="102" t="s">
        <v>1074</v>
      </c>
      <c r="Q121" s="102" t="s">
        <v>340</v>
      </c>
      <c r="R121" s="8" t="s">
        <v>2</v>
      </c>
      <c r="S121" s="8" t="s">
        <v>348</v>
      </c>
      <c r="T121" s="8" t="s">
        <v>753</v>
      </c>
      <c r="U121" s="4">
        <v>27980</v>
      </c>
      <c r="V121" s="10">
        <f t="shared" ref="V121" ca="1" si="49">YEAR($V$1)-YEAR(U121)</f>
        <v>42</v>
      </c>
      <c r="W121" s="8"/>
      <c r="X121" s="102"/>
      <c r="Y121" s="8"/>
      <c r="Z121" s="8"/>
      <c r="AA121" s="8"/>
      <c r="AB121" s="8"/>
      <c r="AC121" s="8"/>
      <c r="AD121" s="8">
        <v>626115314</v>
      </c>
      <c r="AE121" s="103" t="s">
        <v>1075</v>
      </c>
      <c r="AF121" s="8"/>
      <c r="AG121" s="8"/>
      <c r="AH121" s="8"/>
      <c r="AI121" s="8"/>
      <c r="AJ121" s="8"/>
      <c r="AK121" s="98"/>
      <c r="AL121" s="11"/>
      <c r="AM121" s="104">
        <v>10</v>
      </c>
    </row>
    <row r="122" spans="1:39" ht="15" customHeight="1" x14ac:dyDescent="0.25">
      <c r="A122" s="85">
        <v>122</v>
      </c>
      <c r="B122" s="93"/>
      <c r="C122" s="94">
        <v>39</v>
      </c>
      <c r="D122" s="95"/>
      <c r="E122" s="9"/>
      <c r="F122" s="9"/>
      <c r="G122" s="9"/>
      <c r="H122" s="9"/>
      <c r="I122" s="9"/>
      <c r="J122" s="9"/>
      <c r="K122" s="9"/>
      <c r="L122" s="9"/>
      <c r="M122" s="106"/>
      <c r="N122" s="9"/>
      <c r="O122" s="107"/>
      <c r="P122" s="107"/>
      <c r="Q122" s="107"/>
      <c r="R122" s="9"/>
      <c r="S122" s="9"/>
      <c r="T122" s="9"/>
      <c r="U122" s="6"/>
      <c r="V122" s="9"/>
      <c r="W122" s="9"/>
      <c r="X122" s="107"/>
      <c r="Y122" s="9"/>
      <c r="Z122" s="9"/>
      <c r="AA122" s="9"/>
      <c r="AB122" s="9"/>
      <c r="AC122" s="9"/>
      <c r="AD122" s="9"/>
      <c r="AE122" s="108"/>
      <c r="AF122" s="9"/>
      <c r="AG122" s="9"/>
      <c r="AH122" s="9"/>
      <c r="AI122" s="9"/>
      <c r="AJ122" s="9"/>
      <c r="AK122" s="98"/>
      <c r="AL122" s="99">
        <v>30</v>
      </c>
      <c r="AM122" s="99"/>
    </row>
    <row r="123" spans="1:39" ht="15" customHeight="1" x14ac:dyDescent="0.25">
      <c r="A123" s="85">
        <v>123</v>
      </c>
      <c r="B123" s="93"/>
      <c r="C123" s="11"/>
      <c r="D123" s="8" t="s">
        <v>779</v>
      </c>
      <c r="E123" s="8" t="s">
        <v>684</v>
      </c>
      <c r="F123" s="8" t="s">
        <v>683</v>
      </c>
      <c r="G123" s="8" t="s">
        <v>921</v>
      </c>
      <c r="H123" s="8"/>
      <c r="I123" s="174"/>
      <c r="J123" s="8" t="s">
        <v>684</v>
      </c>
      <c r="K123" s="8" t="s">
        <v>1359</v>
      </c>
      <c r="L123" s="8" t="s">
        <v>1354</v>
      </c>
      <c r="M123" s="8" t="str">
        <f t="shared" ref="M123:M124" si="50">CONCATENATE(K123," ",L123)</f>
        <v>ZITRON-ASCAZ HOSPITALARIA</v>
      </c>
      <c r="N123" s="8" t="s">
        <v>3</v>
      </c>
      <c r="O123" s="102" t="s">
        <v>262</v>
      </c>
      <c r="P123" s="102" t="s">
        <v>770</v>
      </c>
      <c r="Q123" s="102" t="s">
        <v>470</v>
      </c>
      <c r="R123" s="8" t="s">
        <v>2</v>
      </c>
      <c r="S123" s="8" t="s">
        <v>771</v>
      </c>
      <c r="T123" s="8" t="s">
        <v>772</v>
      </c>
      <c r="U123" s="4">
        <v>30654</v>
      </c>
      <c r="V123" s="10">
        <f t="shared" ref="V123:V124" ca="1" si="51">YEAR($V$1)-YEAR(U123)</f>
        <v>35</v>
      </c>
      <c r="W123" s="8" t="s">
        <v>1</v>
      </c>
      <c r="X123" s="102" t="s">
        <v>773</v>
      </c>
      <c r="Y123" s="8">
        <v>14</v>
      </c>
      <c r="Z123" s="8" t="s">
        <v>288</v>
      </c>
      <c r="AA123" s="8" t="s">
        <v>0</v>
      </c>
      <c r="AB123" s="8" t="s">
        <v>8</v>
      </c>
      <c r="AC123" s="8">
        <v>33008</v>
      </c>
      <c r="AD123" s="8">
        <v>679623815</v>
      </c>
      <c r="AE123" s="103" t="s">
        <v>774</v>
      </c>
      <c r="AF123" s="8"/>
      <c r="AG123" s="8"/>
      <c r="AH123" s="8"/>
      <c r="AI123" s="8"/>
      <c r="AJ123" s="8"/>
      <c r="AK123" s="98"/>
      <c r="AL123" s="11"/>
      <c r="AM123" s="104">
        <v>10</v>
      </c>
    </row>
    <row r="124" spans="1:39" ht="15" customHeight="1" x14ac:dyDescent="0.25">
      <c r="A124" s="85">
        <v>124</v>
      </c>
      <c r="B124" s="93"/>
      <c r="C124" s="11"/>
      <c r="D124" s="8" t="s">
        <v>780</v>
      </c>
      <c r="E124" s="8" t="s">
        <v>684</v>
      </c>
      <c r="F124" s="8" t="s">
        <v>683</v>
      </c>
      <c r="G124" s="8" t="s">
        <v>921</v>
      </c>
      <c r="H124" s="8"/>
      <c r="I124" s="174"/>
      <c r="J124" s="8" t="s">
        <v>684</v>
      </c>
      <c r="K124" s="8" t="s">
        <v>1359</v>
      </c>
      <c r="L124" s="8" t="s">
        <v>1354</v>
      </c>
      <c r="M124" s="8" t="str">
        <f t="shared" si="50"/>
        <v>ZITRON-ASCAZ HOSPITALARIA</v>
      </c>
      <c r="N124" s="8" t="s">
        <v>48</v>
      </c>
      <c r="O124" s="102" t="s">
        <v>664</v>
      </c>
      <c r="P124" s="102" t="s">
        <v>775</v>
      </c>
      <c r="Q124" s="102" t="s">
        <v>776</v>
      </c>
      <c r="R124" s="8" t="s">
        <v>2</v>
      </c>
      <c r="S124" s="8" t="s">
        <v>777</v>
      </c>
      <c r="T124" s="8" t="s">
        <v>753</v>
      </c>
      <c r="U124" s="4">
        <v>29818</v>
      </c>
      <c r="V124" s="10">
        <f t="shared" ca="1" si="51"/>
        <v>37</v>
      </c>
      <c r="W124" s="8"/>
      <c r="X124" s="102"/>
      <c r="Y124" s="8"/>
      <c r="Z124" s="8"/>
      <c r="AA124" s="8"/>
      <c r="AB124" s="8"/>
      <c r="AC124" s="8"/>
      <c r="AD124" s="8">
        <v>697966572</v>
      </c>
      <c r="AE124" s="103" t="s">
        <v>1076</v>
      </c>
      <c r="AF124" s="8"/>
      <c r="AG124" s="8"/>
      <c r="AH124" s="8"/>
      <c r="AI124" s="8"/>
      <c r="AJ124" s="8"/>
      <c r="AK124" s="98"/>
      <c r="AL124" s="11"/>
      <c r="AM124" s="104">
        <v>10</v>
      </c>
    </row>
    <row r="125" spans="1:39" ht="15" customHeight="1" x14ac:dyDescent="0.25">
      <c r="A125" s="85">
        <v>125</v>
      </c>
      <c r="B125" s="93"/>
      <c r="C125" s="94">
        <v>40</v>
      </c>
      <c r="D125" s="95"/>
      <c r="E125" s="9"/>
      <c r="F125" s="9"/>
      <c r="G125" s="9"/>
      <c r="H125" s="9"/>
      <c r="I125" s="9"/>
      <c r="J125" s="9"/>
      <c r="K125" s="9"/>
      <c r="L125" s="9"/>
      <c r="M125" s="106"/>
      <c r="N125" s="9"/>
      <c r="O125" s="107"/>
      <c r="P125" s="107"/>
      <c r="Q125" s="107"/>
      <c r="R125" s="9"/>
      <c r="S125" s="9"/>
      <c r="T125" s="9"/>
      <c r="U125" s="6"/>
      <c r="V125" s="9"/>
      <c r="W125" s="9"/>
      <c r="X125" s="107"/>
      <c r="Y125" s="9"/>
      <c r="Z125" s="9"/>
      <c r="AA125" s="9"/>
      <c r="AB125" s="9"/>
      <c r="AC125" s="9"/>
      <c r="AD125" s="9"/>
      <c r="AE125" s="108"/>
      <c r="AF125" s="9"/>
      <c r="AG125" s="9"/>
      <c r="AH125" s="9"/>
      <c r="AI125" s="9"/>
      <c r="AJ125" s="9"/>
      <c r="AK125" s="98"/>
      <c r="AL125" s="99">
        <v>0</v>
      </c>
      <c r="AM125" s="99"/>
    </row>
    <row r="126" spans="1:39" ht="15" customHeight="1" x14ac:dyDescent="0.25">
      <c r="A126" s="85">
        <v>126</v>
      </c>
      <c r="B126" s="93"/>
      <c r="C126" s="11"/>
      <c r="D126" s="8" t="s">
        <v>787</v>
      </c>
      <c r="E126" s="8" t="s">
        <v>684</v>
      </c>
      <c r="F126" s="8" t="s">
        <v>683</v>
      </c>
      <c r="G126" s="8" t="s">
        <v>920</v>
      </c>
      <c r="H126" s="8"/>
      <c r="I126" s="101"/>
      <c r="J126" s="8" t="s">
        <v>684</v>
      </c>
      <c r="K126" s="8" t="s">
        <v>1359</v>
      </c>
      <c r="L126" s="8" t="s">
        <v>1354</v>
      </c>
      <c r="M126" s="8" t="str">
        <f>CONCATENATE(K126," ",L126)</f>
        <v>ZITRON-ASCAZ HOSPITALARIA</v>
      </c>
      <c r="N126" s="8" t="s">
        <v>3</v>
      </c>
      <c r="O126" s="102" t="s">
        <v>781</v>
      </c>
      <c r="P126" s="102" t="s">
        <v>782</v>
      </c>
      <c r="Q126" s="102" t="s">
        <v>1267</v>
      </c>
      <c r="R126" s="8" t="s">
        <v>2</v>
      </c>
      <c r="S126" s="8" t="s">
        <v>783</v>
      </c>
      <c r="T126" s="8" t="s">
        <v>772</v>
      </c>
      <c r="U126" s="4">
        <v>27377</v>
      </c>
      <c r="V126" s="10">
        <f ca="1">YEAR($V$1)-YEAR(U126)</f>
        <v>44</v>
      </c>
      <c r="W126" s="8" t="s">
        <v>1</v>
      </c>
      <c r="X126" s="102" t="s">
        <v>784</v>
      </c>
      <c r="Y126" s="8">
        <v>39</v>
      </c>
      <c r="Z126" s="8" t="s">
        <v>785</v>
      </c>
      <c r="AA126" s="8" t="s">
        <v>0</v>
      </c>
      <c r="AB126" s="8" t="s">
        <v>35</v>
      </c>
      <c r="AC126" s="8">
        <v>33211</v>
      </c>
      <c r="AD126" s="8">
        <v>658566311</v>
      </c>
      <c r="AE126" s="103" t="s">
        <v>1077</v>
      </c>
      <c r="AF126" s="8"/>
      <c r="AG126" s="8"/>
      <c r="AH126" s="8"/>
      <c r="AI126" s="8"/>
      <c r="AJ126" s="8"/>
      <c r="AK126" s="98"/>
      <c r="AL126" s="11"/>
      <c r="AM126" s="104">
        <v>10</v>
      </c>
    </row>
    <row r="127" spans="1:39" ht="15" customHeight="1" x14ac:dyDescent="0.25">
      <c r="A127" s="85">
        <v>127</v>
      </c>
      <c r="B127" s="93"/>
      <c r="C127" s="94">
        <v>41</v>
      </c>
      <c r="D127" s="95"/>
      <c r="E127" s="9"/>
      <c r="F127" s="9"/>
      <c r="G127" s="9"/>
      <c r="H127" s="9"/>
      <c r="I127" s="9"/>
      <c r="J127" s="9"/>
      <c r="K127" s="9"/>
      <c r="L127" s="9"/>
      <c r="M127" s="106"/>
      <c r="N127" s="9"/>
      <c r="O127" s="107"/>
      <c r="P127" s="107"/>
      <c r="Q127" s="107"/>
      <c r="R127" s="9"/>
      <c r="S127" s="9"/>
      <c r="T127" s="9"/>
      <c r="U127" s="6"/>
      <c r="V127" s="9"/>
      <c r="W127" s="9"/>
      <c r="X127" s="107"/>
      <c r="Y127" s="9"/>
      <c r="Z127" s="9"/>
      <c r="AA127" s="9"/>
      <c r="AB127" s="9"/>
      <c r="AC127" s="9"/>
      <c r="AD127" s="9"/>
      <c r="AE127" s="108"/>
      <c r="AF127" s="9"/>
      <c r="AG127" s="9"/>
      <c r="AH127" s="9"/>
      <c r="AI127" s="9"/>
      <c r="AJ127" s="9"/>
      <c r="AK127" s="98"/>
      <c r="AL127" s="99">
        <v>30</v>
      </c>
      <c r="AM127" s="99"/>
    </row>
    <row r="128" spans="1:39" ht="15" customHeight="1" x14ac:dyDescent="0.25">
      <c r="A128" s="85">
        <v>128</v>
      </c>
      <c r="B128" s="93"/>
      <c r="C128" s="11"/>
      <c r="D128" s="8" t="s">
        <v>793</v>
      </c>
      <c r="E128" s="8" t="s">
        <v>684</v>
      </c>
      <c r="F128" s="8" t="s">
        <v>683</v>
      </c>
      <c r="G128" s="8" t="s">
        <v>921</v>
      </c>
      <c r="H128" s="8"/>
      <c r="I128" s="174"/>
      <c r="J128" s="8" t="s">
        <v>684</v>
      </c>
      <c r="K128" s="8" t="s">
        <v>1359</v>
      </c>
      <c r="L128" s="8" t="s">
        <v>1354</v>
      </c>
      <c r="M128" s="8" t="str">
        <f>CONCATENATE(K128," ",L128)</f>
        <v>ZITRON-ASCAZ HOSPITALARIA</v>
      </c>
      <c r="N128" s="8" t="s">
        <v>3</v>
      </c>
      <c r="O128" s="102" t="s">
        <v>605</v>
      </c>
      <c r="P128" s="102" t="s">
        <v>788</v>
      </c>
      <c r="Q128" s="102" t="s">
        <v>789</v>
      </c>
      <c r="R128" s="8" t="s">
        <v>2</v>
      </c>
      <c r="S128" s="8" t="s">
        <v>790</v>
      </c>
      <c r="T128" s="8" t="s">
        <v>772</v>
      </c>
      <c r="U128" s="4">
        <v>31231</v>
      </c>
      <c r="V128" s="10">
        <f ca="1">YEAR($V$1)-YEAR(U128)</f>
        <v>33</v>
      </c>
      <c r="W128" s="8" t="s">
        <v>1</v>
      </c>
      <c r="X128" s="102" t="s">
        <v>791</v>
      </c>
      <c r="Y128" s="8">
        <v>27</v>
      </c>
      <c r="Z128" s="8" t="s">
        <v>180</v>
      </c>
      <c r="AA128" s="8" t="s">
        <v>139</v>
      </c>
      <c r="AB128" s="8" t="s">
        <v>139</v>
      </c>
      <c r="AC128" s="8">
        <v>28021</v>
      </c>
      <c r="AD128" s="8">
        <v>622033975</v>
      </c>
      <c r="AE128" s="103" t="s">
        <v>792</v>
      </c>
      <c r="AF128" s="8"/>
      <c r="AG128" s="8"/>
      <c r="AH128" s="8"/>
      <c r="AI128" s="8"/>
      <c r="AJ128" s="8"/>
      <c r="AK128" s="98"/>
      <c r="AL128" s="11"/>
      <c r="AM128" s="104">
        <v>10</v>
      </c>
    </row>
    <row r="129" spans="1:39" ht="15" customHeight="1" x14ac:dyDescent="0.25">
      <c r="A129" s="85">
        <v>129</v>
      </c>
      <c r="B129" s="93"/>
      <c r="C129" s="94">
        <v>42</v>
      </c>
      <c r="D129" s="95"/>
      <c r="E129" s="9"/>
      <c r="F129" s="9"/>
      <c r="G129" s="9"/>
      <c r="H129" s="9"/>
      <c r="I129" s="9"/>
      <c r="J129" s="9"/>
      <c r="K129" s="9"/>
      <c r="L129" s="9"/>
      <c r="M129" s="106"/>
      <c r="N129" s="9"/>
      <c r="O129" s="107"/>
      <c r="P129" s="107"/>
      <c r="Q129" s="107"/>
      <c r="R129" s="9"/>
      <c r="S129" s="9"/>
      <c r="T129" s="9"/>
      <c r="U129" s="6"/>
      <c r="V129" s="9"/>
      <c r="W129" s="9"/>
      <c r="X129" s="107"/>
      <c r="Y129" s="9"/>
      <c r="Z129" s="9"/>
      <c r="AA129" s="9"/>
      <c r="AB129" s="9"/>
      <c r="AC129" s="9"/>
      <c r="AD129" s="9"/>
      <c r="AE129" s="108"/>
      <c r="AF129" s="9"/>
      <c r="AG129" s="9"/>
      <c r="AH129" s="9"/>
      <c r="AI129" s="9"/>
      <c r="AJ129" s="9"/>
      <c r="AK129" s="98"/>
      <c r="AL129" s="99">
        <v>0</v>
      </c>
      <c r="AM129" s="99"/>
    </row>
    <row r="130" spans="1:39" ht="15" customHeight="1" x14ac:dyDescent="0.25">
      <c r="A130" s="85">
        <v>130</v>
      </c>
      <c r="B130" s="93"/>
      <c r="C130" s="11"/>
      <c r="D130" s="8" t="s">
        <v>794</v>
      </c>
      <c r="E130" s="8" t="s">
        <v>684</v>
      </c>
      <c r="F130" s="8" t="s">
        <v>683</v>
      </c>
      <c r="G130" s="8" t="s">
        <v>920</v>
      </c>
      <c r="H130" s="8"/>
      <c r="I130" s="174"/>
      <c r="J130" s="8" t="s">
        <v>684</v>
      </c>
      <c r="K130" s="8" t="s">
        <v>1359</v>
      </c>
      <c r="L130" s="8" t="s">
        <v>1354</v>
      </c>
      <c r="M130" s="8" t="str">
        <f t="shared" ref="M130:M131" si="52">CONCATENATE(K130," ",L130)</f>
        <v>ZITRON-ASCAZ HOSPITALARIA</v>
      </c>
      <c r="N130" s="8" t="s">
        <v>176</v>
      </c>
      <c r="O130" s="102" t="s">
        <v>1242</v>
      </c>
      <c r="P130" s="102" t="s">
        <v>153</v>
      </c>
      <c r="Q130" s="102" t="s">
        <v>688</v>
      </c>
      <c r="R130" s="8" t="s">
        <v>526</v>
      </c>
      <c r="S130" s="8" t="s">
        <v>689</v>
      </c>
      <c r="T130" s="8" t="s">
        <v>753</v>
      </c>
      <c r="U130" s="4">
        <v>27521</v>
      </c>
      <c r="V130" s="10">
        <f t="shared" ref="V130:V131" ca="1" si="53">YEAR($V$1)-YEAR(U130)</f>
        <v>43</v>
      </c>
      <c r="W130" s="8" t="s">
        <v>690</v>
      </c>
      <c r="X130" s="102" t="s">
        <v>691</v>
      </c>
      <c r="Y130" s="8">
        <v>66</v>
      </c>
      <c r="Z130" s="8" t="s">
        <v>692</v>
      </c>
      <c r="AA130" s="8" t="s">
        <v>0</v>
      </c>
      <c r="AB130" s="8" t="s">
        <v>35</v>
      </c>
      <c r="AC130" s="8">
        <v>33206</v>
      </c>
      <c r="AD130" s="8">
        <v>679956323</v>
      </c>
      <c r="AE130" s="103" t="s">
        <v>1078</v>
      </c>
      <c r="AF130" s="8" t="s">
        <v>41</v>
      </c>
      <c r="AG130" s="8">
        <v>2048</v>
      </c>
      <c r="AH130" s="8" t="s">
        <v>694</v>
      </c>
      <c r="AI130" s="8">
        <v>57</v>
      </c>
      <c r="AJ130" s="8">
        <v>3404000354</v>
      </c>
      <c r="AK130" s="98"/>
      <c r="AL130" s="11"/>
      <c r="AM130" s="104">
        <v>10</v>
      </c>
    </row>
    <row r="131" spans="1:39" ht="15" customHeight="1" x14ac:dyDescent="0.25">
      <c r="A131" s="85">
        <v>131</v>
      </c>
      <c r="B131" s="93"/>
      <c r="C131" s="11"/>
      <c r="D131" s="8" t="s">
        <v>795</v>
      </c>
      <c r="E131" s="8" t="s">
        <v>684</v>
      </c>
      <c r="F131" s="8" t="s">
        <v>683</v>
      </c>
      <c r="G131" s="8" t="s">
        <v>920</v>
      </c>
      <c r="H131" s="8"/>
      <c r="I131" s="174"/>
      <c r="J131" s="8" t="s">
        <v>684</v>
      </c>
      <c r="K131" s="8" t="s">
        <v>1359</v>
      </c>
      <c r="L131" s="8" t="s">
        <v>1354</v>
      </c>
      <c r="M131" s="8" t="str">
        <f t="shared" si="52"/>
        <v>ZITRON-ASCAZ HOSPITALARIA</v>
      </c>
      <c r="N131" s="105" t="s">
        <v>932</v>
      </c>
      <c r="O131" s="102" t="s">
        <v>695</v>
      </c>
      <c r="P131" s="102" t="s">
        <v>1264</v>
      </c>
      <c r="Q131" s="102" t="s">
        <v>153</v>
      </c>
      <c r="R131" s="8" t="s">
        <v>2</v>
      </c>
      <c r="S131" s="8" t="s">
        <v>696</v>
      </c>
      <c r="T131" s="8" t="s">
        <v>753</v>
      </c>
      <c r="U131" s="4">
        <v>40339</v>
      </c>
      <c r="V131" s="10">
        <f t="shared" ca="1" si="53"/>
        <v>8</v>
      </c>
      <c r="W131" s="8"/>
      <c r="X131" s="102"/>
      <c r="Y131" s="8"/>
      <c r="Z131" s="8"/>
      <c r="AA131" s="8"/>
      <c r="AB131" s="8"/>
      <c r="AC131" s="8"/>
      <c r="AD131" s="8"/>
      <c r="AE131" s="103"/>
      <c r="AF131" s="8"/>
      <c r="AG131" s="8"/>
      <c r="AH131" s="8"/>
      <c r="AI131" s="8"/>
      <c r="AJ131" s="8"/>
      <c r="AK131" s="98"/>
      <c r="AL131" s="11"/>
      <c r="AM131" s="104">
        <v>10</v>
      </c>
    </row>
    <row r="132" spans="1:39" ht="15" customHeight="1" x14ac:dyDescent="0.25">
      <c r="A132" s="85">
        <v>132</v>
      </c>
      <c r="B132" s="93"/>
      <c r="C132" s="94">
        <v>43</v>
      </c>
      <c r="D132" s="95"/>
      <c r="E132" s="9"/>
      <c r="F132" s="9"/>
      <c r="G132" s="9"/>
      <c r="H132" s="9"/>
      <c r="I132" s="9"/>
      <c r="J132" s="9"/>
      <c r="K132" s="9"/>
      <c r="L132" s="9"/>
      <c r="M132" s="106"/>
      <c r="N132" s="9"/>
      <c r="O132" s="107"/>
      <c r="P132" s="107"/>
      <c r="Q132" s="107"/>
      <c r="R132" s="9"/>
      <c r="S132" s="9"/>
      <c r="T132" s="9"/>
      <c r="U132" s="6"/>
      <c r="V132" s="9"/>
      <c r="W132" s="9"/>
      <c r="X132" s="107"/>
      <c r="Y132" s="9"/>
      <c r="Z132" s="9"/>
      <c r="AA132" s="9"/>
      <c r="AB132" s="9"/>
      <c r="AC132" s="9"/>
      <c r="AD132" s="9"/>
      <c r="AE132" s="108"/>
      <c r="AF132" s="9"/>
      <c r="AG132" s="9"/>
      <c r="AH132" s="9"/>
      <c r="AI132" s="9"/>
      <c r="AJ132" s="9"/>
      <c r="AK132" s="98"/>
      <c r="AL132" s="99">
        <v>0</v>
      </c>
      <c r="AM132" s="99"/>
    </row>
    <row r="133" spans="1:39" ht="15" customHeight="1" x14ac:dyDescent="0.25">
      <c r="A133" s="85">
        <v>133</v>
      </c>
      <c r="B133" s="93"/>
      <c r="C133" s="11"/>
      <c r="D133" s="8" t="s">
        <v>797</v>
      </c>
      <c r="E133" s="8" t="s">
        <v>839</v>
      </c>
      <c r="F133" s="8" t="s">
        <v>922</v>
      </c>
      <c r="G133" s="8" t="s">
        <v>920</v>
      </c>
      <c r="H133" s="8"/>
      <c r="I133" s="101"/>
      <c r="J133" s="8" t="s">
        <v>684</v>
      </c>
      <c r="K133" s="8" t="s">
        <v>1352</v>
      </c>
      <c r="L133" s="8" t="s">
        <v>1354</v>
      </c>
      <c r="M133" s="8" t="str">
        <f t="shared" ref="M133:M134" si="54">CONCATENATE(K133," ",L133)</f>
        <v>ASCAZ HOSPITALARIA</v>
      </c>
      <c r="N133" s="8" t="s">
        <v>176</v>
      </c>
      <c r="O133" s="102" t="s">
        <v>489</v>
      </c>
      <c r="P133" s="102" t="s">
        <v>488</v>
      </c>
      <c r="Q133" s="102" t="s">
        <v>487</v>
      </c>
      <c r="R133" s="8" t="s">
        <v>479</v>
      </c>
      <c r="S133" s="8" t="s">
        <v>486</v>
      </c>
      <c r="T133" s="8" t="s">
        <v>753</v>
      </c>
      <c r="U133" s="4">
        <v>30236</v>
      </c>
      <c r="V133" s="10">
        <f t="shared" ref="V133:V134" ca="1" si="55">YEAR($V$1)-YEAR(U133)</f>
        <v>36</v>
      </c>
      <c r="W133" s="8" t="s">
        <v>1</v>
      </c>
      <c r="X133" s="102" t="s">
        <v>485</v>
      </c>
      <c r="Y133" s="8">
        <v>184</v>
      </c>
      <c r="Z133" s="8" t="s">
        <v>484</v>
      </c>
      <c r="AA133" s="8" t="s">
        <v>0</v>
      </c>
      <c r="AB133" s="8" t="s">
        <v>35</v>
      </c>
      <c r="AC133" s="8">
        <v>33203</v>
      </c>
      <c r="AD133" s="8">
        <v>635174604</v>
      </c>
      <c r="AE133" s="103" t="s">
        <v>1079</v>
      </c>
      <c r="AF133" s="109" t="s">
        <v>1233</v>
      </c>
      <c r="AG133" s="8" t="s">
        <v>117</v>
      </c>
      <c r="AH133" s="8" t="s">
        <v>482</v>
      </c>
      <c r="AI133" s="8">
        <v>71</v>
      </c>
      <c r="AJ133" s="8">
        <v>1711014969</v>
      </c>
      <c r="AK133" s="98"/>
      <c r="AL133" s="11"/>
      <c r="AM133" s="104">
        <v>10</v>
      </c>
    </row>
    <row r="134" spans="1:39" ht="15" customHeight="1" x14ac:dyDescent="0.25">
      <c r="A134" s="85">
        <v>134</v>
      </c>
      <c r="B134" s="93"/>
      <c r="C134" s="11"/>
      <c r="D134" s="8" t="s">
        <v>798</v>
      </c>
      <c r="E134" s="8" t="s">
        <v>839</v>
      </c>
      <c r="F134" s="8" t="s">
        <v>922</v>
      </c>
      <c r="G134" s="8" t="s">
        <v>920</v>
      </c>
      <c r="H134" s="8"/>
      <c r="I134" s="101"/>
      <c r="J134" s="8" t="s">
        <v>684</v>
      </c>
      <c r="K134" s="8" t="s">
        <v>1352</v>
      </c>
      <c r="L134" s="8" t="s">
        <v>1354</v>
      </c>
      <c r="M134" s="8" t="str">
        <f t="shared" si="54"/>
        <v>ASCAZ HOSPITALARIA</v>
      </c>
      <c r="N134" s="8" t="s">
        <v>48</v>
      </c>
      <c r="O134" s="102" t="s">
        <v>481</v>
      </c>
      <c r="P134" s="102" t="s">
        <v>480</v>
      </c>
      <c r="Q134" s="102" t="s">
        <v>73</v>
      </c>
      <c r="R134" s="8" t="s">
        <v>479</v>
      </c>
      <c r="S134" s="8" t="s">
        <v>478</v>
      </c>
      <c r="T134" s="8" t="s">
        <v>772</v>
      </c>
      <c r="U134" s="4">
        <v>29723</v>
      </c>
      <c r="V134" s="10">
        <f t="shared" ca="1" si="55"/>
        <v>37</v>
      </c>
      <c r="W134" s="8"/>
      <c r="X134" s="102"/>
      <c r="Y134" s="8"/>
      <c r="Z134" s="8"/>
      <c r="AA134" s="8"/>
      <c r="AB134" s="8"/>
      <c r="AC134" s="8"/>
      <c r="AD134" s="8">
        <v>635172026</v>
      </c>
      <c r="AE134" s="103" t="s">
        <v>1080</v>
      </c>
      <c r="AF134" s="109"/>
      <c r="AG134" s="8"/>
      <c r="AH134" s="8"/>
      <c r="AI134" s="8"/>
      <c r="AJ134" s="8"/>
      <c r="AK134" s="98"/>
      <c r="AL134" s="11"/>
      <c r="AM134" s="104">
        <v>10</v>
      </c>
    </row>
    <row r="135" spans="1:39" ht="15" customHeight="1" x14ac:dyDescent="0.25">
      <c r="A135" s="85">
        <v>135</v>
      </c>
      <c r="B135" s="93"/>
      <c r="C135" s="94">
        <v>44</v>
      </c>
      <c r="D135" s="95"/>
      <c r="E135" s="9"/>
      <c r="F135" s="9"/>
      <c r="G135" s="9"/>
      <c r="H135" s="9"/>
      <c r="I135" s="9"/>
      <c r="J135" s="9"/>
      <c r="K135" s="9"/>
      <c r="L135" s="9"/>
      <c r="M135" s="106"/>
      <c r="N135" s="9"/>
      <c r="O135" s="107"/>
      <c r="P135" s="107"/>
      <c r="Q135" s="107"/>
      <c r="R135" s="9"/>
      <c r="S135" s="9"/>
      <c r="T135" s="9"/>
      <c r="U135" s="6"/>
      <c r="V135" s="9"/>
      <c r="W135" s="9"/>
      <c r="X135" s="107"/>
      <c r="Y135" s="9"/>
      <c r="Z135" s="9"/>
      <c r="AA135" s="9"/>
      <c r="AB135" s="9"/>
      <c r="AC135" s="9"/>
      <c r="AD135" s="9"/>
      <c r="AE135" s="108"/>
      <c r="AF135" s="9"/>
      <c r="AG135" s="9"/>
      <c r="AH135" s="9"/>
      <c r="AI135" s="9"/>
      <c r="AJ135" s="9"/>
      <c r="AK135" s="98"/>
      <c r="AL135" s="99">
        <v>30</v>
      </c>
      <c r="AM135" s="99"/>
    </row>
    <row r="136" spans="1:39" ht="15" customHeight="1" x14ac:dyDescent="0.25">
      <c r="A136" s="85">
        <v>136</v>
      </c>
      <c r="B136" s="93"/>
      <c r="C136" s="11"/>
      <c r="D136" s="8" t="s">
        <v>799</v>
      </c>
      <c r="E136" s="8" t="s">
        <v>839</v>
      </c>
      <c r="F136" s="8" t="s">
        <v>846</v>
      </c>
      <c r="G136" s="8" t="s">
        <v>921</v>
      </c>
      <c r="H136" s="8"/>
      <c r="I136" s="174"/>
      <c r="J136" s="8" t="s">
        <v>684</v>
      </c>
      <c r="K136" s="8" t="s">
        <v>1352</v>
      </c>
      <c r="L136" s="8" t="s">
        <v>1354</v>
      </c>
      <c r="M136" s="8" t="str">
        <f>CONCATENATE(K136," ",L136)</f>
        <v>ASCAZ HOSPITALARIA</v>
      </c>
      <c r="N136" s="8" t="s">
        <v>176</v>
      </c>
      <c r="O136" s="102" t="s">
        <v>1262</v>
      </c>
      <c r="P136" s="102" t="s">
        <v>476</v>
      </c>
      <c r="Q136" s="102" t="s">
        <v>475</v>
      </c>
      <c r="R136" s="8" t="s">
        <v>2</v>
      </c>
      <c r="S136" s="8" t="s">
        <v>1284</v>
      </c>
      <c r="T136" s="8" t="s">
        <v>753</v>
      </c>
      <c r="U136" s="4">
        <v>20495</v>
      </c>
      <c r="V136" s="10">
        <f ca="1">YEAR($V$1)-YEAR(U136)</f>
        <v>62</v>
      </c>
      <c r="W136" s="8" t="s">
        <v>1</v>
      </c>
      <c r="X136" s="102" t="s">
        <v>474</v>
      </c>
      <c r="Y136" s="8">
        <v>6</v>
      </c>
      <c r="Z136" s="8" t="s">
        <v>473</v>
      </c>
      <c r="AA136" s="8" t="s">
        <v>0</v>
      </c>
      <c r="AB136" s="8" t="s">
        <v>35</v>
      </c>
      <c r="AC136" s="8">
        <v>33213</v>
      </c>
      <c r="AD136" s="8">
        <v>697109771</v>
      </c>
      <c r="AE136" s="103" t="s">
        <v>1081</v>
      </c>
      <c r="AF136" s="8" t="s">
        <v>317</v>
      </c>
      <c r="AG136" s="8" t="s">
        <v>472</v>
      </c>
      <c r="AH136" s="8">
        <v>5301</v>
      </c>
      <c r="AI136" s="8">
        <v>97</v>
      </c>
      <c r="AJ136" s="8">
        <v>4210001432</v>
      </c>
      <c r="AK136" s="98"/>
      <c r="AL136" s="11"/>
      <c r="AM136" s="104">
        <v>10</v>
      </c>
    </row>
    <row r="137" spans="1:39" ht="15" customHeight="1" x14ac:dyDescent="0.25">
      <c r="A137" s="85">
        <v>137</v>
      </c>
      <c r="B137" s="93"/>
      <c r="C137" s="94">
        <v>45</v>
      </c>
      <c r="D137" s="95"/>
      <c r="E137" s="9"/>
      <c r="F137" s="9"/>
      <c r="G137" s="9"/>
      <c r="H137" s="9"/>
      <c r="I137" s="9"/>
      <c r="J137" s="9"/>
      <c r="K137" s="9"/>
      <c r="L137" s="9"/>
      <c r="M137" s="106"/>
      <c r="N137" s="9"/>
      <c r="O137" s="107"/>
      <c r="P137" s="107"/>
      <c r="Q137" s="107"/>
      <c r="R137" s="9"/>
      <c r="S137" s="9"/>
      <c r="T137" s="9"/>
      <c r="U137" s="6"/>
      <c r="V137" s="9"/>
      <c r="W137" s="9"/>
      <c r="X137" s="107"/>
      <c r="Y137" s="9"/>
      <c r="Z137" s="9"/>
      <c r="AA137" s="9"/>
      <c r="AB137" s="9"/>
      <c r="AC137" s="9"/>
      <c r="AD137" s="9"/>
      <c r="AE137" s="108"/>
      <c r="AF137" s="9"/>
      <c r="AG137" s="9"/>
      <c r="AH137" s="9"/>
      <c r="AI137" s="9"/>
      <c r="AJ137" s="9"/>
      <c r="AK137" s="98"/>
      <c r="AL137" s="99">
        <v>30</v>
      </c>
      <c r="AM137" s="99"/>
    </row>
    <row r="138" spans="1:39" ht="15" customHeight="1" x14ac:dyDescent="0.25">
      <c r="A138" s="85">
        <v>138</v>
      </c>
      <c r="B138" s="93"/>
      <c r="C138" s="11"/>
      <c r="D138" s="8" t="s">
        <v>800</v>
      </c>
      <c r="E138" s="8" t="s">
        <v>839</v>
      </c>
      <c r="F138" s="8" t="s">
        <v>846</v>
      </c>
      <c r="G138" s="8" t="s">
        <v>921</v>
      </c>
      <c r="H138" s="8"/>
      <c r="I138" s="174"/>
      <c r="J138" s="8" t="s">
        <v>684</v>
      </c>
      <c r="K138" s="8" t="s">
        <v>1352</v>
      </c>
      <c r="L138" s="8" t="s">
        <v>1354</v>
      </c>
      <c r="M138" s="8" t="str">
        <f>CONCATENATE(K138," ",L138)</f>
        <v>ASCAZ HOSPITALARIA</v>
      </c>
      <c r="N138" s="8" t="s">
        <v>176</v>
      </c>
      <c r="O138" s="102" t="s">
        <v>471</v>
      </c>
      <c r="P138" s="102" t="s">
        <v>73</v>
      </c>
      <c r="Q138" s="102" t="s">
        <v>470</v>
      </c>
      <c r="R138" s="8" t="s">
        <v>2</v>
      </c>
      <c r="S138" s="8" t="s">
        <v>469</v>
      </c>
      <c r="T138" s="8" t="s">
        <v>753</v>
      </c>
      <c r="U138" s="4">
        <v>29561</v>
      </c>
      <c r="V138" s="10">
        <f ca="1">YEAR($V$1)-YEAR(U138)</f>
        <v>38</v>
      </c>
      <c r="W138" s="8" t="s">
        <v>1</v>
      </c>
      <c r="X138" s="102" t="s">
        <v>468</v>
      </c>
      <c r="Y138" s="8">
        <v>57</v>
      </c>
      <c r="Z138" s="8" t="s">
        <v>467</v>
      </c>
      <c r="AA138" s="8" t="s">
        <v>0</v>
      </c>
      <c r="AB138" s="8" t="s">
        <v>35</v>
      </c>
      <c r="AC138" s="8">
        <v>33210</v>
      </c>
      <c r="AD138" s="8">
        <v>620397417</v>
      </c>
      <c r="AE138" s="103" t="s">
        <v>1082</v>
      </c>
      <c r="AF138" s="8" t="s">
        <v>465</v>
      </c>
      <c r="AG138" s="8" t="s">
        <v>14</v>
      </c>
      <c r="AH138" s="8">
        <v>5066</v>
      </c>
      <c r="AI138" s="8">
        <v>50</v>
      </c>
      <c r="AJ138" s="8" t="s">
        <v>464</v>
      </c>
      <c r="AK138" s="98"/>
      <c r="AL138" s="11"/>
      <c r="AM138" s="104">
        <v>10</v>
      </c>
    </row>
    <row r="139" spans="1:39" ht="15" customHeight="1" x14ac:dyDescent="0.25">
      <c r="A139" s="85">
        <v>139</v>
      </c>
      <c r="B139" s="93"/>
      <c r="C139" s="94">
        <v>46</v>
      </c>
      <c r="D139" s="95"/>
      <c r="E139" s="9"/>
      <c r="F139" s="9"/>
      <c r="G139" s="9"/>
      <c r="H139" s="9"/>
      <c r="I139" s="9"/>
      <c r="J139" s="9"/>
      <c r="K139" s="9"/>
      <c r="L139" s="9"/>
      <c r="M139" s="106"/>
      <c r="N139" s="9"/>
      <c r="O139" s="107"/>
      <c r="P139" s="107"/>
      <c r="Q139" s="107"/>
      <c r="R139" s="9"/>
      <c r="S139" s="9"/>
      <c r="T139" s="9"/>
      <c r="U139" s="6"/>
      <c r="V139" s="9"/>
      <c r="W139" s="9"/>
      <c r="X139" s="107"/>
      <c r="Y139" s="9"/>
      <c r="Z139" s="9"/>
      <c r="AA139" s="9"/>
      <c r="AB139" s="9"/>
      <c r="AC139" s="9"/>
      <c r="AD139" s="9"/>
      <c r="AE139" s="108"/>
      <c r="AF139" s="9"/>
      <c r="AG139" s="9"/>
      <c r="AH139" s="9"/>
      <c r="AI139" s="9"/>
      <c r="AJ139" s="9"/>
      <c r="AK139" s="98"/>
      <c r="AL139" s="99">
        <v>30</v>
      </c>
      <c r="AM139" s="99"/>
    </row>
    <row r="140" spans="1:39" ht="15" customHeight="1" x14ac:dyDescent="0.25">
      <c r="A140" s="85">
        <v>140</v>
      </c>
      <c r="B140" s="93"/>
      <c r="C140" s="11"/>
      <c r="D140" s="8" t="s">
        <v>801</v>
      </c>
      <c r="E140" s="8" t="s">
        <v>839</v>
      </c>
      <c r="F140" s="8"/>
      <c r="G140" s="8" t="s">
        <v>921</v>
      </c>
      <c r="H140" s="8"/>
      <c r="I140" s="174"/>
      <c r="J140" s="8" t="s">
        <v>684</v>
      </c>
      <c r="K140" s="8" t="s">
        <v>1352</v>
      </c>
      <c r="L140" s="8" t="s">
        <v>1354</v>
      </c>
      <c r="M140" s="8" t="str">
        <f t="shared" ref="M140:M141" si="56">CONCATENATE(K140," ",L140)</f>
        <v>ASCAZ HOSPITALARIA</v>
      </c>
      <c r="N140" s="8" t="s">
        <v>176</v>
      </c>
      <c r="O140" s="102" t="s">
        <v>463</v>
      </c>
      <c r="P140" s="102" t="s">
        <v>340</v>
      </c>
      <c r="Q140" s="102" t="s">
        <v>462</v>
      </c>
      <c r="R140" s="8" t="s">
        <v>2</v>
      </c>
      <c r="S140" s="8" t="s">
        <v>461</v>
      </c>
      <c r="T140" s="8" t="s">
        <v>753</v>
      </c>
      <c r="U140" s="4">
        <v>28846</v>
      </c>
      <c r="V140" s="10">
        <f t="shared" ref="V140:V141" ca="1" si="57">YEAR($V$1)-YEAR(U140)</f>
        <v>40</v>
      </c>
      <c r="W140" s="8" t="s">
        <v>367</v>
      </c>
      <c r="X140" s="102" t="s">
        <v>460</v>
      </c>
      <c r="Y140" s="8">
        <v>900</v>
      </c>
      <c r="Z140" s="8" t="s">
        <v>459</v>
      </c>
      <c r="AA140" s="8" t="s">
        <v>0</v>
      </c>
      <c r="AB140" s="8" t="s">
        <v>35</v>
      </c>
      <c r="AC140" s="8">
        <v>33209</v>
      </c>
      <c r="AD140" s="8">
        <v>636837335</v>
      </c>
      <c r="AE140" s="103" t="s">
        <v>1083</v>
      </c>
      <c r="AF140" s="8" t="s">
        <v>457</v>
      </c>
      <c r="AG140" s="8">
        <v>1465</v>
      </c>
      <c r="AH140" s="8" t="s">
        <v>88</v>
      </c>
      <c r="AI140" s="8">
        <v>91</v>
      </c>
      <c r="AJ140" s="8">
        <v>1723325519</v>
      </c>
      <c r="AK140" s="98"/>
      <c r="AL140" s="11"/>
      <c r="AM140" s="104">
        <v>10</v>
      </c>
    </row>
    <row r="141" spans="1:39" ht="15" customHeight="1" x14ac:dyDescent="0.25">
      <c r="A141" s="85">
        <v>141</v>
      </c>
      <c r="B141" s="93"/>
      <c r="C141" s="11"/>
      <c r="D141" s="8" t="s">
        <v>802</v>
      </c>
      <c r="E141" s="8" t="s">
        <v>839</v>
      </c>
      <c r="F141" s="8"/>
      <c r="G141" s="8" t="s">
        <v>921</v>
      </c>
      <c r="H141" s="8"/>
      <c r="I141" s="174"/>
      <c r="J141" s="8" t="s">
        <v>684</v>
      </c>
      <c r="K141" s="8" t="s">
        <v>1352</v>
      </c>
      <c r="L141" s="8" t="s">
        <v>1354</v>
      </c>
      <c r="M141" s="8" t="str">
        <f t="shared" si="56"/>
        <v>ASCAZ HOSPITALARIA</v>
      </c>
      <c r="N141" s="8" t="s">
        <v>48</v>
      </c>
      <c r="O141" s="102" t="s">
        <v>456</v>
      </c>
      <c r="P141" s="102" t="s">
        <v>455</v>
      </c>
      <c r="Q141" s="102" t="s">
        <v>454</v>
      </c>
      <c r="R141" s="8"/>
      <c r="S141" s="8"/>
      <c r="T141" s="8" t="s">
        <v>772</v>
      </c>
      <c r="U141" s="4">
        <v>29754</v>
      </c>
      <c r="V141" s="10">
        <f t="shared" ca="1" si="57"/>
        <v>37</v>
      </c>
      <c r="W141" s="8"/>
      <c r="X141" s="102"/>
      <c r="Y141" s="8"/>
      <c r="Z141" s="8"/>
      <c r="AA141" s="8"/>
      <c r="AB141" s="8"/>
      <c r="AC141" s="8"/>
      <c r="AD141" s="8"/>
      <c r="AE141" s="103"/>
      <c r="AF141" s="8"/>
      <c r="AG141" s="8"/>
      <c r="AH141" s="8"/>
      <c r="AI141" s="8"/>
      <c r="AJ141" s="8"/>
      <c r="AK141" s="98"/>
      <c r="AL141" s="11"/>
      <c r="AM141" s="104">
        <v>10</v>
      </c>
    </row>
    <row r="142" spans="1:39" ht="15" customHeight="1" x14ac:dyDescent="0.25">
      <c r="A142" s="85">
        <v>142</v>
      </c>
      <c r="B142" s="93"/>
      <c r="C142" s="94">
        <v>47</v>
      </c>
      <c r="D142" s="95"/>
      <c r="E142" s="9"/>
      <c r="F142" s="9"/>
      <c r="G142" s="9"/>
      <c r="H142" s="9"/>
      <c r="I142" s="9"/>
      <c r="J142" s="9"/>
      <c r="K142" s="9"/>
      <c r="L142" s="9"/>
      <c r="M142" s="106"/>
      <c r="N142" s="9"/>
      <c r="O142" s="107"/>
      <c r="P142" s="107"/>
      <c r="Q142" s="107"/>
      <c r="R142" s="9"/>
      <c r="S142" s="9"/>
      <c r="T142" s="9"/>
      <c r="U142" s="6"/>
      <c r="V142" s="9"/>
      <c r="W142" s="9"/>
      <c r="X142" s="107"/>
      <c r="Y142" s="9"/>
      <c r="Z142" s="9"/>
      <c r="AA142" s="9"/>
      <c r="AB142" s="9"/>
      <c r="AC142" s="9"/>
      <c r="AD142" s="9"/>
      <c r="AE142" s="108"/>
      <c r="AF142" s="9"/>
      <c r="AG142" s="9"/>
      <c r="AH142" s="9"/>
      <c r="AI142" s="9"/>
      <c r="AJ142" s="9"/>
      <c r="AK142" s="98"/>
      <c r="AL142" s="99">
        <v>30</v>
      </c>
      <c r="AM142" s="99"/>
    </row>
    <row r="143" spans="1:39" ht="15" customHeight="1" x14ac:dyDescent="0.25">
      <c r="A143" s="85">
        <v>143</v>
      </c>
      <c r="B143" s="93"/>
      <c r="C143" s="11"/>
      <c r="D143" s="8" t="s">
        <v>803</v>
      </c>
      <c r="E143" s="8" t="s">
        <v>839</v>
      </c>
      <c r="F143" s="8"/>
      <c r="G143" s="8" t="s">
        <v>921</v>
      </c>
      <c r="H143" s="8"/>
      <c r="I143" s="174"/>
      <c r="J143" s="8" t="s">
        <v>684</v>
      </c>
      <c r="K143" s="8" t="s">
        <v>1352</v>
      </c>
      <c r="L143" s="8" t="s">
        <v>1354</v>
      </c>
      <c r="M143" s="8" t="str">
        <f t="shared" ref="M143:M144" si="58">CONCATENATE(K143," ",L143)</f>
        <v>ASCAZ HOSPITALARIA</v>
      </c>
      <c r="N143" s="8" t="s">
        <v>176</v>
      </c>
      <c r="O143" s="102" t="s">
        <v>1084</v>
      </c>
      <c r="P143" s="102" t="s">
        <v>199</v>
      </c>
      <c r="Q143" s="102" t="s">
        <v>1085</v>
      </c>
      <c r="R143" s="8" t="s">
        <v>2</v>
      </c>
      <c r="S143" s="8" t="s">
        <v>453</v>
      </c>
      <c r="T143" s="8" t="s">
        <v>772</v>
      </c>
      <c r="U143" s="4">
        <v>20821</v>
      </c>
      <c r="V143" s="10">
        <f t="shared" ref="V143:V144" ca="1" si="59">YEAR($V$1)-YEAR(U143)</f>
        <v>61</v>
      </c>
      <c r="W143" s="8" t="s">
        <v>1</v>
      </c>
      <c r="X143" s="102" t="s">
        <v>1086</v>
      </c>
      <c r="Y143" s="8">
        <v>21</v>
      </c>
      <c r="Z143" s="8" t="s">
        <v>452</v>
      </c>
      <c r="AA143" s="8" t="s">
        <v>0</v>
      </c>
      <c r="AB143" s="8" t="s">
        <v>8</v>
      </c>
      <c r="AC143" s="8">
        <v>33011</v>
      </c>
      <c r="AD143" s="8">
        <v>619000607</v>
      </c>
      <c r="AE143" s="103" t="s">
        <v>1087</v>
      </c>
      <c r="AF143" s="8" t="s">
        <v>363</v>
      </c>
      <c r="AG143" s="8" t="s">
        <v>450</v>
      </c>
      <c r="AH143" s="8" t="s">
        <v>449</v>
      </c>
      <c r="AI143" s="8">
        <v>14</v>
      </c>
      <c r="AJ143" s="8" t="s">
        <v>448</v>
      </c>
      <c r="AK143" s="98"/>
      <c r="AL143" s="11"/>
      <c r="AM143" s="104">
        <v>10</v>
      </c>
    </row>
    <row r="144" spans="1:39" ht="15" customHeight="1" x14ac:dyDescent="0.25">
      <c r="A144" s="85">
        <v>144</v>
      </c>
      <c r="B144" s="93"/>
      <c r="C144" s="11"/>
      <c r="D144" s="8" t="s">
        <v>804</v>
      </c>
      <c r="E144" s="8" t="s">
        <v>839</v>
      </c>
      <c r="F144" s="8"/>
      <c r="G144" s="8" t="s">
        <v>921</v>
      </c>
      <c r="H144" s="8"/>
      <c r="I144" s="174"/>
      <c r="J144" s="8" t="s">
        <v>684</v>
      </c>
      <c r="K144" s="8" t="s">
        <v>1352</v>
      </c>
      <c r="L144" s="8" t="s">
        <v>1354</v>
      </c>
      <c r="M144" s="8" t="str">
        <f t="shared" si="58"/>
        <v>ASCAZ HOSPITALARIA</v>
      </c>
      <c r="N144" s="8" t="s">
        <v>48</v>
      </c>
      <c r="O144" s="102" t="s">
        <v>1248</v>
      </c>
      <c r="P144" s="102" t="s">
        <v>460</v>
      </c>
      <c r="Q144" s="102" t="s">
        <v>199</v>
      </c>
      <c r="R144" s="8" t="s">
        <v>2</v>
      </c>
      <c r="S144" s="8" t="s">
        <v>447</v>
      </c>
      <c r="T144" s="8" t="s">
        <v>753</v>
      </c>
      <c r="U144" s="4">
        <v>21471</v>
      </c>
      <c r="V144" s="10">
        <f t="shared" ca="1" si="59"/>
        <v>60</v>
      </c>
      <c r="W144" s="8"/>
      <c r="X144" s="102"/>
      <c r="Y144" s="8"/>
      <c r="Z144" s="8"/>
      <c r="AA144" s="8"/>
      <c r="AB144" s="8"/>
      <c r="AC144" s="8"/>
      <c r="AD144" s="8"/>
      <c r="AE144" s="103"/>
      <c r="AF144" s="8"/>
      <c r="AG144" s="8"/>
      <c r="AH144" s="8"/>
      <c r="AI144" s="8"/>
      <c r="AJ144" s="8"/>
      <c r="AK144" s="98"/>
      <c r="AL144" s="11"/>
      <c r="AM144" s="104">
        <v>10</v>
      </c>
    </row>
    <row r="145" spans="1:39" ht="15" customHeight="1" x14ac:dyDescent="0.25">
      <c r="A145" s="85">
        <v>145</v>
      </c>
      <c r="B145" s="93"/>
      <c r="C145" s="94">
        <v>48</v>
      </c>
      <c r="D145" s="95"/>
      <c r="E145" s="9"/>
      <c r="F145" s="9"/>
      <c r="G145" s="9"/>
      <c r="H145" s="9"/>
      <c r="I145" s="9"/>
      <c r="J145" s="9"/>
      <c r="K145" s="9"/>
      <c r="L145" s="9"/>
      <c r="M145" s="106"/>
      <c r="N145" s="9"/>
      <c r="O145" s="107"/>
      <c r="P145" s="107"/>
      <c r="Q145" s="107"/>
      <c r="R145" s="9"/>
      <c r="S145" s="9"/>
      <c r="T145" s="9"/>
      <c r="U145" s="6"/>
      <c r="V145" s="9"/>
      <c r="W145" s="9"/>
      <c r="X145" s="107"/>
      <c r="Y145" s="9"/>
      <c r="Z145" s="9"/>
      <c r="AA145" s="9"/>
      <c r="AB145" s="9"/>
      <c r="AC145" s="9"/>
      <c r="AD145" s="9"/>
      <c r="AE145" s="108"/>
      <c r="AF145" s="9"/>
      <c r="AG145" s="9"/>
      <c r="AH145" s="9"/>
      <c r="AI145" s="9"/>
      <c r="AJ145" s="9"/>
      <c r="AK145" s="98"/>
      <c r="AL145" s="99">
        <v>30</v>
      </c>
      <c r="AM145" s="99"/>
    </row>
    <row r="146" spans="1:39" ht="15" customHeight="1" x14ac:dyDescent="0.25">
      <c r="A146" s="85">
        <v>146</v>
      </c>
      <c r="B146" s="93"/>
      <c r="C146" s="11"/>
      <c r="D146" s="8" t="s">
        <v>805</v>
      </c>
      <c r="E146" s="8" t="s">
        <v>839</v>
      </c>
      <c r="F146" s="8"/>
      <c r="G146" s="8" t="s">
        <v>921</v>
      </c>
      <c r="H146" s="8"/>
      <c r="I146" s="174"/>
      <c r="J146" s="8" t="s">
        <v>684</v>
      </c>
      <c r="K146" s="8" t="s">
        <v>1352</v>
      </c>
      <c r="L146" s="8" t="s">
        <v>1354</v>
      </c>
      <c r="M146" s="8" t="str">
        <f>CONCATENATE(K146," ",L146)</f>
        <v>ASCAZ HOSPITALARIA</v>
      </c>
      <c r="N146" s="8" t="s">
        <v>176</v>
      </c>
      <c r="O146" s="102" t="s">
        <v>540</v>
      </c>
      <c r="P146" s="102" t="s">
        <v>268</v>
      </c>
      <c r="Q146" s="102" t="s">
        <v>73</v>
      </c>
      <c r="R146" s="8" t="s">
        <v>2</v>
      </c>
      <c r="S146" s="8" t="s">
        <v>1088</v>
      </c>
      <c r="T146" s="8" t="s">
        <v>772</v>
      </c>
      <c r="U146" s="4">
        <v>29453</v>
      </c>
      <c r="V146" s="10">
        <f ca="1">YEAR($V$1)-YEAR(U146)</f>
        <v>38</v>
      </c>
      <c r="W146" s="8" t="s">
        <v>1</v>
      </c>
      <c r="X146" s="102" t="s">
        <v>1089</v>
      </c>
      <c r="Y146" s="8">
        <v>4</v>
      </c>
      <c r="Z146" s="8" t="s">
        <v>446</v>
      </c>
      <c r="AA146" s="8" t="s">
        <v>0</v>
      </c>
      <c r="AB146" s="8" t="s">
        <v>8</v>
      </c>
      <c r="AC146" s="8">
        <v>33011</v>
      </c>
      <c r="AD146" s="8">
        <v>647705123</v>
      </c>
      <c r="AE146" s="103" t="s">
        <v>1090</v>
      </c>
      <c r="AF146" s="8" t="s">
        <v>1234</v>
      </c>
      <c r="AG146" s="8" t="s">
        <v>32</v>
      </c>
      <c r="AH146" s="8">
        <v>4671</v>
      </c>
      <c r="AI146" s="8">
        <v>33</v>
      </c>
      <c r="AJ146" s="8" t="s">
        <v>445</v>
      </c>
      <c r="AK146" s="98"/>
      <c r="AL146" s="11"/>
      <c r="AM146" s="104">
        <v>10</v>
      </c>
    </row>
    <row r="147" spans="1:39" ht="15" customHeight="1" x14ac:dyDescent="0.25">
      <c r="A147" s="85">
        <v>147</v>
      </c>
      <c r="B147" s="93"/>
      <c r="C147" s="94">
        <v>49</v>
      </c>
      <c r="D147" s="95"/>
      <c r="E147" s="9"/>
      <c r="F147" s="9"/>
      <c r="G147" s="9"/>
      <c r="H147" s="9"/>
      <c r="I147" s="9"/>
      <c r="J147" s="9"/>
      <c r="K147" s="9"/>
      <c r="L147" s="9"/>
      <c r="M147" s="106"/>
      <c r="N147" s="9"/>
      <c r="O147" s="107"/>
      <c r="P147" s="107"/>
      <c r="Q147" s="107"/>
      <c r="R147" s="9"/>
      <c r="S147" s="9"/>
      <c r="T147" s="9"/>
      <c r="U147" s="6"/>
      <c r="V147" s="9"/>
      <c r="W147" s="9"/>
      <c r="X147" s="107"/>
      <c r="Y147" s="9"/>
      <c r="Z147" s="9"/>
      <c r="AA147" s="9"/>
      <c r="AB147" s="9"/>
      <c r="AC147" s="9"/>
      <c r="AD147" s="9"/>
      <c r="AE147" s="108"/>
      <c r="AF147" s="9"/>
      <c r="AG147" s="9"/>
      <c r="AH147" s="9"/>
      <c r="AI147" s="9"/>
      <c r="AJ147" s="9"/>
      <c r="AK147" s="98"/>
      <c r="AL147" s="99">
        <v>30</v>
      </c>
      <c r="AM147" s="99"/>
    </row>
    <row r="148" spans="1:39" ht="15" customHeight="1" x14ac:dyDescent="0.25">
      <c r="A148" s="85">
        <v>148</v>
      </c>
      <c r="B148" s="93"/>
      <c r="C148" s="11"/>
      <c r="D148" s="8" t="s">
        <v>806</v>
      </c>
      <c r="E148" s="8" t="s">
        <v>839</v>
      </c>
      <c r="F148" s="8"/>
      <c r="G148" s="8" t="s">
        <v>921</v>
      </c>
      <c r="H148" s="8"/>
      <c r="I148" s="174"/>
      <c r="J148" s="8" t="s">
        <v>684</v>
      </c>
      <c r="K148" s="8" t="s">
        <v>1352</v>
      </c>
      <c r="L148" s="8" t="s">
        <v>1354</v>
      </c>
      <c r="M148" s="8" t="str">
        <f t="shared" ref="M148:M149" si="60">CONCATENATE(K148," ",L148)</f>
        <v>ASCAZ HOSPITALARIA</v>
      </c>
      <c r="N148" s="8" t="s">
        <v>176</v>
      </c>
      <c r="O148" s="102" t="s">
        <v>175</v>
      </c>
      <c r="P148" s="102" t="s">
        <v>444</v>
      </c>
      <c r="Q148" s="102" t="s">
        <v>1271</v>
      </c>
      <c r="R148" s="8"/>
      <c r="S148" s="8" t="s">
        <v>443</v>
      </c>
      <c r="T148" s="8" t="s">
        <v>772</v>
      </c>
      <c r="U148" s="4">
        <v>23898</v>
      </c>
      <c r="V148" s="10">
        <f t="shared" ref="V148:V149" ca="1" si="61">YEAR($V$1)-YEAR(U148)</f>
        <v>53</v>
      </c>
      <c r="W148" s="8" t="s">
        <v>442</v>
      </c>
      <c r="X148" s="102" t="s">
        <v>441</v>
      </c>
      <c r="Y148" s="8" t="s">
        <v>440</v>
      </c>
      <c r="Z148" s="8"/>
      <c r="AA148" s="8" t="s">
        <v>0</v>
      </c>
      <c r="AB148" s="8" t="s">
        <v>35</v>
      </c>
      <c r="AC148" s="8">
        <v>33205</v>
      </c>
      <c r="AD148" s="8">
        <v>617354915</v>
      </c>
      <c r="AE148" s="103" t="s">
        <v>1091</v>
      </c>
      <c r="AF148" s="8" t="s">
        <v>219</v>
      </c>
      <c r="AG148" s="8">
        <v>2100</v>
      </c>
      <c r="AH148" s="8">
        <v>1452</v>
      </c>
      <c r="AI148" s="8">
        <v>84</v>
      </c>
      <c r="AJ148" s="8" t="s">
        <v>438</v>
      </c>
      <c r="AK148" s="98"/>
      <c r="AL148" s="11"/>
      <c r="AM148" s="104">
        <v>10</v>
      </c>
    </row>
    <row r="149" spans="1:39" ht="15" customHeight="1" x14ac:dyDescent="0.25">
      <c r="A149" s="85">
        <v>149</v>
      </c>
      <c r="B149" s="93"/>
      <c r="C149" s="11"/>
      <c r="D149" s="8" t="s">
        <v>807</v>
      </c>
      <c r="E149" s="8" t="s">
        <v>839</v>
      </c>
      <c r="F149" s="8"/>
      <c r="G149" s="8" t="s">
        <v>921</v>
      </c>
      <c r="H149" s="8"/>
      <c r="I149" s="174"/>
      <c r="J149" s="8" t="s">
        <v>684</v>
      </c>
      <c r="K149" s="8" t="s">
        <v>1352</v>
      </c>
      <c r="L149" s="8" t="s">
        <v>1354</v>
      </c>
      <c r="M149" s="8" t="str">
        <f t="shared" si="60"/>
        <v>ASCAZ HOSPITALARIA</v>
      </c>
      <c r="N149" s="8" t="s">
        <v>48</v>
      </c>
      <c r="O149" s="102" t="s">
        <v>437</v>
      </c>
      <c r="P149" s="102" t="s">
        <v>462</v>
      </c>
      <c r="Q149" s="102" t="s">
        <v>436</v>
      </c>
      <c r="R149" s="8"/>
      <c r="S149" s="8" t="s">
        <v>435</v>
      </c>
      <c r="T149" s="8" t="s">
        <v>753</v>
      </c>
      <c r="U149" s="4">
        <v>25404</v>
      </c>
      <c r="V149" s="10">
        <f t="shared" ca="1" si="61"/>
        <v>49</v>
      </c>
      <c r="W149" s="8"/>
      <c r="X149" s="102"/>
      <c r="Y149" s="8"/>
      <c r="Z149" s="8"/>
      <c r="AA149" s="8"/>
      <c r="AB149" s="8"/>
      <c r="AC149" s="8"/>
      <c r="AD149" s="8"/>
      <c r="AE149" s="103"/>
      <c r="AF149" s="8"/>
      <c r="AG149" s="8"/>
      <c r="AH149" s="8"/>
      <c r="AI149" s="8"/>
      <c r="AJ149" s="8"/>
      <c r="AK149" s="98"/>
      <c r="AL149" s="11"/>
      <c r="AM149" s="104">
        <v>10</v>
      </c>
    </row>
    <row r="150" spans="1:39" ht="15" customHeight="1" x14ac:dyDescent="0.25">
      <c r="A150" s="85">
        <v>150</v>
      </c>
      <c r="B150" s="93"/>
      <c r="C150" s="94">
        <v>50</v>
      </c>
      <c r="D150" s="95"/>
      <c r="E150" s="9"/>
      <c r="F150" s="9"/>
      <c r="G150" s="9"/>
      <c r="H150" s="9"/>
      <c r="I150" s="9"/>
      <c r="J150" s="9"/>
      <c r="K150" s="9"/>
      <c r="L150" s="9"/>
      <c r="M150" s="106"/>
      <c r="N150" s="9"/>
      <c r="O150" s="107"/>
      <c r="P150" s="107"/>
      <c r="Q150" s="107"/>
      <c r="R150" s="9"/>
      <c r="S150" s="9"/>
      <c r="T150" s="9"/>
      <c r="U150" s="6"/>
      <c r="V150" s="9"/>
      <c r="W150" s="9"/>
      <c r="X150" s="107"/>
      <c r="Y150" s="9"/>
      <c r="Z150" s="9"/>
      <c r="AA150" s="9"/>
      <c r="AB150" s="9"/>
      <c r="AC150" s="9"/>
      <c r="AD150" s="9"/>
      <c r="AE150" s="108"/>
      <c r="AF150" s="9"/>
      <c r="AG150" s="9"/>
      <c r="AH150" s="9"/>
      <c r="AI150" s="9"/>
      <c r="AJ150" s="9"/>
      <c r="AK150" s="98"/>
      <c r="AL150" s="99">
        <v>30</v>
      </c>
      <c r="AM150" s="99"/>
    </row>
    <row r="151" spans="1:39" ht="15" customHeight="1" x14ac:dyDescent="0.25">
      <c r="A151" s="85">
        <v>151</v>
      </c>
      <c r="B151" s="93"/>
      <c r="C151" s="11"/>
      <c r="D151" s="8" t="s">
        <v>808</v>
      </c>
      <c r="E151" s="8" t="s">
        <v>839</v>
      </c>
      <c r="F151" s="8" t="s">
        <v>1334</v>
      </c>
      <c r="G151" s="8" t="s">
        <v>921</v>
      </c>
      <c r="H151" s="8"/>
      <c r="I151" s="174"/>
      <c r="J151" s="8" t="s">
        <v>684</v>
      </c>
      <c r="K151" s="8" t="s">
        <v>1352</v>
      </c>
      <c r="L151" s="8" t="s">
        <v>1354</v>
      </c>
      <c r="M151" s="8" t="str">
        <f>CONCATENATE(K151," ",L151)</f>
        <v>ASCAZ HOSPITALARIA</v>
      </c>
      <c r="N151" s="8" t="s">
        <v>176</v>
      </c>
      <c r="O151" s="102" t="s">
        <v>1092</v>
      </c>
      <c r="P151" s="102" t="s">
        <v>1093</v>
      </c>
      <c r="Q151" s="102" t="s">
        <v>73</v>
      </c>
      <c r="R151" s="8" t="s">
        <v>2</v>
      </c>
      <c r="S151" s="8" t="s">
        <v>434</v>
      </c>
      <c r="T151" s="8" t="s">
        <v>772</v>
      </c>
      <c r="U151" s="4">
        <v>25797</v>
      </c>
      <c r="V151" s="10">
        <f ca="1">YEAR($V$1)-YEAR(U151)</f>
        <v>48</v>
      </c>
      <c r="W151" s="8" t="s">
        <v>1094</v>
      </c>
      <c r="X151" s="102" t="s">
        <v>8</v>
      </c>
      <c r="Y151" s="8">
        <v>9</v>
      </c>
      <c r="Z151" s="8" t="s">
        <v>433</v>
      </c>
      <c r="AA151" s="8" t="s">
        <v>0</v>
      </c>
      <c r="AB151" s="8" t="s">
        <v>35</v>
      </c>
      <c r="AC151" s="8">
        <v>33211</v>
      </c>
      <c r="AD151" s="8">
        <v>675287503</v>
      </c>
      <c r="AE151" s="103" t="s">
        <v>1095</v>
      </c>
      <c r="AF151" s="8" t="s">
        <v>431</v>
      </c>
      <c r="AG151" s="8" t="s">
        <v>19</v>
      </c>
      <c r="AH151" s="8">
        <v>1752</v>
      </c>
      <c r="AI151" s="8">
        <v>31</v>
      </c>
      <c r="AJ151" s="8">
        <v>2790017911</v>
      </c>
      <c r="AK151" s="98"/>
      <c r="AL151" s="11"/>
      <c r="AM151" s="104">
        <v>10</v>
      </c>
    </row>
    <row r="152" spans="1:39" ht="15" customHeight="1" x14ac:dyDescent="0.25">
      <c r="A152" s="85">
        <v>152</v>
      </c>
      <c r="B152" s="93"/>
      <c r="C152" s="94">
        <v>51</v>
      </c>
      <c r="D152" s="95"/>
      <c r="E152" s="9"/>
      <c r="F152" s="9"/>
      <c r="G152" s="9"/>
      <c r="H152" s="9"/>
      <c r="I152" s="9"/>
      <c r="J152" s="9"/>
      <c r="K152" s="9"/>
      <c r="L152" s="9"/>
      <c r="M152" s="106"/>
      <c r="N152" s="9"/>
      <c r="O152" s="107"/>
      <c r="P152" s="107"/>
      <c r="Q152" s="107"/>
      <c r="R152" s="9"/>
      <c r="S152" s="9"/>
      <c r="T152" s="9"/>
      <c r="U152" s="6"/>
      <c r="V152" s="9"/>
      <c r="W152" s="9"/>
      <c r="X152" s="107"/>
      <c r="Y152" s="9"/>
      <c r="Z152" s="9"/>
      <c r="AA152" s="9"/>
      <c r="AB152" s="9"/>
      <c r="AC152" s="9"/>
      <c r="AD152" s="9"/>
      <c r="AE152" s="108"/>
      <c r="AF152" s="9"/>
      <c r="AG152" s="9"/>
      <c r="AH152" s="9"/>
      <c r="AI152" s="9"/>
      <c r="AJ152" s="9"/>
      <c r="AK152" s="98"/>
      <c r="AL152" s="99">
        <v>30</v>
      </c>
      <c r="AM152" s="99"/>
    </row>
    <row r="153" spans="1:39" ht="15" customHeight="1" x14ac:dyDescent="0.25">
      <c r="A153" s="85">
        <v>153</v>
      </c>
      <c r="B153" s="93"/>
      <c r="C153" s="11"/>
      <c r="D153" s="8" t="s">
        <v>809</v>
      </c>
      <c r="E153" s="8" t="s">
        <v>839</v>
      </c>
      <c r="F153" s="8"/>
      <c r="G153" s="8" t="s">
        <v>921</v>
      </c>
      <c r="H153" s="8"/>
      <c r="I153" s="174"/>
      <c r="J153" s="8" t="s">
        <v>684</v>
      </c>
      <c r="K153" s="8" t="s">
        <v>1352</v>
      </c>
      <c r="L153" s="8" t="s">
        <v>1354</v>
      </c>
      <c r="M153" s="8" t="str">
        <f>CONCATENATE(K153," ",L153)</f>
        <v>ASCAZ HOSPITALARIA</v>
      </c>
      <c r="N153" s="8" t="s">
        <v>176</v>
      </c>
      <c r="O153" s="102" t="s">
        <v>1096</v>
      </c>
      <c r="P153" s="102" t="s">
        <v>644</v>
      </c>
      <c r="Q153" s="102" t="s">
        <v>1097</v>
      </c>
      <c r="R153" s="8" t="s">
        <v>2</v>
      </c>
      <c r="S153" s="8" t="s">
        <v>430</v>
      </c>
      <c r="T153" s="8" t="s">
        <v>772</v>
      </c>
      <c r="U153" s="4">
        <v>26220</v>
      </c>
      <c r="V153" s="10">
        <f ca="1">YEAR($V$1)-YEAR(U153)</f>
        <v>47</v>
      </c>
      <c r="W153" s="8" t="s">
        <v>1</v>
      </c>
      <c r="X153" s="102" t="s">
        <v>1098</v>
      </c>
      <c r="Y153" s="8">
        <v>2</v>
      </c>
      <c r="Z153" s="8" t="s">
        <v>429</v>
      </c>
      <c r="AA153" s="8" t="s">
        <v>0</v>
      </c>
      <c r="AB153" s="8" t="s">
        <v>8</v>
      </c>
      <c r="AC153" s="8">
        <v>33008</v>
      </c>
      <c r="AD153" s="8">
        <v>665408754</v>
      </c>
      <c r="AE153" s="103" t="s">
        <v>1099</v>
      </c>
      <c r="AF153" s="8" t="s">
        <v>320</v>
      </c>
      <c r="AG153" s="8" t="s">
        <v>309</v>
      </c>
      <c r="AH153" s="8">
        <v>7008</v>
      </c>
      <c r="AI153" s="8">
        <v>69</v>
      </c>
      <c r="AJ153" s="8" t="s">
        <v>427</v>
      </c>
      <c r="AK153" s="98"/>
      <c r="AL153" s="11"/>
      <c r="AM153" s="104">
        <v>10</v>
      </c>
    </row>
    <row r="154" spans="1:39" ht="15" customHeight="1" x14ac:dyDescent="0.25">
      <c r="A154" s="85">
        <v>154</v>
      </c>
      <c r="B154" s="93"/>
      <c r="C154" s="94">
        <v>52</v>
      </c>
      <c r="D154" s="95"/>
      <c r="E154" s="9"/>
      <c r="F154" s="9"/>
      <c r="G154" s="9"/>
      <c r="H154" s="9"/>
      <c r="I154" s="9"/>
      <c r="J154" s="9"/>
      <c r="K154" s="9"/>
      <c r="L154" s="9"/>
      <c r="M154" s="106"/>
      <c r="N154" s="9"/>
      <c r="O154" s="107"/>
      <c r="P154" s="107"/>
      <c r="Q154" s="107"/>
      <c r="R154" s="9"/>
      <c r="S154" s="9"/>
      <c r="T154" s="9"/>
      <c r="U154" s="6"/>
      <c r="V154" s="9"/>
      <c r="W154" s="9"/>
      <c r="X154" s="107"/>
      <c r="Y154" s="9"/>
      <c r="Z154" s="9"/>
      <c r="AA154" s="9"/>
      <c r="AB154" s="9"/>
      <c r="AC154" s="9"/>
      <c r="AD154" s="9"/>
      <c r="AE154" s="108"/>
      <c r="AF154" s="9"/>
      <c r="AG154" s="9"/>
      <c r="AH154" s="9"/>
      <c r="AI154" s="9"/>
      <c r="AJ154" s="9"/>
      <c r="AK154" s="98"/>
      <c r="AL154" s="99">
        <v>30</v>
      </c>
      <c r="AM154" s="99"/>
    </row>
    <row r="155" spans="1:39" ht="15" customHeight="1" x14ac:dyDescent="0.25">
      <c r="A155" s="85">
        <v>155</v>
      </c>
      <c r="B155" s="93"/>
      <c r="C155" s="11"/>
      <c r="D155" s="8" t="s">
        <v>810</v>
      </c>
      <c r="E155" s="8" t="s">
        <v>839</v>
      </c>
      <c r="F155" s="8" t="s">
        <v>1335</v>
      </c>
      <c r="G155" s="8" t="s">
        <v>921</v>
      </c>
      <c r="H155" s="8"/>
      <c r="I155" s="174"/>
      <c r="J155" s="8" t="s">
        <v>684</v>
      </c>
      <c r="K155" s="8" t="s">
        <v>1352</v>
      </c>
      <c r="L155" s="8" t="s">
        <v>1354</v>
      </c>
      <c r="M155" s="8" t="str">
        <f>CONCATENATE(K155," ",L155)</f>
        <v>ASCAZ HOSPITALARIA</v>
      </c>
      <c r="N155" s="8" t="s">
        <v>176</v>
      </c>
      <c r="O155" s="102" t="s">
        <v>426</v>
      </c>
      <c r="P155" s="102" t="s">
        <v>462</v>
      </c>
      <c r="Q155" s="102" t="s">
        <v>425</v>
      </c>
      <c r="R155" s="8" t="s">
        <v>2</v>
      </c>
      <c r="S155" s="8" t="s">
        <v>424</v>
      </c>
      <c r="T155" s="8" t="s">
        <v>772</v>
      </c>
      <c r="U155" s="4">
        <v>42232</v>
      </c>
      <c r="V155" s="10">
        <f ca="1">YEAR($V$1)-YEAR(U155)</f>
        <v>3</v>
      </c>
      <c r="W155" s="8" t="s">
        <v>423</v>
      </c>
      <c r="X155" s="102" t="s">
        <v>422</v>
      </c>
      <c r="Y155" s="8">
        <v>1</v>
      </c>
      <c r="Z155" s="8" t="s">
        <v>421</v>
      </c>
      <c r="AA155" s="8" t="s">
        <v>51</v>
      </c>
      <c r="AB155" s="8" t="s">
        <v>1336</v>
      </c>
      <c r="AC155" s="8">
        <v>33208</v>
      </c>
      <c r="AD155" s="8">
        <v>680267012</v>
      </c>
      <c r="AE155" s="103" t="s">
        <v>1100</v>
      </c>
      <c r="AF155" s="8" t="s">
        <v>419</v>
      </c>
      <c r="AG155" s="8">
        <v>2048</v>
      </c>
      <c r="AH155" s="8" t="s">
        <v>418</v>
      </c>
      <c r="AI155" s="8">
        <v>62</v>
      </c>
      <c r="AJ155" s="8">
        <v>3000054271</v>
      </c>
      <c r="AK155" s="98"/>
      <c r="AL155" s="11"/>
      <c r="AM155" s="104">
        <v>10</v>
      </c>
    </row>
    <row r="156" spans="1:39" ht="15" customHeight="1" x14ac:dyDescent="0.25">
      <c r="A156" s="85">
        <v>156</v>
      </c>
      <c r="B156" s="93"/>
      <c r="C156" s="94">
        <v>53</v>
      </c>
      <c r="D156" s="95"/>
      <c r="E156" s="9"/>
      <c r="F156" s="9"/>
      <c r="G156" s="9"/>
      <c r="H156" s="9"/>
      <c r="I156" s="9"/>
      <c r="J156" s="9"/>
      <c r="K156" s="9"/>
      <c r="L156" s="9"/>
      <c r="M156" s="106"/>
      <c r="N156" s="9"/>
      <c r="O156" s="107"/>
      <c r="P156" s="107"/>
      <c r="Q156" s="107"/>
      <c r="R156" s="9"/>
      <c r="S156" s="9"/>
      <c r="T156" s="9"/>
      <c r="U156" s="6"/>
      <c r="V156" s="9"/>
      <c r="W156" s="9"/>
      <c r="X156" s="107"/>
      <c r="Y156" s="9"/>
      <c r="Z156" s="9"/>
      <c r="AA156" s="9"/>
      <c r="AB156" s="9"/>
      <c r="AC156" s="9"/>
      <c r="AD156" s="9"/>
      <c r="AE156" s="108"/>
      <c r="AF156" s="9"/>
      <c r="AG156" s="9"/>
      <c r="AH156" s="9"/>
      <c r="AI156" s="9"/>
      <c r="AJ156" s="9"/>
      <c r="AK156" s="98"/>
      <c r="AL156" s="99">
        <v>30</v>
      </c>
      <c r="AM156" s="99"/>
    </row>
    <row r="157" spans="1:39" ht="15" customHeight="1" x14ac:dyDescent="0.25">
      <c r="A157" s="85">
        <v>157</v>
      </c>
      <c r="B157" s="93"/>
      <c r="C157" s="11"/>
      <c r="D157" s="8" t="s">
        <v>811</v>
      </c>
      <c r="E157" s="8" t="s">
        <v>839</v>
      </c>
      <c r="F157" s="8"/>
      <c r="G157" s="8" t="s">
        <v>921</v>
      </c>
      <c r="H157" s="8"/>
      <c r="I157" s="101"/>
      <c r="J157" s="8" t="s">
        <v>684</v>
      </c>
      <c r="K157" s="8" t="s">
        <v>1352</v>
      </c>
      <c r="L157" s="8" t="s">
        <v>1354</v>
      </c>
      <c r="M157" s="8" t="str">
        <f>CONCATENATE(K157," ",L157)</f>
        <v>ASCAZ HOSPITALARIA</v>
      </c>
      <c r="N157" s="8" t="s">
        <v>176</v>
      </c>
      <c r="O157" s="102" t="s">
        <v>1101</v>
      </c>
      <c r="P157" s="102" t="s">
        <v>153</v>
      </c>
      <c r="Q157" s="102" t="s">
        <v>1270</v>
      </c>
      <c r="R157" s="8" t="s">
        <v>2</v>
      </c>
      <c r="S157" s="8" t="s">
        <v>417</v>
      </c>
      <c r="T157" s="8" t="s">
        <v>772</v>
      </c>
      <c r="U157" s="4">
        <v>28485</v>
      </c>
      <c r="V157" s="10">
        <f ca="1">YEAR($V$1)-YEAR(U157)</f>
        <v>41</v>
      </c>
      <c r="W157" s="8" t="s">
        <v>1</v>
      </c>
      <c r="X157" s="102" t="s">
        <v>1102</v>
      </c>
      <c r="Y157" s="8">
        <v>7</v>
      </c>
      <c r="Z157" s="8" t="s">
        <v>416</v>
      </c>
      <c r="AA157" s="8" t="s">
        <v>0</v>
      </c>
      <c r="AB157" s="8" t="s">
        <v>35</v>
      </c>
      <c r="AC157" s="8">
        <v>33204</v>
      </c>
      <c r="AD157" s="8">
        <v>651496685</v>
      </c>
      <c r="AE157" s="103" t="s">
        <v>1103</v>
      </c>
      <c r="AF157" s="8" t="s">
        <v>414</v>
      </c>
      <c r="AG157" s="8">
        <v>2048</v>
      </c>
      <c r="AH157" s="8" t="s">
        <v>413</v>
      </c>
      <c r="AI157" s="8">
        <v>58</v>
      </c>
      <c r="AJ157" s="8">
        <v>3000095915</v>
      </c>
      <c r="AK157" s="98"/>
      <c r="AL157" s="11"/>
      <c r="AM157" s="104">
        <v>10</v>
      </c>
    </row>
    <row r="158" spans="1:39" ht="15" customHeight="1" x14ac:dyDescent="0.25">
      <c r="A158" s="85">
        <v>158</v>
      </c>
      <c r="B158" s="93"/>
      <c r="C158" s="94">
        <v>54</v>
      </c>
      <c r="D158" s="95"/>
      <c r="E158" s="9"/>
      <c r="F158" s="9"/>
      <c r="G158" s="9"/>
      <c r="H158" s="9"/>
      <c r="I158" s="9"/>
      <c r="J158" s="9"/>
      <c r="K158" s="9"/>
      <c r="L158" s="9"/>
      <c r="M158" s="106"/>
      <c r="N158" s="9"/>
      <c r="O158" s="107"/>
      <c r="P158" s="107"/>
      <c r="Q158" s="107"/>
      <c r="R158" s="9"/>
      <c r="S158" s="9"/>
      <c r="T158" s="9"/>
      <c r="U158" s="6"/>
      <c r="V158" s="9"/>
      <c r="W158" s="9"/>
      <c r="X158" s="107"/>
      <c r="Y158" s="9"/>
      <c r="Z158" s="9"/>
      <c r="AA158" s="9"/>
      <c r="AB158" s="9"/>
      <c r="AC158" s="9"/>
      <c r="AD158" s="9"/>
      <c r="AE158" s="108"/>
      <c r="AF158" s="9"/>
      <c r="AG158" s="9"/>
      <c r="AH158" s="9"/>
      <c r="AI158" s="9"/>
      <c r="AJ158" s="9"/>
      <c r="AK158" s="98"/>
      <c r="AL158" s="99">
        <v>30</v>
      </c>
      <c r="AM158" s="99"/>
    </row>
    <row r="159" spans="1:39" ht="15" customHeight="1" x14ac:dyDescent="0.25">
      <c r="A159" s="85">
        <v>159</v>
      </c>
      <c r="B159" s="93"/>
      <c r="C159" s="11"/>
      <c r="D159" s="8" t="s">
        <v>812</v>
      </c>
      <c r="E159" s="8" t="s">
        <v>839</v>
      </c>
      <c r="F159" s="8"/>
      <c r="G159" s="8" t="s">
        <v>921</v>
      </c>
      <c r="H159" s="8"/>
      <c r="I159" s="174"/>
      <c r="J159" s="8" t="s">
        <v>684</v>
      </c>
      <c r="K159" s="8" t="s">
        <v>1352</v>
      </c>
      <c r="L159" s="8" t="s">
        <v>1354</v>
      </c>
      <c r="M159" s="8" t="str">
        <f>CONCATENATE(K159," ",L159)</f>
        <v>ASCAZ HOSPITALARIA</v>
      </c>
      <c r="N159" s="8" t="s">
        <v>3</v>
      </c>
      <c r="O159" s="102" t="s">
        <v>412</v>
      </c>
      <c r="P159" s="102" t="s">
        <v>411</v>
      </c>
      <c r="Q159" s="102" t="s">
        <v>410</v>
      </c>
      <c r="R159" s="8" t="s">
        <v>2</v>
      </c>
      <c r="S159" s="8" t="s">
        <v>409</v>
      </c>
      <c r="T159" s="8" t="s">
        <v>753</v>
      </c>
      <c r="U159" s="4">
        <v>20908</v>
      </c>
      <c r="V159" s="10">
        <f ca="1">YEAR($V$1)-YEAR(U159)</f>
        <v>61</v>
      </c>
      <c r="W159" s="8" t="s">
        <v>1</v>
      </c>
      <c r="X159" s="102" t="s">
        <v>408</v>
      </c>
      <c r="Y159" s="8">
        <v>12</v>
      </c>
      <c r="Z159" s="8" t="s">
        <v>407</v>
      </c>
      <c r="AA159" s="8" t="s">
        <v>0</v>
      </c>
      <c r="AB159" s="8" t="s">
        <v>35</v>
      </c>
      <c r="AC159" s="8">
        <v>33212</v>
      </c>
      <c r="AD159" s="8">
        <v>625028284</v>
      </c>
      <c r="AE159" s="103" t="s">
        <v>986</v>
      </c>
      <c r="AF159" s="110" t="s">
        <v>178</v>
      </c>
      <c r="AG159" s="8">
        <v>2100</v>
      </c>
      <c r="AH159" s="8">
        <v>5471</v>
      </c>
      <c r="AI159" s="8">
        <v>50</v>
      </c>
      <c r="AJ159" s="8" t="s">
        <v>405</v>
      </c>
      <c r="AK159" s="98"/>
      <c r="AL159" s="11"/>
      <c r="AM159" s="104">
        <v>10</v>
      </c>
    </row>
    <row r="160" spans="1:39" ht="15" customHeight="1" x14ac:dyDescent="0.25">
      <c r="A160" s="85">
        <v>160</v>
      </c>
      <c r="B160" s="93"/>
      <c r="C160" s="94">
        <v>55</v>
      </c>
      <c r="D160" s="95"/>
      <c r="E160" s="9"/>
      <c r="F160" s="9"/>
      <c r="G160" s="9"/>
      <c r="H160" s="9"/>
      <c r="I160" s="9"/>
      <c r="J160" s="9"/>
      <c r="K160" s="9"/>
      <c r="L160" s="9"/>
      <c r="M160" s="106"/>
      <c r="N160" s="9"/>
      <c r="O160" s="107"/>
      <c r="P160" s="107"/>
      <c r="Q160" s="107"/>
      <c r="R160" s="9"/>
      <c r="S160" s="9"/>
      <c r="T160" s="9"/>
      <c r="U160" s="6"/>
      <c r="V160" s="9"/>
      <c r="W160" s="9"/>
      <c r="X160" s="107"/>
      <c r="Y160" s="9"/>
      <c r="Z160" s="9"/>
      <c r="AA160" s="9"/>
      <c r="AB160" s="9"/>
      <c r="AC160" s="9"/>
      <c r="AD160" s="9"/>
      <c r="AE160" s="108"/>
      <c r="AF160" s="9"/>
      <c r="AG160" s="9"/>
      <c r="AH160" s="9"/>
      <c r="AI160" s="9"/>
      <c r="AJ160" s="9"/>
      <c r="AK160" s="98"/>
      <c r="AL160" s="99">
        <v>30</v>
      </c>
      <c r="AM160" s="99"/>
    </row>
    <row r="161" spans="1:39" ht="15" customHeight="1" x14ac:dyDescent="0.25">
      <c r="A161" s="85">
        <v>161</v>
      </c>
      <c r="B161" s="93"/>
      <c r="C161" s="11"/>
      <c r="D161" s="8" t="s">
        <v>813</v>
      </c>
      <c r="E161" s="8" t="s">
        <v>839</v>
      </c>
      <c r="F161" s="8" t="s">
        <v>843</v>
      </c>
      <c r="G161" s="8" t="s">
        <v>921</v>
      </c>
      <c r="H161" s="8"/>
      <c r="I161" s="174"/>
      <c r="J161" s="8" t="s">
        <v>684</v>
      </c>
      <c r="K161" s="8" t="s">
        <v>1352</v>
      </c>
      <c r="L161" s="8" t="s">
        <v>1354</v>
      </c>
      <c r="M161" s="8" t="str">
        <f t="shared" ref="M161:M163" si="62">CONCATENATE(K161," ",L161)</f>
        <v>ASCAZ HOSPITALARIA</v>
      </c>
      <c r="N161" s="8" t="s">
        <v>176</v>
      </c>
      <c r="O161" s="102" t="s">
        <v>1104</v>
      </c>
      <c r="P161" s="102" t="s">
        <v>1105</v>
      </c>
      <c r="Q161" s="102" t="s">
        <v>340</v>
      </c>
      <c r="R161" s="8" t="s">
        <v>2</v>
      </c>
      <c r="S161" s="8" t="s">
        <v>404</v>
      </c>
      <c r="T161" s="8" t="s">
        <v>753</v>
      </c>
      <c r="U161" s="4">
        <v>25510</v>
      </c>
      <c r="V161" s="10">
        <f t="shared" ref="V161:V163" ca="1" si="63">YEAR($V$1)-YEAR(U161)</f>
        <v>49</v>
      </c>
      <c r="W161" s="8" t="s">
        <v>1</v>
      </c>
      <c r="X161" s="102" t="s">
        <v>1274</v>
      </c>
      <c r="Y161" s="8">
        <v>7</v>
      </c>
      <c r="Z161" s="8" t="s">
        <v>338</v>
      </c>
      <c r="AA161" s="8" t="s">
        <v>0</v>
      </c>
      <c r="AB161" s="8" t="s">
        <v>35</v>
      </c>
      <c r="AC161" s="8">
        <v>33210</v>
      </c>
      <c r="AD161" s="8">
        <v>635321505</v>
      </c>
      <c r="AE161" s="103" t="s">
        <v>1106</v>
      </c>
      <c r="AF161" s="8" t="s">
        <v>402</v>
      </c>
      <c r="AG161" s="8">
        <v>1465</v>
      </c>
      <c r="AH161" s="8" t="s">
        <v>298</v>
      </c>
      <c r="AI161" s="8">
        <v>82</v>
      </c>
      <c r="AJ161" s="8">
        <v>1711893678</v>
      </c>
      <c r="AK161" s="98"/>
      <c r="AL161" s="11"/>
      <c r="AM161" s="104">
        <v>10</v>
      </c>
    </row>
    <row r="162" spans="1:39" ht="15" customHeight="1" x14ac:dyDescent="0.25">
      <c r="A162" s="85">
        <v>162</v>
      </c>
      <c r="B162" s="93"/>
      <c r="C162" s="11"/>
      <c r="D162" s="8" t="s">
        <v>814</v>
      </c>
      <c r="E162" s="8" t="s">
        <v>839</v>
      </c>
      <c r="F162" s="8" t="s">
        <v>843</v>
      </c>
      <c r="G162" s="8" t="s">
        <v>921</v>
      </c>
      <c r="H162" s="8"/>
      <c r="I162" s="174"/>
      <c r="J162" s="8" t="s">
        <v>684</v>
      </c>
      <c r="K162" s="8" t="s">
        <v>1352</v>
      </c>
      <c r="L162" s="8" t="s">
        <v>1354</v>
      </c>
      <c r="M162" s="8" t="str">
        <f t="shared" si="62"/>
        <v>ASCAZ HOSPITALARIA</v>
      </c>
      <c r="N162" s="8" t="s">
        <v>48</v>
      </c>
      <c r="O162" s="102" t="s">
        <v>1107</v>
      </c>
      <c r="P162" s="102" t="s">
        <v>1108</v>
      </c>
      <c r="Q162" s="102" t="s">
        <v>462</v>
      </c>
      <c r="R162" s="8" t="s">
        <v>2</v>
      </c>
      <c r="S162" s="8" t="s">
        <v>401</v>
      </c>
      <c r="T162" s="8" t="s">
        <v>772</v>
      </c>
      <c r="U162" s="4">
        <v>26666</v>
      </c>
      <c r="V162" s="10">
        <f t="shared" ca="1" si="63"/>
        <v>45</v>
      </c>
      <c r="W162" s="8"/>
      <c r="X162" s="102"/>
      <c r="Y162" s="8"/>
      <c r="Z162" s="8"/>
      <c r="AA162" s="8"/>
      <c r="AB162" s="8"/>
      <c r="AC162" s="8"/>
      <c r="AD162" s="8">
        <v>684632501</v>
      </c>
      <c r="AE162" s="103" t="s">
        <v>1109</v>
      </c>
      <c r="AF162" s="8"/>
      <c r="AG162" s="8"/>
      <c r="AH162" s="8"/>
      <c r="AI162" s="8"/>
      <c r="AJ162" s="8"/>
      <c r="AK162" s="98"/>
      <c r="AL162" s="11"/>
      <c r="AM162" s="104">
        <v>10</v>
      </c>
    </row>
    <row r="163" spans="1:39" ht="15" customHeight="1" x14ac:dyDescent="0.25">
      <c r="A163" s="85">
        <v>163</v>
      </c>
      <c r="B163" s="93"/>
      <c r="D163" s="8" t="s">
        <v>1299</v>
      </c>
      <c r="E163" s="8" t="s">
        <v>839</v>
      </c>
      <c r="F163" s="8" t="s">
        <v>843</v>
      </c>
      <c r="G163" s="8" t="s">
        <v>921</v>
      </c>
      <c r="I163" s="174"/>
      <c r="J163" s="8" t="s">
        <v>684</v>
      </c>
      <c r="K163" s="8" t="s">
        <v>1352</v>
      </c>
      <c r="L163" s="8" t="s">
        <v>1354</v>
      </c>
      <c r="M163" s="8" t="str">
        <f t="shared" si="62"/>
        <v>ASCAZ HOSPITALARIA</v>
      </c>
      <c r="N163" s="105" t="s">
        <v>932</v>
      </c>
      <c r="O163" s="111" t="s">
        <v>1297</v>
      </c>
      <c r="P163" s="102" t="s">
        <v>1108</v>
      </c>
      <c r="Q163" s="102" t="s">
        <v>1105</v>
      </c>
      <c r="R163" s="8" t="s">
        <v>2</v>
      </c>
      <c r="S163" s="8" t="s">
        <v>1298</v>
      </c>
      <c r="T163" s="8" t="s">
        <v>753</v>
      </c>
      <c r="U163" s="3">
        <v>36463</v>
      </c>
      <c r="V163" s="10">
        <f t="shared" ca="1" si="63"/>
        <v>19</v>
      </c>
      <c r="X163" s="12"/>
      <c r="AE163" s="112"/>
      <c r="AF163" s="12"/>
      <c r="AG163" s="12"/>
      <c r="AH163" s="12"/>
      <c r="AI163" s="12"/>
      <c r="AJ163" s="12"/>
      <c r="AK163" s="98"/>
      <c r="AM163" s="104">
        <v>10</v>
      </c>
    </row>
    <row r="164" spans="1:39" ht="15" customHeight="1" x14ac:dyDescent="0.25">
      <c r="A164" s="85">
        <v>164</v>
      </c>
      <c r="B164" s="93"/>
      <c r="C164" s="94">
        <v>56</v>
      </c>
      <c r="D164" s="95"/>
      <c r="E164" s="9"/>
      <c r="F164" s="9"/>
      <c r="G164" s="9"/>
      <c r="H164" s="9"/>
      <c r="I164" s="9"/>
      <c r="J164" s="9"/>
      <c r="K164" s="9"/>
      <c r="L164" s="9"/>
      <c r="M164" s="106"/>
      <c r="N164" s="9"/>
      <c r="O164" s="107"/>
      <c r="P164" s="107"/>
      <c r="Q164" s="107"/>
      <c r="R164" s="9"/>
      <c r="S164" s="9"/>
      <c r="T164" s="9"/>
      <c r="U164" s="6"/>
      <c r="V164" s="9"/>
      <c r="W164" s="9"/>
      <c r="X164" s="107"/>
      <c r="Y164" s="9"/>
      <c r="Z164" s="9"/>
      <c r="AA164" s="9"/>
      <c r="AB164" s="9"/>
      <c r="AC164" s="9"/>
      <c r="AD164" s="9"/>
      <c r="AE164" s="108"/>
      <c r="AF164" s="9"/>
      <c r="AG164" s="9"/>
      <c r="AH164" s="9"/>
      <c r="AI164" s="9"/>
      <c r="AJ164" s="9"/>
      <c r="AK164" s="98"/>
      <c r="AL164" s="99">
        <v>0</v>
      </c>
      <c r="AM164" s="99"/>
    </row>
    <row r="165" spans="1:39" ht="15" customHeight="1" x14ac:dyDescent="0.25">
      <c r="A165" s="85">
        <v>165</v>
      </c>
      <c r="B165" s="93"/>
      <c r="C165" s="11"/>
      <c r="D165" s="8" t="s">
        <v>815</v>
      </c>
      <c r="E165" s="8" t="s">
        <v>839</v>
      </c>
      <c r="F165" s="8" t="s">
        <v>922</v>
      </c>
      <c r="G165" s="8" t="s">
        <v>920</v>
      </c>
      <c r="H165" s="8"/>
      <c r="I165" s="174"/>
      <c r="J165" s="8" t="s">
        <v>684</v>
      </c>
      <c r="K165" s="8" t="s">
        <v>1352</v>
      </c>
      <c r="L165" s="8" t="s">
        <v>1354</v>
      </c>
      <c r="M165" s="8" t="str">
        <f t="shared" ref="M165:M166" si="64">CONCATENATE(K165," ",L165)</f>
        <v>ASCAZ HOSPITALARIA</v>
      </c>
      <c r="N165" s="8" t="s">
        <v>176</v>
      </c>
      <c r="O165" s="102" t="s">
        <v>1110</v>
      </c>
      <c r="P165" s="102" t="s">
        <v>508</v>
      </c>
      <c r="Q165" s="102" t="s">
        <v>1189</v>
      </c>
      <c r="R165" s="8" t="s">
        <v>2</v>
      </c>
      <c r="S165" s="8" t="s">
        <v>1286</v>
      </c>
      <c r="T165" s="8" t="s">
        <v>772</v>
      </c>
      <c r="U165" s="4">
        <v>19865</v>
      </c>
      <c r="V165" s="10">
        <f t="shared" ref="V165:V166" ca="1" si="65">YEAR($V$1)-YEAR(U165)</f>
        <v>64</v>
      </c>
      <c r="W165" s="8" t="s">
        <v>399</v>
      </c>
      <c r="X165" s="102" t="s">
        <v>1111</v>
      </c>
      <c r="Y165" s="8">
        <v>137</v>
      </c>
      <c r="Z165" s="8" t="s">
        <v>194</v>
      </c>
      <c r="AA165" s="8" t="s">
        <v>0</v>
      </c>
      <c r="AB165" s="8" t="s">
        <v>35</v>
      </c>
      <c r="AC165" s="8">
        <v>33203</v>
      </c>
      <c r="AD165" s="8">
        <v>684612693</v>
      </c>
      <c r="AE165" s="103" t="s">
        <v>1112</v>
      </c>
      <c r="AF165" s="8" t="s">
        <v>397</v>
      </c>
      <c r="AG165" s="8" t="s">
        <v>14</v>
      </c>
      <c r="AH165" s="8">
        <v>7300</v>
      </c>
      <c r="AI165" s="8">
        <v>98</v>
      </c>
      <c r="AJ165" s="8" t="s">
        <v>396</v>
      </c>
      <c r="AK165" s="98"/>
      <c r="AL165" s="11"/>
      <c r="AM165" s="104">
        <v>10</v>
      </c>
    </row>
    <row r="166" spans="1:39" ht="15" customHeight="1" x14ac:dyDescent="0.25">
      <c r="A166" s="85">
        <v>166</v>
      </c>
      <c r="B166" s="93"/>
      <c r="C166" s="11"/>
      <c r="D166" s="8" t="s">
        <v>816</v>
      </c>
      <c r="E166" s="8" t="s">
        <v>839</v>
      </c>
      <c r="F166" s="8" t="s">
        <v>922</v>
      </c>
      <c r="G166" s="8" t="s">
        <v>920</v>
      </c>
      <c r="H166" s="8"/>
      <c r="I166" s="174"/>
      <c r="J166" s="8" t="s">
        <v>684</v>
      </c>
      <c r="K166" s="8" t="s">
        <v>1352</v>
      </c>
      <c r="L166" s="8" t="s">
        <v>1354</v>
      </c>
      <c r="M166" s="8" t="str">
        <f t="shared" si="64"/>
        <v>ASCAZ HOSPITALARIA</v>
      </c>
      <c r="N166" s="8" t="s">
        <v>48</v>
      </c>
      <c r="O166" s="102" t="s">
        <v>1113</v>
      </c>
      <c r="P166" s="102" t="s">
        <v>680</v>
      </c>
      <c r="Q166" s="102" t="s">
        <v>1114</v>
      </c>
      <c r="R166" s="8" t="s">
        <v>2</v>
      </c>
      <c r="S166" s="8" t="s">
        <v>1285</v>
      </c>
      <c r="T166" s="8" t="s">
        <v>753</v>
      </c>
      <c r="U166" s="4">
        <v>19496</v>
      </c>
      <c r="V166" s="10">
        <f t="shared" ca="1" si="65"/>
        <v>65</v>
      </c>
      <c r="W166" s="8"/>
      <c r="X166" s="102"/>
      <c r="Y166" s="8"/>
      <c r="Z166" s="8"/>
      <c r="AA166" s="8"/>
      <c r="AB166" s="8"/>
      <c r="AC166" s="8"/>
      <c r="AD166" s="8">
        <v>675059555</v>
      </c>
      <c r="AE166" s="103" t="s">
        <v>1115</v>
      </c>
      <c r="AF166" s="8"/>
      <c r="AG166" s="8"/>
      <c r="AH166" s="8"/>
      <c r="AI166" s="8"/>
      <c r="AJ166" s="8"/>
      <c r="AK166" s="98"/>
      <c r="AL166" s="11"/>
      <c r="AM166" s="104">
        <v>10</v>
      </c>
    </row>
    <row r="167" spans="1:39" ht="15" customHeight="1" x14ac:dyDescent="0.25">
      <c r="A167" s="85">
        <v>167</v>
      </c>
      <c r="B167" s="93"/>
      <c r="C167" s="94">
        <v>57</v>
      </c>
      <c r="D167" s="95"/>
      <c r="E167" s="9"/>
      <c r="F167" s="9"/>
      <c r="G167" s="9"/>
      <c r="H167" s="9"/>
      <c r="I167" s="9"/>
      <c r="J167" s="9"/>
      <c r="K167" s="9"/>
      <c r="L167" s="9"/>
      <c r="M167" s="106"/>
      <c r="N167" s="9"/>
      <c r="O167" s="107"/>
      <c r="P167" s="107"/>
      <c r="Q167" s="107"/>
      <c r="R167" s="9"/>
      <c r="S167" s="9"/>
      <c r="T167" s="9"/>
      <c r="U167" s="6"/>
      <c r="V167" s="9"/>
      <c r="W167" s="9"/>
      <c r="X167" s="107"/>
      <c r="Y167" s="9"/>
      <c r="Z167" s="9"/>
      <c r="AA167" s="9"/>
      <c r="AB167" s="9"/>
      <c r="AC167" s="9"/>
      <c r="AD167" s="9"/>
      <c r="AE167" s="108"/>
      <c r="AF167" s="9"/>
      <c r="AG167" s="9"/>
      <c r="AH167" s="9"/>
      <c r="AI167" s="9"/>
      <c r="AJ167" s="9"/>
      <c r="AK167" s="98"/>
      <c r="AL167" s="99">
        <v>0</v>
      </c>
      <c r="AM167" s="99"/>
    </row>
    <row r="168" spans="1:39" ht="15" customHeight="1" x14ac:dyDescent="0.25">
      <c r="A168" s="85">
        <v>168</v>
      </c>
      <c r="B168" s="93"/>
      <c r="C168" s="11"/>
      <c r="D168" s="8" t="s">
        <v>817</v>
      </c>
      <c r="E168" s="8" t="s">
        <v>839</v>
      </c>
      <c r="F168" s="8"/>
      <c r="G168" s="8" t="s">
        <v>920</v>
      </c>
      <c r="H168" s="8"/>
      <c r="I168" s="174"/>
      <c r="J168" s="8" t="s">
        <v>684</v>
      </c>
      <c r="K168" s="8" t="s">
        <v>1352</v>
      </c>
      <c r="L168" s="8" t="s">
        <v>1354</v>
      </c>
      <c r="M168" s="8" t="str">
        <f t="shared" ref="M168:M170" si="66">CONCATENATE(K168," ",L168)</f>
        <v>ASCAZ HOSPITALARIA</v>
      </c>
      <c r="N168" s="8" t="s">
        <v>176</v>
      </c>
      <c r="O168" s="102" t="s">
        <v>394</v>
      </c>
      <c r="P168" s="102" t="s">
        <v>153</v>
      </c>
      <c r="Q168" s="102" t="s">
        <v>153</v>
      </c>
      <c r="R168" s="8" t="s">
        <v>2</v>
      </c>
      <c r="S168" s="8" t="s">
        <v>393</v>
      </c>
      <c r="T168" s="8" t="s">
        <v>772</v>
      </c>
      <c r="U168" s="4">
        <v>28669</v>
      </c>
      <c r="V168" s="10">
        <f t="shared" ref="V168:V170" ca="1" si="67">YEAR($V$1)-YEAR(U168)</f>
        <v>40</v>
      </c>
      <c r="W168" s="8" t="s">
        <v>1</v>
      </c>
      <c r="X168" s="102" t="s">
        <v>392</v>
      </c>
      <c r="Y168" s="8">
        <v>5</v>
      </c>
      <c r="Z168" s="8" t="s">
        <v>391</v>
      </c>
      <c r="AA168" s="8" t="s">
        <v>0</v>
      </c>
      <c r="AB168" s="8" t="s">
        <v>8</v>
      </c>
      <c r="AC168" s="8">
        <v>33011</v>
      </c>
      <c r="AD168" s="8"/>
      <c r="AE168" s="103" t="s">
        <v>1116</v>
      </c>
      <c r="AF168" s="8" t="s">
        <v>389</v>
      </c>
      <c r="AG168" s="8" t="s">
        <v>14</v>
      </c>
      <c r="AH168" s="8">
        <v>5386</v>
      </c>
      <c r="AI168" s="8" t="s">
        <v>388</v>
      </c>
      <c r="AJ168" s="8" t="s">
        <v>387</v>
      </c>
      <c r="AK168" s="98"/>
      <c r="AL168" s="11"/>
      <c r="AM168" s="104">
        <v>10</v>
      </c>
    </row>
    <row r="169" spans="1:39" ht="15" customHeight="1" x14ac:dyDescent="0.25">
      <c r="A169" s="85">
        <v>169</v>
      </c>
      <c r="B169" s="93"/>
      <c r="C169" s="11"/>
      <c r="D169" s="8" t="s">
        <v>818</v>
      </c>
      <c r="E169" s="8" t="s">
        <v>839</v>
      </c>
      <c r="F169" s="8"/>
      <c r="G169" s="8" t="s">
        <v>920</v>
      </c>
      <c r="H169" s="8"/>
      <c r="I169" s="174"/>
      <c r="J169" s="8" t="s">
        <v>684</v>
      </c>
      <c r="K169" s="8" t="s">
        <v>1352</v>
      </c>
      <c r="L169" s="8" t="s">
        <v>1354</v>
      </c>
      <c r="M169" s="8" t="str">
        <f t="shared" si="66"/>
        <v>ASCAZ HOSPITALARIA</v>
      </c>
      <c r="N169" s="8" t="s">
        <v>48</v>
      </c>
      <c r="O169" s="102" t="s">
        <v>386</v>
      </c>
      <c r="P169" s="102" t="s">
        <v>383</v>
      </c>
      <c r="Q169" s="102" t="s">
        <v>1272</v>
      </c>
      <c r="R169" s="8" t="s">
        <v>2</v>
      </c>
      <c r="S169" s="8" t="s">
        <v>385</v>
      </c>
      <c r="T169" s="8" t="s">
        <v>753</v>
      </c>
      <c r="U169" s="4">
        <v>28697</v>
      </c>
      <c r="V169" s="10">
        <f t="shared" ca="1" si="67"/>
        <v>40</v>
      </c>
      <c r="W169" s="8"/>
      <c r="X169" s="102"/>
      <c r="Y169" s="8"/>
      <c r="Z169" s="8"/>
      <c r="AA169" s="8"/>
      <c r="AB169" s="8"/>
      <c r="AC169" s="8"/>
      <c r="AD169" s="8"/>
      <c r="AE169" s="103" t="s">
        <v>1117</v>
      </c>
      <c r="AF169" s="8"/>
      <c r="AG169" s="8"/>
      <c r="AH169" s="8"/>
      <c r="AI169" s="8"/>
      <c r="AJ169" s="8"/>
      <c r="AK169" s="98"/>
      <c r="AL169" s="11"/>
      <c r="AM169" s="104">
        <v>10</v>
      </c>
    </row>
    <row r="170" spans="1:39" ht="15" customHeight="1" x14ac:dyDescent="0.25">
      <c r="A170" s="85">
        <v>170</v>
      </c>
      <c r="B170" s="93"/>
      <c r="C170" s="11"/>
      <c r="D170" s="8" t="s">
        <v>819</v>
      </c>
      <c r="E170" s="8" t="s">
        <v>839</v>
      </c>
      <c r="F170" s="8"/>
      <c r="G170" s="8" t="s">
        <v>920</v>
      </c>
      <c r="H170" s="8"/>
      <c r="I170" s="174"/>
      <c r="J170" s="8" t="s">
        <v>684</v>
      </c>
      <c r="K170" s="8" t="s">
        <v>1352</v>
      </c>
      <c r="L170" s="8" t="s">
        <v>1354</v>
      </c>
      <c r="M170" s="8" t="str">
        <f t="shared" si="66"/>
        <v>ASCAZ HOSPITALARIA</v>
      </c>
      <c r="N170" s="105" t="s">
        <v>932</v>
      </c>
      <c r="O170" s="102" t="s">
        <v>268</v>
      </c>
      <c r="P170" s="102" t="s">
        <v>153</v>
      </c>
      <c r="Q170" s="102" t="s">
        <v>383</v>
      </c>
      <c r="R170" s="8" t="s">
        <v>2</v>
      </c>
      <c r="S170" s="8"/>
      <c r="T170" s="8" t="s">
        <v>772</v>
      </c>
      <c r="U170" s="4">
        <v>40372</v>
      </c>
      <c r="V170" s="10">
        <f t="shared" ca="1" si="67"/>
        <v>8</v>
      </c>
      <c r="W170" s="8"/>
      <c r="X170" s="102"/>
      <c r="Y170" s="8"/>
      <c r="Z170" s="8"/>
      <c r="AA170" s="8"/>
      <c r="AB170" s="8"/>
      <c r="AC170" s="8"/>
      <c r="AD170" s="8"/>
      <c r="AE170" s="103"/>
      <c r="AF170" s="8"/>
      <c r="AG170" s="8"/>
      <c r="AH170" s="8"/>
      <c r="AI170" s="8"/>
      <c r="AJ170" s="8"/>
      <c r="AK170" s="98"/>
      <c r="AL170" s="11"/>
      <c r="AM170" s="104">
        <v>10</v>
      </c>
    </row>
    <row r="171" spans="1:39" ht="15" customHeight="1" x14ac:dyDescent="0.25">
      <c r="A171" s="85">
        <v>171</v>
      </c>
      <c r="B171" s="93"/>
      <c r="C171" s="94">
        <v>58</v>
      </c>
      <c r="D171" s="95"/>
      <c r="E171" s="9"/>
      <c r="F171" s="9"/>
      <c r="G171" s="9"/>
      <c r="H171" s="9"/>
      <c r="I171" s="9"/>
      <c r="J171" s="9"/>
      <c r="K171" s="9"/>
      <c r="L171" s="9"/>
      <c r="M171" s="106"/>
      <c r="N171" s="9"/>
      <c r="O171" s="107"/>
      <c r="P171" s="107"/>
      <c r="Q171" s="107"/>
      <c r="R171" s="9"/>
      <c r="S171" s="9"/>
      <c r="T171" s="9"/>
      <c r="U171" s="6"/>
      <c r="V171" s="9"/>
      <c r="W171" s="9"/>
      <c r="X171" s="107"/>
      <c r="Y171" s="9"/>
      <c r="Z171" s="9"/>
      <c r="AA171" s="9"/>
      <c r="AB171" s="9"/>
      <c r="AC171" s="9"/>
      <c r="AD171" s="9"/>
      <c r="AE171" s="108"/>
      <c r="AF171" s="9"/>
      <c r="AG171" s="9"/>
      <c r="AH171" s="9"/>
      <c r="AI171" s="9"/>
      <c r="AJ171" s="9"/>
      <c r="AK171" s="98"/>
      <c r="AL171" s="99">
        <v>0</v>
      </c>
      <c r="AM171" s="99"/>
    </row>
    <row r="172" spans="1:39" ht="15" customHeight="1" x14ac:dyDescent="0.25">
      <c r="A172" s="85">
        <v>172</v>
      </c>
      <c r="B172" s="93"/>
      <c r="C172" s="11"/>
      <c r="D172" s="8" t="s">
        <v>820</v>
      </c>
      <c r="E172" s="8" t="s">
        <v>839</v>
      </c>
      <c r="F172" s="8" t="s">
        <v>841</v>
      </c>
      <c r="G172" s="8" t="s">
        <v>920</v>
      </c>
      <c r="H172" s="8"/>
      <c r="I172" s="101"/>
      <c r="J172" s="8" t="s">
        <v>684</v>
      </c>
      <c r="K172" s="8" t="s">
        <v>1352</v>
      </c>
      <c r="L172" s="8" t="s">
        <v>1354</v>
      </c>
      <c r="M172" s="8" t="str">
        <f t="shared" ref="M172:M173" si="68">CONCATENATE(K172," ",L172)</f>
        <v>ASCAZ HOSPITALARIA</v>
      </c>
      <c r="N172" s="8" t="s">
        <v>176</v>
      </c>
      <c r="O172" s="102" t="s">
        <v>382</v>
      </c>
      <c r="P172" s="102" t="s">
        <v>328</v>
      </c>
      <c r="Q172" s="102" t="s">
        <v>199</v>
      </c>
      <c r="R172" s="8" t="s">
        <v>2</v>
      </c>
      <c r="S172" s="8" t="s">
        <v>381</v>
      </c>
      <c r="T172" s="8" t="s">
        <v>772</v>
      </c>
      <c r="U172" s="4">
        <v>20836</v>
      </c>
      <c r="V172" s="10">
        <f t="shared" ref="V172:V173" ca="1" si="69">YEAR($V$1)-YEAR(U172)</f>
        <v>61</v>
      </c>
      <c r="W172" s="8" t="s">
        <v>134</v>
      </c>
      <c r="X172" s="102" t="s">
        <v>380</v>
      </c>
      <c r="Y172" s="8" t="s">
        <v>379</v>
      </c>
      <c r="Z172" s="8"/>
      <c r="AA172" s="8" t="s">
        <v>0</v>
      </c>
      <c r="AB172" s="8" t="s">
        <v>378</v>
      </c>
      <c r="AC172" s="8">
        <v>33199</v>
      </c>
      <c r="AD172" s="8">
        <v>606660185</v>
      </c>
      <c r="AE172" s="103" t="s">
        <v>995</v>
      </c>
      <c r="AF172" s="8" t="s">
        <v>320</v>
      </c>
      <c r="AG172" s="8">
        <v>2048</v>
      </c>
      <c r="AH172" s="8" t="s">
        <v>1236</v>
      </c>
      <c r="AI172" s="8" t="s">
        <v>1235</v>
      </c>
      <c r="AJ172" s="8">
        <v>3000059709</v>
      </c>
      <c r="AK172" s="98"/>
      <c r="AL172" s="11"/>
      <c r="AM172" s="104">
        <v>10</v>
      </c>
    </row>
    <row r="173" spans="1:39" ht="15" customHeight="1" x14ac:dyDescent="0.25">
      <c r="A173" s="85">
        <v>173</v>
      </c>
      <c r="B173" s="93"/>
      <c r="C173" s="11"/>
      <c r="D173" s="8" t="s">
        <v>821</v>
      </c>
      <c r="E173" s="8" t="s">
        <v>839</v>
      </c>
      <c r="F173" s="8" t="s">
        <v>841</v>
      </c>
      <c r="G173" s="8" t="s">
        <v>920</v>
      </c>
      <c r="H173" s="8"/>
      <c r="I173" s="101"/>
      <c r="J173" s="8" t="s">
        <v>684</v>
      </c>
      <c r="K173" s="8" t="s">
        <v>1352</v>
      </c>
      <c r="L173" s="8" t="s">
        <v>1354</v>
      </c>
      <c r="M173" s="8" t="str">
        <f t="shared" si="68"/>
        <v>ASCAZ HOSPITALARIA</v>
      </c>
      <c r="N173" s="8" t="s">
        <v>48</v>
      </c>
      <c r="O173" s="102" t="s">
        <v>1249</v>
      </c>
      <c r="P173" s="102" t="s">
        <v>377</v>
      </c>
      <c r="Q173" s="102" t="s">
        <v>462</v>
      </c>
      <c r="R173" s="8"/>
      <c r="S173" s="8" t="s">
        <v>376</v>
      </c>
      <c r="T173" s="8" t="s">
        <v>753</v>
      </c>
      <c r="U173" s="4">
        <v>21083</v>
      </c>
      <c r="V173" s="10">
        <f t="shared" ca="1" si="69"/>
        <v>61</v>
      </c>
      <c r="W173" s="8"/>
      <c r="X173" s="102"/>
      <c r="Y173" s="8"/>
      <c r="Z173" s="8"/>
      <c r="AA173" s="8"/>
      <c r="AB173" s="8"/>
      <c r="AC173" s="8"/>
      <c r="AD173" s="8"/>
      <c r="AE173" s="103"/>
      <c r="AF173" s="8"/>
      <c r="AG173" s="8"/>
      <c r="AH173" s="8"/>
      <c r="AI173" s="8"/>
      <c r="AJ173" s="8"/>
      <c r="AK173" s="98"/>
      <c r="AL173" s="11"/>
      <c r="AM173" s="104">
        <v>10</v>
      </c>
    </row>
    <row r="174" spans="1:39" ht="15" customHeight="1" x14ac:dyDescent="0.25">
      <c r="A174" s="85">
        <v>174</v>
      </c>
      <c r="B174" s="93"/>
      <c r="C174" s="94">
        <v>59</v>
      </c>
      <c r="D174" s="95"/>
      <c r="E174" s="9"/>
      <c r="F174" s="9"/>
      <c r="G174" s="9"/>
      <c r="H174" s="9"/>
      <c r="I174" s="9"/>
      <c r="J174" s="9"/>
      <c r="K174" s="9"/>
      <c r="L174" s="9"/>
      <c r="M174" s="106"/>
      <c r="N174" s="9"/>
      <c r="O174" s="107"/>
      <c r="P174" s="107"/>
      <c r="Q174" s="107"/>
      <c r="R174" s="9"/>
      <c r="S174" s="9"/>
      <c r="T174" s="9"/>
      <c r="U174" s="6"/>
      <c r="V174" s="9"/>
      <c r="W174" s="9"/>
      <c r="X174" s="107"/>
      <c r="Y174" s="9"/>
      <c r="Z174" s="9"/>
      <c r="AA174" s="9"/>
      <c r="AB174" s="9"/>
      <c r="AC174" s="9"/>
      <c r="AD174" s="9"/>
      <c r="AE174" s="108"/>
      <c r="AF174" s="9"/>
      <c r="AG174" s="9"/>
      <c r="AH174" s="9"/>
      <c r="AI174" s="9"/>
      <c r="AJ174" s="9"/>
      <c r="AK174" s="98"/>
      <c r="AL174" s="99">
        <v>30</v>
      </c>
      <c r="AM174" s="99"/>
    </row>
    <row r="175" spans="1:39" ht="15" customHeight="1" x14ac:dyDescent="0.25">
      <c r="A175" s="85">
        <v>175</v>
      </c>
      <c r="B175" s="93"/>
      <c r="C175" s="11"/>
      <c r="D175" s="8" t="s">
        <v>822</v>
      </c>
      <c r="E175" s="8" t="s">
        <v>839</v>
      </c>
      <c r="F175" s="8" t="s">
        <v>842</v>
      </c>
      <c r="G175" s="8" t="s">
        <v>921</v>
      </c>
      <c r="H175" s="8"/>
      <c r="I175" s="101"/>
      <c r="J175" s="8" t="s">
        <v>684</v>
      </c>
      <c r="K175" s="8" t="s">
        <v>1352</v>
      </c>
      <c r="L175" s="8" t="s">
        <v>1354</v>
      </c>
      <c r="M175" s="8" t="str">
        <f t="shared" ref="M175:M176" si="70">CONCATENATE(K175," ",L175)</f>
        <v>ASCAZ HOSPITALARIA</v>
      </c>
      <c r="N175" s="8" t="s">
        <v>176</v>
      </c>
      <c r="O175" s="102" t="s">
        <v>1250</v>
      </c>
      <c r="P175" s="102" t="s">
        <v>153</v>
      </c>
      <c r="Q175" s="102" t="s">
        <v>153</v>
      </c>
      <c r="R175" s="8" t="s">
        <v>2</v>
      </c>
      <c r="S175" s="8" t="s">
        <v>375</v>
      </c>
      <c r="T175" s="8" t="s">
        <v>753</v>
      </c>
      <c r="U175" s="4">
        <v>20123</v>
      </c>
      <c r="V175" s="10">
        <f t="shared" ref="V175:V176" ca="1" si="71">YEAR($V$1)-YEAR(U175)</f>
        <v>63</v>
      </c>
      <c r="W175" s="8" t="s">
        <v>1</v>
      </c>
      <c r="X175" s="102" t="s">
        <v>374</v>
      </c>
      <c r="Y175" s="8">
        <v>1</v>
      </c>
      <c r="Z175" s="8" t="s">
        <v>338</v>
      </c>
      <c r="AA175" s="8" t="s">
        <v>0</v>
      </c>
      <c r="AB175" s="8" t="s">
        <v>35</v>
      </c>
      <c r="AC175" s="8">
        <v>33212</v>
      </c>
      <c r="AD175" s="8">
        <v>985327818</v>
      </c>
      <c r="AE175" s="103" t="s">
        <v>995</v>
      </c>
      <c r="AF175" s="8" t="s">
        <v>370</v>
      </c>
      <c r="AG175" s="8" t="s">
        <v>14</v>
      </c>
      <c r="AH175" s="8">
        <v>7300</v>
      </c>
      <c r="AI175" s="8">
        <v>93</v>
      </c>
      <c r="AJ175" s="8" t="s">
        <v>369</v>
      </c>
      <c r="AK175" s="98"/>
      <c r="AL175" s="11"/>
      <c r="AM175" s="104">
        <v>10</v>
      </c>
    </row>
    <row r="176" spans="1:39" ht="15" customHeight="1" x14ac:dyDescent="0.25">
      <c r="A176" s="85">
        <v>176</v>
      </c>
      <c r="B176" s="93"/>
      <c r="C176" s="11"/>
      <c r="D176" s="8" t="s">
        <v>823</v>
      </c>
      <c r="E176" s="8" t="s">
        <v>839</v>
      </c>
      <c r="F176" s="8" t="s">
        <v>842</v>
      </c>
      <c r="G176" s="8" t="s">
        <v>921</v>
      </c>
      <c r="H176" s="8"/>
      <c r="I176" s="101"/>
      <c r="J176" s="8" t="s">
        <v>684</v>
      </c>
      <c r="K176" s="8" t="s">
        <v>1352</v>
      </c>
      <c r="L176" s="8" t="s">
        <v>1354</v>
      </c>
      <c r="M176" s="8" t="str">
        <f t="shared" si="70"/>
        <v>ASCAZ HOSPITALARIA</v>
      </c>
      <c r="N176" s="8" t="s">
        <v>48</v>
      </c>
      <c r="O176" s="102" t="s">
        <v>373</v>
      </c>
      <c r="P176" s="102" t="s">
        <v>135</v>
      </c>
      <c r="Q176" s="102" t="s">
        <v>372</v>
      </c>
      <c r="R176" s="8"/>
      <c r="S176" s="8" t="s">
        <v>371</v>
      </c>
      <c r="T176" s="8" t="s">
        <v>772</v>
      </c>
      <c r="U176" s="4">
        <v>17551</v>
      </c>
      <c r="V176" s="10">
        <f t="shared" ca="1" si="71"/>
        <v>70</v>
      </c>
      <c r="W176" s="8"/>
      <c r="X176" s="102"/>
      <c r="Y176" s="8"/>
      <c r="Z176" s="8"/>
      <c r="AA176" s="8"/>
      <c r="AB176" s="8"/>
      <c r="AC176" s="8"/>
      <c r="AD176" s="8"/>
      <c r="AE176" s="103"/>
      <c r="AF176" s="8"/>
      <c r="AG176" s="8"/>
      <c r="AH176" s="8"/>
      <c r="AI176" s="8"/>
      <c r="AJ176" s="8"/>
      <c r="AK176" s="98"/>
      <c r="AL176" s="11"/>
      <c r="AM176" s="104">
        <v>10</v>
      </c>
    </row>
    <row r="177" spans="1:39" ht="15" customHeight="1" x14ac:dyDescent="0.25">
      <c r="A177" s="85">
        <v>177</v>
      </c>
      <c r="B177" s="93"/>
      <c r="C177" s="94">
        <v>60</v>
      </c>
      <c r="D177" s="95"/>
      <c r="E177" s="9"/>
      <c r="F177" s="9"/>
      <c r="G177" s="9"/>
      <c r="H177" s="9"/>
      <c r="I177" s="9"/>
      <c r="J177" s="9"/>
      <c r="K177" s="9"/>
      <c r="L177" s="9"/>
      <c r="M177" s="106"/>
      <c r="N177" s="9"/>
      <c r="O177" s="107"/>
      <c r="P177" s="107"/>
      <c r="Q177" s="107"/>
      <c r="R177" s="9"/>
      <c r="S177" s="9"/>
      <c r="T177" s="9"/>
      <c r="U177" s="6"/>
      <c r="V177" s="9"/>
      <c r="W177" s="9"/>
      <c r="X177" s="107"/>
      <c r="Y177" s="9"/>
      <c r="Z177" s="9"/>
      <c r="AA177" s="9"/>
      <c r="AB177" s="9"/>
      <c r="AC177" s="9"/>
      <c r="AD177" s="9"/>
      <c r="AE177" s="108"/>
      <c r="AF177" s="9"/>
      <c r="AG177" s="9"/>
      <c r="AH177" s="9"/>
      <c r="AI177" s="9"/>
      <c r="AJ177" s="9"/>
      <c r="AK177" s="98"/>
      <c r="AL177" s="99">
        <v>30</v>
      </c>
      <c r="AM177" s="99"/>
    </row>
    <row r="178" spans="1:39" ht="15" customHeight="1" x14ac:dyDescent="0.25">
      <c r="A178" s="85">
        <v>178</v>
      </c>
      <c r="B178" s="93"/>
      <c r="C178" s="11"/>
      <c r="D178" s="8" t="s">
        <v>824</v>
      </c>
      <c r="E178" s="8" t="s">
        <v>839</v>
      </c>
      <c r="F178" s="8" t="s">
        <v>842</v>
      </c>
      <c r="G178" s="8" t="s">
        <v>921</v>
      </c>
      <c r="H178" s="8"/>
      <c r="I178" s="174"/>
      <c r="J178" s="8" t="s">
        <v>684</v>
      </c>
      <c r="K178" s="8" t="s">
        <v>1352</v>
      </c>
      <c r="L178" s="8" t="s">
        <v>1354</v>
      </c>
      <c r="M178" s="8" t="str">
        <f>CONCATENATE(K178," ",L178)</f>
        <v>ASCAZ HOSPITALARIA</v>
      </c>
      <c r="N178" s="8" t="s">
        <v>176</v>
      </c>
      <c r="O178" s="102" t="s">
        <v>1251</v>
      </c>
      <c r="P178" s="102" t="s">
        <v>153</v>
      </c>
      <c r="Q178" s="102" t="s">
        <v>153</v>
      </c>
      <c r="R178" s="8" t="s">
        <v>2</v>
      </c>
      <c r="S178" s="8" t="s">
        <v>368</v>
      </c>
      <c r="T178" s="8" t="s">
        <v>753</v>
      </c>
      <c r="U178" s="4">
        <v>21103</v>
      </c>
      <c r="V178" s="10">
        <f ca="1">YEAR($V$1)-YEAR(U178)</f>
        <v>61</v>
      </c>
      <c r="W178" s="8" t="s">
        <v>367</v>
      </c>
      <c r="X178" s="102" t="s">
        <v>366</v>
      </c>
      <c r="Y178" s="8">
        <v>16</v>
      </c>
      <c r="Z178" s="8" t="s">
        <v>365</v>
      </c>
      <c r="AA178" s="8" t="s">
        <v>0</v>
      </c>
      <c r="AB178" s="8" t="s">
        <v>35</v>
      </c>
      <c r="AC178" s="8">
        <v>33212</v>
      </c>
      <c r="AD178" s="8">
        <v>619952739</v>
      </c>
      <c r="AE178" s="103" t="s">
        <v>995</v>
      </c>
      <c r="AF178" s="8" t="s">
        <v>363</v>
      </c>
      <c r="AG178" s="8" t="s">
        <v>14</v>
      </c>
      <c r="AH178" s="8">
        <v>7300</v>
      </c>
      <c r="AI178" s="8">
        <v>92</v>
      </c>
      <c r="AJ178" s="8" t="s">
        <v>1237</v>
      </c>
      <c r="AK178" s="98"/>
      <c r="AL178" s="11"/>
      <c r="AM178" s="104">
        <v>10</v>
      </c>
    </row>
    <row r="179" spans="1:39" ht="15" customHeight="1" x14ac:dyDescent="0.25">
      <c r="A179" s="85">
        <v>179</v>
      </c>
      <c r="B179" s="93"/>
      <c r="C179" s="94">
        <v>61</v>
      </c>
      <c r="D179" s="95"/>
      <c r="E179" s="9"/>
      <c r="F179" s="9"/>
      <c r="G179" s="9"/>
      <c r="H179" s="9"/>
      <c r="I179" s="9"/>
      <c r="J179" s="9"/>
      <c r="K179" s="9"/>
      <c r="L179" s="9"/>
      <c r="M179" s="106"/>
      <c r="N179" s="9"/>
      <c r="O179" s="107"/>
      <c r="P179" s="107"/>
      <c r="Q179" s="107"/>
      <c r="R179" s="9"/>
      <c r="S179" s="9"/>
      <c r="T179" s="9"/>
      <c r="U179" s="6"/>
      <c r="V179" s="9"/>
      <c r="W179" s="9"/>
      <c r="X179" s="107"/>
      <c r="Y179" s="9"/>
      <c r="Z179" s="9"/>
      <c r="AA179" s="9"/>
      <c r="AB179" s="9"/>
      <c r="AC179" s="9"/>
      <c r="AD179" s="9"/>
      <c r="AE179" s="108"/>
      <c r="AF179" s="9"/>
      <c r="AG179" s="9"/>
      <c r="AH179" s="9"/>
      <c r="AI179" s="9"/>
      <c r="AJ179" s="9"/>
      <c r="AK179" s="98"/>
      <c r="AL179" s="99">
        <v>0</v>
      </c>
      <c r="AM179" s="99"/>
    </row>
    <row r="180" spans="1:39" ht="15" customHeight="1" x14ac:dyDescent="0.25">
      <c r="A180" s="85">
        <v>180</v>
      </c>
      <c r="B180" s="93"/>
      <c r="C180" s="11"/>
      <c r="D180" s="8" t="s">
        <v>825</v>
      </c>
      <c r="E180" s="8" t="s">
        <v>839</v>
      </c>
      <c r="F180" s="8" t="s">
        <v>1333</v>
      </c>
      <c r="G180" s="8" t="s">
        <v>920</v>
      </c>
      <c r="H180" s="8"/>
      <c r="I180" s="101"/>
      <c r="J180" s="8" t="s">
        <v>684</v>
      </c>
      <c r="K180" s="8" t="s">
        <v>1352</v>
      </c>
      <c r="L180" s="8" t="s">
        <v>1354</v>
      </c>
      <c r="M180" s="8" t="str">
        <f>CONCATENATE(K180," ",L180)</f>
        <v>ASCAZ HOSPITALARIA</v>
      </c>
      <c r="N180" s="8" t="s">
        <v>176</v>
      </c>
      <c r="O180" s="102" t="s">
        <v>1257</v>
      </c>
      <c r="P180" s="102" t="s">
        <v>73</v>
      </c>
      <c r="Q180" s="102" t="s">
        <v>362</v>
      </c>
      <c r="R180" s="8" t="s">
        <v>2</v>
      </c>
      <c r="S180" s="8" t="s">
        <v>838</v>
      </c>
      <c r="T180" s="8" t="s">
        <v>753</v>
      </c>
      <c r="U180" s="4">
        <v>28451</v>
      </c>
      <c r="V180" s="10">
        <f ca="1">YEAR($V$1)-YEAR(U180)</f>
        <v>41</v>
      </c>
      <c r="W180" s="8" t="s">
        <v>361</v>
      </c>
      <c r="X180" s="102" t="s">
        <v>360</v>
      </c>
      <c r="Y180" s="8">
        <v>19</v>
      </c>
      <c r="Z180" s="8" t="s">
        <v>359</v>
      </c>
      <c r="AA180" s="8" t="s">
        <v>0</v>
      </c>
      <c r="AB180" s="8" t="s">
        <v>35</v>
      </c>
      <c r="AC180" s="8">
        <v>33210</v>
      </c>
      <c r="AD180" s="8">
        <v>645495596</v>
      </c>
      <c r="AE180" s="103" t="s">
        <v>1118</v>
      </c>
      <c r="AF180" s="8" t="s">
        <v>226</v>
      </c>
      <c r="AG180" s="8" t="s">
        <v>14</v>
      </c>
      <c r="AH180" s="8">
        <v>5657</v>
      </c>
      <c r="AI180" s="8">
        <v>48</v>
      </c>
      <c r="AJ180" s="8" t="s">
        <v>357</v>
      </c>
      <c r="AK180" s="98"/>
      <c r="AL180" s="11"/>
      <c r="AM180" s="104">
        <v>10</v>
      </c>
    </row>
    <row r="181" spans="1:39" ht="15" customHeight="1" x14ac:dyDescent="0.25">
      <c r="A181" s="85">
        <v>181</v>
      </c>
      <c r="B181" s="93"/>
      <c r="C181" s="94">
        <v>62</v>
      </c>
      <c r="D181" s="95"/>
      <c r="E181" s="9"/>
      <c r="F181" s="9"/>
      <c r="G181" s="9"/>
      <c r="H181" s="9"/>
      <c r="I181" s="9"/>
      <c r="J181" s="9"/>
      <c r="K181" s="9"/>
      <c r="L181" s="9"/>
      <c r="M181" s="106"/>
      <c r="N181" s="9"/>
      <c r="O181" s="107"/>
      <c r="P181" s="107"/>
      <c r="Q181" s="107"/>
      <c r="R181" s="9"/>
      <c r="S181" s="9"/>
      <c r="T181" s="9"/>
      <c r="U181" s="6"/>
      <c r="V181" s="9"/>
      <c r="W181" s="9"/>
      <c r="X181" s="107"/>
      <c r="Y181" s="9"/>
      <c r="Z181" s="9"/>
      <c r="AA181" s="9"/>
      <c r="AB181" s="9"/>
      <c r="AC181" s="9"/>
      <c r="AD181" s="9"/>
      <c r="AE181" s="108"/>
      <c r="AF181" s="9"/>
      <c r="AG181" s="9"/>
      <c r="AH181" s="9"/>
      <c r="AI181" s="9"/>
      <c r="AJ181" s="9"/>
      <c r="AK181" s="98"/>
      <c r="AL181" s="99">
        <v>30</v>
      </c>
      <c r="AM181" s="99"/>
    </row>
    <row r="182" spans="1:39" ht="15" customHeight="1" x14ac:dyDescent="0.25">
      <c r="A182" s="85">
        <v>182</v>
      </c>
      <c r="B182" s="129"/>
      <c r="C182" s="11"/>
      <c r="D182" s="8" t="s">
        <v>826</v>
      </c>
      <c r="E182" s="8" t="s">
        <v>839</v>
      </c>
      <c r="F182" s="8"/>
      <c r="G182" s="8" t="s">
        <v>921</v>
      </c>
      <c r="H182" s="8"/>
      <c r="I182" s="101"/>
      <c r="J182" s="8" t="s">
        <v>684</v>
      </c>
      <c r="K182" s="8" t="s">
        <v>1352</v>
      </c>
      <c r="L182" s="8" t="s">
        <v>1354</v>
      </c>
      <c r="M182" s="8" t="str">
        <f>CONCATENATE(K182," ",L182)</f>
        <v>ASCAZ HOSPITALARIA</v>
      </c>
      <c r="N182" s="8" t="s">
        <v>176</v>
      </c>
      <c r="O182" s="102" t="s">
        <v>1245</v>
      </c>
      <c r="P182" s="102" t="s">
        <v>1119</v>
      </c>
      <c r="Q182" s="102" t="s">
        <v>1120</v>
      </c>
      <c r="R182" s="8" t="s">
        <v>2</v>
      </c>
      <c r="S182" s="8" t="s">
        <v>356</v>
      </c>
      <c r="T182" s="8" t="s">
        <v>772</v>
      </c>
      <c r="U182" s="4">
        <v>20317</v>
      </c>
      <c r="V182" s="10">
        <f ca="1">YEAR($V$1)-YEAR(U182)</f>
        <v>63</v>
      </c>
      <c r="W182" s="8" t="s">
        <v>1</v>
      </c>
      <c r="X182" s="102" t="s">
        <v>1121</v>
      </c>
      <c r="Y182" s="8">
        <v>17</v>
      </c>
      <c r="Z182" s="8" t="s">
        <v>90</v>
      </c>
      <c r="AA182" s="8" t="s">
        <v>0</v>
      </c>
      <c r="AB182" s="8" t="s">
        <v>35</v>
      </c>
      <c r="AC182" s="8">
        <v>33212</v>
      </c>
      <c r="AD182" s="8">
        <v>675600832</v>
      </c>
      <c r="AE182" s="103" t="s">
        <v>1122</v>
      </c>
      <c r="AF182" s="8" t="s">
        <v>354</v>
      </c>
      <c r="AG182" s="8">
        <v>2048</v>
      </c>
      <c r="AH182" s="8" t="s">
        <v>353</v>
      </c>
      <c r="AI182" s="8">
        <v>38</v>
      </c>
      <c r="AJ182" s="8">
        <v>3000128004</v>
      </c>
      <c r="AK182" s="98"/>
      <c r="AL182" s="11"/>
      <c r="AM182" s="104">
        <v>10</v>
      </c>
    </row>
    <row r="183" spans="1:39" ht="15" customHeight="1" x14ac:dyDescent="0.25">
      <c r="A183" s="85">
        <v>183</v>
      </c>
      <c r="B183" s="93"/>
      <c r="C183" s="94">
        <v>63</v>
      </c>
      <c r="D183" s="95"/>
      <c r="E183" s="9"/>
      <c r="F183" s="9"/>
      <c r="G183" s="9"/>
      <c r="H183" s="9"/>
      <c r="I183" s="9"/>
      <c r="J183" s="9"/>
      <c r="K183" s="9"/>
      <c r="L183" s="9"/>
      <c r="M183" s="106"/>
      <c r="N183" s="9"/>
      <c r="O183" s="107"/>
      <c r="P183" s="107"/>
      <c r="Q183" s="107"/>
      <c r="R183" s="9"/>
      <c r="S183" s="9"/>
      <c r="T183" s="9"/>
      <c r="U183" s="6"/>
      <c r="V183" s="9"/>
      <c r="W183" s="9"/>
      <c r="X183" s="107"/>
      <c r="Y183" s="9"/>
      <c r="Z183" s="9"/>
      <c r="AA183" s="9"/>
      <c r="AB183" s="9"/>
      <c r="AC183" s="9"/>
      <c r="AD183" s="9"/>
      <c r="AE183" s="108"/>
      <c r="AF183" s="9"/>
      <c r="AG183" s="9"/>
      <c r="AH183" s="9"/>
      <c r="AI183" s="9"/>
      <c r="AJ183" s="9"/>
      <c r="AK183" s="98"/>
      <c r="AL183" s="99">
        <v>0</v>
      </c>
      <c r="AM183" s="99"/>
    </row>
    <row r="184" spans="1:39" ht="15" customHeight="1" x14ac:dyDescent="0.25">
      <c r="A184" s="85">
        <v>184</v>
      </c>
      <c r="B184" s="130"/>
      <c r="C184" s="11"/>
      <c r="D184" s="8" t="s">
        <v>827</v>
      </c>
      <c r="E184" s="8" t="s">
        <v>839</v>
      </c>
      <c r="F184" s="8"/>
      <c r="G184" s="8" t="s">
        <v>920</v>
      </c>
      <c r="H184" s="8"/>
      <c r="I184" s="101"/>
      <c r="J184" s="8" t="s">
        <v>684</v>
      </c>
      <c r="K184" s="8" t="s">
        <v>1352</v>
      </c>
      <c r="L184" s="8" t="s">
        <v>1354</v>
      </c>
      <c r="M184" s="8" t="str">
        <f>CONCATENATE(K184," ",L184)</f>
        <v>ASCAZ HOSPITALARIA</v>
      </c>
      <c r="N184" s="8" t="s">
        <v>176</v>
      </c>
      <c r="O184" s="102" t="s">
        <v>1123</v>
      </c>
      <c r="P184" s="102" t="s">
        <v>644</v>
      </c>
      <c r="Q184" s="102" t="s">
        <v>199</v>
      </c>
      <c r="R184" s="8" t="s">
        <v>2</v>
      </c>
      <c r="S184" s="8" t="s">
        <v>352</v>
      </c>
      <c r="T184" s="8" t="s">
        <v>753</v>
      </c>
      <c r="U184" s="4">
        <v>29865</v>
      </c>
      <c r="V184" s="10">
        <f ca="1">YEAR($V$1)-YEAR(U184)</f>
        <v>37</v>
      </c>
      <c r="W184" s="8" t="s">
        <v>1</v>
      </c>
      <c r="X184" s="102" t="s">
        <v>1258</v>
      </c>
      <c r="Y184" s="8">
        <v>16</v>
      </c>
      <c r="Z184" s="8" t="s">
        <v>351</v>
      </c>
      <c r="AA184" s="8" t="s">
        <v>0</v>
      </c>
      <c r="AB184" s="8" t="s">
        <v>35</v>
      </c>
      <c r="AC184" s="8">
        <v>33213</v>
      </c>
      <c r="AD184" s="8">
        <v>699674596</v>
      </c>
      <c r="AE184" s="103" t="s">
        <v>1124</v>
      </c>
      <c r="AF184" s="8" t="s">
        <v>349</v>
      </c>
      <c r="AG184" s="8">
        <v>2048</v>
      </c>
      <c r="AH184" s="8" t="s">
        <v>49</v>
      </c>
      <c r="AI184" s="8">
        <v>66</v>
      </c>
      <c r="AJ184" s="8">
        <v>3001125283</v>
      </c>
      <c r="AK184" s="98"/>
      <c r="AL184" s="11"/>
      <c r="AM184" s="104">
        <v>10</v>
      </c>
    </row>
    <row r="185" spans="1:39" ht="15" customHeight="1" x14ac:dyDescent="0.25">
      <c r="A185" s="85">
        <v>185</v>
      </c>
      <c r="B185" s="93"/>
      <c r="C185" s="94">
        <v>64</v>
      </c>
      <c r="D185" s="95"/>
      <c r="E185" s="9"/>
      <c r="F185" s="9"/>
      <c r="G185" s="9"/>
      <c r="H185" s="9"/>
      <c r="I185" s="9"/>
      <c r="J185" s="9"/>
      <c r="K185" s="9"/>
      <c r="L185" s="9"/>
      <c r="M185" s="106"/>
      <c r="N185" s="9"/>
      <c r="O185" s="107"/>
      <c r="P185" s="107"/>
      <c r="Q185" s="107"/>
      <c r="R185" s="9"/>
      <c r="S185" s="9"/>
      <c r="T185" s="9"/>
      <c r="U185" s="6"/>
      <c r="V185" s="9"/>
      <c r="W185" s="9"/>
      <c r="X185" s="107"/>
      <c r="Y185" s="9"/>
      <c r="Z185" s="9"/>
      <c r="AA185" s="9"/>
      <c r="AB185" s="9"/>
      <c r="AC185" s="9"/>
      <c r="AD185" s="9"/>
      <c r="AE185" s="108"/>
      <c r="AF185" s="9"/>
      <c r="AG185" s="9"/>
      <c r="AH185" s="9"/>
      <c r="AI185" s="9"/>
      <c r="AJ185" s="9"/>
      <c r="AK185" s="98"/>
      <c r="AL185" s="99">
        <v>0</v>
      </c>
      <c r="AM185" s="99"/>
    </row>
    <row r="186" spans="1:39" ht="15" customHeight="1" x14ac:dyDescent="0.25">
      <c r="A186" s="85">
        <v>186</v>
      </c>
      <c r="B186" s="93"/>
      <c r="C186" s="11"/>
      <c r="D186" s="8" t="s">
        <v>828</v>
      </c>
      <c r="E186" s="8" t="s">
        <v>684</v>
      </c>
      <c r="F186" s="8"/>
      <c r="G186" s="8" t="s">
        <v>923</v>
      </c>
      <c r="H186" s="8"/>
      <c r="I186" s="101"/>
      <c r="J186" s="8" t="s">
        <v>839</v>
      </c>
      <c r="K186" s="8"/>
      <c r="L186" s="8"/>
      <c r="M186" s="106"/>
      <c r="N186" s="8" t="s">
        <v>176</v>
      </c>
      <c r="O186" s="102" t="s">
        <v>1125</v>
      </c>
      <c r="P186" s="102" t="s">
        <v>462</v>
      </c>
      <c r="Q186" s="102" t="s">
        <v>1031</v>
      </c>
      <c r="R186" s="8" t="s">
        <v>2</v>
      </c>
      <c r="S186" s="8" t="s">
        <v>1126</v>
      </c>
      <c r="T186" s="8" t="s">
        <v>772</v>
      </c>
      <c r="U186" s="4">
        <v>28157</v>
      </c>
      <c r="V186" s="10">
        <f ca="1">YEAR($V$1)-YEAR(U186)</f>
        <v>41</v>
      </c>
      <c r="W186" s="8" t="s">
        <v>1</v>
      </c>
      <c r="X186" s="102" t="s">
        <v>1315</v>
      </c>
      <c r="Y186" s="8" t="s">
        <v>1316</v>
      </c>
      <c r="Z186" s="8" t="s">
        <v>1317</v>
      </c>
      <c r="AA186" s="8" t="s">
        <v>0</v>
      </c>
      <c r="AB186" s="8" t="s">
        <v>35</v>
      </c>
      <c r="AC186" s="8" t="s">
        <v>1318</v>
      </c>
      <c r="AD186" s="8">
        <v>655118621</v>
      </c>
      <c r="AE186" s="103" t="s">
        <v>1127</v>
      </c>
      <c r="AF186" s="8"/>
      <c r="AG186" s="8"/>
      <c r="AH186" s="8"/>
      <c r="AI186" s="8"/>
      <c r="AJ186" s="8"/>
      <c r="AK186" s="98"/>
      <c r="AL186" s="11"/>
      <c r="AM186" s="104">
        <v>10</v>
      </c>
    </row>
    <row r="187" spans="1:39" ht="15" customHeight="1" x14ac:dyDescent="0.25">
      <c r="A187" s="85">
        <v>187</v>
      </c>
      <c r="B187" s="93"/>
      <c r="C187" s="94">
        <v>65</v>
      </c>
      <c r="D187" s="95"/>
      <c r="E187" s="9"/>
      <c r="F187" s="9"/>
      <c r="G187" s="9"/>
      <c r="H187" s="9"/>
      <c r="I187" s="9"/>
      <c r="J187" s="9"/>
      <c r="K187" s="9"/>
      <c r="L187" s="9"/>
      <c r="M187" s="106"/>
      <c r="N187" s="9"/>
      <c r="O187" s="107"/>
      <c r="P187" s="107"/>
      <c r="Q187" s="107"/>
      <c r="R187" s="9"/>
      <c r="S187" s="9"/>
      <c r="T187" s="9"/>
      <c r="U187" s="6"/>
      <c r="V187" s="9"/>
      <c r="W187" s="9"/>
      <c r="X187" s="107"/>
      <c r="Y187" s="9"/>
      <c r="Z187" s="9"/>
      <c r="AA187" s="9"/>
      <c r="AB187" s="9"/>
      <c r="AC187" s="9"/>
      <c r="AD187" s="9"/>
      <c r="AE187" s="108"/>
      <c r="AF187" s="9"/>
      <c r="AG187" s="9"/>
      <c r="AH187" s="9"/>
      <c r="AI187" s="9"/>
      <c r="AJ187" s="9"/>
      <c r="AK187" s="98"/>
      <c r="AL187" s="99">
        <v>30</v>
      </c>
      <c r="AM187" s="99"/>
    </row>
    <row r="188" spans="1:39" ht="15" customHeight="1" x14ac:dyDescent="0.25">
      <c r="A188" s="85">
        <v>188</v>
      </c>
      <c r="B188" s="93"/>
      <c r="C188" s="11"/>
      <c r="D188" s="8" t="s">
        <v>829</v>
      </c>
      <c r="E188" s="8" t="s">
        <v>839</v>
      </c>
      <c r="F188" s="8"/>
      <c r="G188" s="8" t="s">
        <v>921</v>
      </c>
      <c r="H188" s="8"/>
      <c r="I188" s="174"/>
      <c r="J188" s="8" t="s">
        <v>684</v>
      </c>
      <c r="K188" s="8" t="s">
        <v>1352</v>
      </c>
      <c r="L188" s="8" t="s">
        <v>1354</v>
      </c>
      <c r="M188" s="8" t="str">
        <f>CONCATENATE(K188," ",L188)</f>
        <v>ASCAZ HOSPITALARIA</v>
      </c>
      <c r="N188" s="8" t="s">
        <v>176</v>
      </c>
      <c r="O188" s="102" t="s">
        <v>346</v>
      </c>
      <c r="P188" s="102" t="s">
        <v>199</v>
      </c>
      <c r="Q188" s="102" t="s">
        <v>334</v>
      </c>
      <c r="R188" s="8" t="s">
        <v>2</v>
      </c>
      <c r="S188" s="8" t="s">
        <v>345</v>
      </c>
      <c r="T188" s="8" t="s">
        <v>753</v>
      </c>
      <c r="U188" s="4">
        <v>26477</v>
      </c>
      <c r="V188" s="10">
        <f ca="1">YEAR($V$1)-YEAR(U188)</f>
        <v>46</v>
      </c>
      <c r="W188" s="8" t="s">
        <v>1</v>
      </c>
      <c r="X188" s="102" t="s">
        <v>332</v>
      </c>
      <c r="Y188" s="8">
        <v>4</v>
      </c>
      <c r="Z188" s="8" t="s">
        <v>338</v>
      </c>
      <c r="AA188" s="8" t="s">
        <v>0</v>
      </c>
      <c r="AB188" s="8" t="s">
        <v>8</v>
      </c>
      <c r="AC188" s="8">
        <v>33011</v>
      </c>
      <c r="AD188" s="8">
        <v>669330115</v>
      </c>
      <c r="AE188" s="103" t="s">
        <v>1128</v>
      </c>
      <c r="AF188" s="8" t="s">
        <v>1238</v>
      </c>
      <c r="AG188" s="8">
        <v>2085</v>
      </c>
      <c r="AH188" s="8">
        <v>8147</v>
      </c>
      <c r="AI188" s="8" t="s">
        <v>343</v>
      </c>
      <c r="AJ188" s="8" t="s">
        <v>342</v>
      </c>
      <c r="AK188" s="98"/>
      <c r="AL188" s="11"/>
      <c r="AM188" s="104">
        <v>10</v>
      </c>
    </row>
    <row r="189" spans="1:39" ht="15" customHeight="1" x14ac:dyDescent="0.25">
      <c r="A189" s="85">
        <v>189</v>
      </c>
      <c r="B189" s="93"/>
      <c r="C189" s="94">
        <v>66</v>
      </c>
      <c r="D189" s="95"/>
      <c r="E189" s="9"/>
      <c r="F189" s="9"/>
      <c r="G189" s="9"/>
      <c r="H189" s="9"/>
      <c r="I189" s="9"/>
      <c r="J189" s="9"/>
      <c r="K189" s="9"/>
      <c r="L189" s="9"/>
      <c r="M189" s="106"/>
      <c r="N189" s="9"/>
      <c r="O189" s="107"/>
      <c r="P189" s="107"/>
      <c r="Q189" s="107"/>
      <c r="R189" s="9"/>
      <c r="S189" s="9"/>
      <c r="T189" s="9"/>
      <c r="U189" s="6"/>
      <c r="V189" s="9"/>
      <c r="W189" s="9"/>
      <c r="X189" s="107"/>
      <c r="Y189" s="9"/>
      <c r="Z189" s="9"/>
      <c r="AA189" s="9"/>
      <c r="AB189" s="9"/>
      <c r="AC189" s="9"/>
      <c r="AD189" s="9"/>
      <c r="AE189" s="108"/>
      <c r="AF189" s="9"/>
      <c r="AG189" s="9"/>
      <c r="AH189" s="9"/>
      <c r="AI189" s="9"/>
      <c r="AJ189" s="9"/>
      <c r="AK189" s="98"/>
      <c r="AL189" s="99">
        <v>30</v>
      </c>
      <c r="AM189" s="99"/>
    </row>
    <row r="190" spans="1:39" ht="15" customHeight="1" x14ac:dyDescent="0.25">
      <c r="A190" s="85">
        <v>190</v>
      </c>
      <c r="B190" s="93"/>
      <c r="C190" s="11"/>
      <c r="D190" s="8" t="s">
        <v>830</v>
      </c>
      <c r="E190" s="8" t="s">
        <v>839</v>
      </c>
      <c r="F190" s="8"/>
      <c r="G190" s="8" t="s">
        <v>921</v>
      </c>
      <c r="H190" s="8"/>
      <c r="I190" s="174"/>
      <c r="J190" s="8" t="s">
        <v>684</v>
      </c>
      <c r="K190" s="8" t="s">
        <v>1352</v>
      </c>
      <c r="L190" s="8" t="s">
        <v>1354</v>
      </c>
      <c r="M190" s="8" t="str">
        <f>CONCATENATE(K190," ",L190)</f>
        <v>ASCAZ HOSPITALARIA</v>
      </c>
      <c r="N190" s="8" t="s">
        <v>176</v>
      </c>
      <c r="O190" s="102" t="s">
        <v>341</v>
      </c>
      <c r="P190" s="102" t="s">
        <v>199</v>
      </c>
      <c r="Q190" s="102" t="s">
        <v>340</v>
      </c>
      <c r="R190" s="8" t="s">
        <v>2</v>
      </c>
      <c r="S190" s="8" t="s">
        <v>339</v>
      </c>
      <c r="T190" s="8" t="s">
        <v>772</v>
      </c>
      <c r="U190" s="4">
        <v>14400</v>
      </c>
      <c r="V190" s="10">
        <f ca="1">YEAR($V$1)-YEAR(U190)</f>
        <v>79</v>
      </c>
      <c r="W190" s="8" t="s">
        <v>1</v>
      </c>
      <c r="X190" s="102" t="s">
        <v>332</v>
      </c>
      <c r="Y190" s="8">
        <v>4</v>
      </c>
      <c r="Z190" s="8" t="s">
        <v>338</v>
      </c>
      <c r="AA190" s="8" t="s">
        <v>0</v>
      </c>
      <c r="AB190" s="8" t="s">
        <v>8</v>
      </c>
      <c r="AC190" s="8">
        <v>33011</v>
      </c>
      <c r="AD190" s="8">
        <v>660323924</v>
      </c>
      <c r="AE190" s="103" t="s">
        <v>1128</v>
      </c>
      <c r="AF190" s="8" t="s">
        <v>337</v>
      </c>
      <c r="AG190" s="8">
        <v>2048</v>
      </c>
      <c r="AH190" s="8" t="s">
        <v>336</v>
      </c>
      <c r="AI190" s="8">
        <v>50</v>
      </c>
      <c r="AJ190" s="8">
        <v>3000165383</v>
      </c>
      <c r="AK190" s="98"/>
      <c r="AL190" s="11"/>
      <c r="AM190" s="104">
        <v>10</v>
      </c>
    </row>
    <row r="191" spans="1:39" ht="15" customHeight="1" x14ac:dyDescent="0.25">
      <c r="A191" s="85">
        <v>191</v>
      </c>
      <c r="B191" s="93"/>
      <c r="C191" s="94">
        <v>67</v>
      </c>
      <c r="D191" s="95"/>
      <c r="E191" s="9"/>
      <c r="F191" s="9"/>
      <c r="G191" s="9"/>
      <c r="H191" s="9"/>
      <c r="I191" s="9"/>
      <c r="J191" s="9"/>
      <c r="K191" s="9"/>
      <c r="L191" s="9"/>
      <c r="M191" s="106"/>
      <c r="N191" s="9"/>
      <c r="O191" s="107"/>
      <c r="P191" s="107"/>
      <c r="Q191" s="107"/>
      <c r="R191" s="9"/>
      <c r="S191" s="9"/>
      <c r="T191" s="9"/>
      <c r="U191" s="6"/>
      <c r="V191" s="9"/>
      <c r="W191" s="9"/>
      <c r="X191" s="107"/>
      <c r="Y191" s="9"/>
      <c r="Z191" s="9"/>
      <c r="AA191" s="9"/>
      <c r="AB191" s="9"/>
      <c r="AC191" s="9"/>
      <c r="AD191" s="9"/>
      <c r="AE191" s="108"/>
      <c r="AF191" s="9"/>
      <c r="AG191" s="9"/>
      <c r="AH191" s="9"/>
      <c r="AI191" s="9"/>
      <c r="AJ191" s="9"/>
      <c r="AK191" s="98"/>
      <c r="AL191" s="99">
        <v>30</v>
      </c>
      <c r="AM191" s="99"/>
    </row>
    <row r="192" spans="1:39" ht="15" customHeight="1" x14ac:dyDescent="0.25">
      <c r="A192" s="85">
        <v>192</v>
      </c>
      <c r="B192" s="93"/>
      <c r="C192" s="11"/>
      <c r="D192" s="8" t="s">
        <v>831</v>
      </c>
      <c r="E192" s="8" t="s">
        <v>839</v>
      </c>
      <c r="F192" s="8"/>
      <c r="G192" s="8" t="s">
        <v>921</v>
      </c>
      <c r="H192" s="8"/>
      <c r="I192" s="174"/>
      <c r="J192" s="8" t="s">
        <v>684</v>
      </c>
      <c r="K192" s="8" t="s">
        <v>1352</v>
      </c>
      <c r="L192" s="8" t="s">
        <v>1354</v>
      </c>
      <c r="M192" s="8" t="str">
        <f>CONCATENATE(K192," ",L192)</f>
        <v>ASCAZ HOSPITALARIA</v>
      </c>
      <c r="N192" s="8" t="s">
        <v>176</v>
      </c>
      <c r="O192" s="102" t="s">
        <v>335</v>
      </c>
      <c r="P192" s="102" t="s">
        <v>199</v>
      </c>
      <c r="Q192" s="102" t="s">
        <v>334</v>
      </c>
      <c r="R192" s="8" t="s">
        <v>2</v>
      </c>
      <c r="S192" s="8" t="s">
        <v>333</v>
      </c>
      <c r="T192" s="8" t="s">
        <v>753</v>
      </c>
      <c r="U192" s="4">
        <v>28336</v>
      </c>
      <c r="V192" s="10">
        <f ca="1">YEAR($V$1)-YEAR(U192)</f>
        <v>41</v>
      </c>
      <c r="W192" s="8" t="s">
        <v>1</v>
      </c>
      <c r="X192" s="102" t="s">
        <v>332</v>
      </c>
      <c r="Y192" s="8">
        <v>29</v>
      </c>
      <c r="Z192" s="8" t="s">
        <v>331</v>
      </c>
      <c r="AA192" s="8" t="s">
        <v>0</v>
      </c>
      <c r="AB192" s="8" t="s">
        <v>8</v>
      </c>
      <c r="AC192" s="8">
        <v>33011</v>
      </c>
      <c r="AD192" s="8">
        <v>659842182</v>
      </c>
      <c r="AE192" s="103" t="s">
        <v>1129</v>
      </c>
      <c r="AF192" s="8" t="s">
        <v>323</v>
      </c>
      <c r="AG192" s="8" t="s">
        <v>19</v>
      </c>
      <c r="AH192" s="8">
        <v>3709</v>
      </c>
      <c r="AI192" s="8">
        <v>28</v>
      </c>
      <c r="AJ192" s="8">
        <v>2195558854</v>
      </c>
      <c r="AK192" s="98"/>
      <c r="AL192" s="11"/>
      <c r="AM192" s="104">
        <v>10</v>
      </c>
    </row>
    <row r="193" spans="1:39" ht="15" customHeight="1" x14ac:dyDescent="0.25">
      <c r="A193" s="85">
        <v>193</v>
      </c>
      <c r="B193" s="93"/>
      <c r="C193" s="94">
        <v>68</v>
      </c>
      <c r="D193" s="95"/>
      <c r="E193" s="9"/>
      <c r="F193" s="9"/>
      <c r="G193" s="9"/>
      <c r="H193" s="9"/>
      <c r="I193" s="9"/>
      <c r="J193" s="9"/>
      <c r="K193" s="9"/>
      <c r="L193" s="9"/>
      <c r="M193" s="106"/>
      <c r="N193" s="9"/>
      <c r="O193" s="107"/>
      <c r="P193" s="107"/>
      <c r="Q193" s="107"/>
      <c r="R193" s="9"/>
      <c r="S193" s="9"/>
      <c r="T193" s="9"/>
      <c r="U193" s="6"/>
      <c r="V193" s="9"/>
      <c r="W193" s="9"/>
      <c r="X193" s="107"/>
      <c r="Y193" s="9"/>
      <c r="Z193" s="9"/>
      <c r="AA193" s="9"/>
      <c r="AB193" s="9"/>
      <c r="AC193" s="9"/>
      <c r="AD193" s="9"/>
      <c r="AE193" s="108"/>
      <c r="AF193" s="9"/>
      <c r="AG193" s="9"/>
      <c r="AH193" s="9"/>
      <c r="AI193" s="9"/>
      <c r="AJ193" s="9"/>
      <c r="AK193" s="98"/>
      <c r="AL193" s="99">
        <v>0</v>
      </c>
      <c r="AM193" s="99"/>
    </row>
    <row r="194" spans="1:39" ht="15" customHeight="1" x14ac:dyDescent="0.25">
      <c r="A194" s="85">
        <v>194</v>
      </c>
      <c r="B194" s="129"/>
      <c r="C194" s="11"/>
      <c r="D194" s="8" t="s">
        <v>832</v>
      </c>
      <c r="E194" s="8" t="s">
        <v>839</v>
      </c>
      <c r="F194" s="8"/>
      <c r="G194" s="8" t="s">
        <v>920</v>
      </c>
      <c r="H194" s="8"/>
      <c r="I194" s="174"/>
      <c r="J194" s="8" t="s">
        <v>684</v>
      </c>
      <c r="K194" s="8" t="s">
        <v>1352</v>
      </c>
      <c r="L194" s="8" t="s">
        <v>1354</v>
      </c>
      <c r="M194" s="8" t="str">
        <f t="shared" ref="M194:M195" si="72">CONCATENATE(K194," ",L194)</f>
        <v>ASCAZ HOSPITALARIA</v>
      </c>
      <c r="N194" s="8" t="s">
        <v>176</v>
      </c>
      <c r="O194" s="102" t="s">
        <v>329</v>
      </c>
      <c r="P194" s="102" t="s">
        <v>199</v>
      </c>
      <c r="Q194" s="102" t="s">
        <v>328</v>
      </c>
      <c r="R194" s="8" t="s">
        <v>2</v>
      </c>
      <c r="S194" s="8" t="s">
        <v>327</v>
      </c>
      <c r="T194" s="8" t="s">
        <v>772</v>
      </c>
      <c r="U194" s="4">
        <v>28853</v>
      </c>
      <c r="V194" s="10">
        <f t="shared" ref="V194:V195" ca="1" si="73">YEAR($V$1)-YEAR(U194)</f>
        <v>40</v>
      </c>
      <c r="W194" s="8"/>
      <c r="X194" s="102" t="s">
        <v>1130</v>
      </c>
      <c r="Y194" s="8">
        <v>10</v>
      </c>
      <c r="Z194" s="8" t="s">
        <v>934</v>
      </c>
      <c r="AA194" s="8" t="s">
        <v>0</v>
      </c>
      <c r="AB194" s="8" t="s">
        <v>611</v>
      </c>
      <c r="AC194" s="8">
        <v>33936</v>
      </c>
      <c r="AD194" s="8">
        <v>696465869</v>
      </c>
      <c r="AE194" s="103" t="s">
        <v>1131</v>
      </c>
      <c r="AF194" s="8" t="s">
        <v>323</v>
      </c>
      <c r="AG194" s="8">
        <v>3059</v>
      </c>
      <c r="AH194" s="8" t="s">
        <v>322</v>
      </c>
      <c r="AI194" s="8">
        <v>88</v>
      </c>
      <c r="AJ194" s="8">
        <v>2736383726</v>
      </c>
      <c r="AK194" s="98"/>
      <c r="AL194" s="11"/>
      <c r="AM194" s="104">
        <v>10</v>
      </c>
    </row>
    <row r="195" spans="1:39" ht="15" customHeight="1" x14ac:dyDescent="0.25">
      <c r="A195" s="85">
        <v>195</v>
      </c>
      <c r="B195" s="129"/>
      <c r="C195" s="11"/>
      <c r="D195" s="8" t="s">
        <v>833</v>
      </c>
      <c r="E195" s="8" t="s">
        <v>839</v>
      </c>
      <c r="F195" s="8"/>
      <c r="G195" s="8" t="s">
        <v>920</v>
      </c>
      <c r="H195" s="8"/>
      <c r="I195" s="174"/>
      <c r="J195" s="8" t="s">
        <v>684</v>
      </c>
      <c r="K195" s="8" t="s">
        <v>1352</v>
      </c>
      <c r="L195" s="8" t="s">
        <v>1354</v>
      </c>
      <c r="M195" s="8" t="str">
        <f t="shared" si="72"/>
        <v>ASCAZ HOSPITALARIA</v>
      </c>
      <c r="N195" s="8" t="s">
        <v>48</v>
      </c>
      <c r="O195" s="102" t="s">
        <v>307</v>
      </c>
      <c r="P195" s="102" t="s">
        <v>326</v>
      </c>
      <c r="Q195" s="102" t="s">
        <v>1282</v>
      </c>
      <c r="R195" s="8"/>
      <c r="S195" s="8" t="s">
        <v>325</v>
      </c>
      <c r="T195" s="8" t="s">
        <v>753</v>
      </c>
      <c r="U195" s="4">
        <v>28101</v>
      </c>
      <c r="V195" s="10">
        <f t="shared" ca="1" si="73"/>
        <v>42</v>
      </c>
      <c r="W195" s="8"/>
      <c r="X195" s="113"/>
      <c r="Y195" s="8"/>
      <c r="Z195" s="8"/>
      <c r="AA195" s="8"/>
      <c r="AB195" s="8"/>
      <c r="AC195" s="8"/>
      <c r="AD195" s="8"/>
      <c r="AE195" s="103"/>
      <c r="AF195" s="8"/>
      <c r="AG195" s="8"/>
      <c r="AH195" s="8"/>
      <c r="AI195" s="8"/>
      <c r="AJ195" s="8"/>
      <c r="AK195" s="98"/>
      <c r="AL195" s="11"/>
      <c r="AM195" s="104">
        <v>10</v>
      </c>
    </row>
    <row r="196" spans="1:39" ht="15" customHeight="1" x14ac:dyDescent="0.25">
      <c r="A196" s="85">
        <v>196</v>
      </c>
      <c r="B196" s="93"/>
      <c r="C196" s="94">
        <v>69</v>
      </c>
      <c r="D196" s="95"/>
      <c r="E196" s="9"/>
      <c r="F196" s="9"/>
      <c r="G196" s="9"/>
      <c r="H196" s="9"/>
      <c r="I196" s="9"/>
      <c r="J196" s="9"/>
      <c r="K196" s="9"/>
      <c r="L196" s="9"/>
      <c r="M196" s="106"/>
      <c r="N196" s="9"/>
      <c r="O196" s="107"/>
      <c r="P196" s="107"/>
      <c r="Q196" s="107"/>
      <c r="R196" s="9"/>
      <c r="S196" s="9"/>
      <c r="T196" s="9"/>
      <c r="U196" s="6"/>
      <c r="V196" s="9"/>
      <c r="W196" s="9"/>
      <c r="X196" s="107"/>
      <c r="Y196" s="9"/>
      <c r="Z196" s="9"/>
      <c r="AA196" s="9"/>
      <c r="AB196" s="9"/>
      <c r="AC196" s="9"/>
      <c r="AD196" s="9"/>
      <c r="AE196" s="108"/>
      <c r="AF196" s="9"/>
      <c r="AG196" s="9"/>
      <c r="AH196" s="9"/>
      <c r="AI196" s="9"/>
      <c r="AJ196" s="9"/>
      <c r="AK196" s="98"/>
      <c r="AL196" s="99">
        <v>0</v>
      </c>
      <c r="AM196" s="99"/>
    </row>
    <row r="197" spans="1:39" ht="15" customHeight="1" x14ac:dyDescent="0.25">
      <c r="A197" s="85">
        <v>197</v>
      </c>
      <c r="B197" s="93"/>
      <c r="C197" s="11"/>
      <c r="D197" s="8" t="s">
        <v>835</v>
      </c>
      <c r="E197" s="8" t="s">
        <v>839</v>
      </c>
      <c r="F197" s="8" t="s">
        <v>840</v>
      </c>
      <c r="G197" s="8" t="s">
        <v>920</v>
      </c>
      <c r="H197" s="8"/>
      <c r="I197" s="174"/>
      <c r="J197" s="8" t="s">
        <v>684</v>
      </c>
      <c r="K197" s="8" t="s">
        <v>1352</v>
      </c>
      <c r="L197" s="8" t="s">
        <v>1354</v>
      </c>
      <c r="M197" s="8" t="str">
        <f>CONCATENATE(K197," ",L197)</f>
        <v>ASCAZ HOSPITALARIA</v>
      </c>
      <c r="N197" s="8" t="s">
        <v>176</v>
      </c>
      <c r="O197" s="102" t="s">
        <v>1132</v>
      </c>
      <c r="P197" s="102" t="s">
        <v>1267</v>
      </c>
      <c r="Q197" s="102" t="s">
        <v>1133</v>
      </c>
      <c r="R197" s="8" t="s">
        <v>2</v>
      </c>
      <c r="S197" s="8" t="s">
        <v>321</v>
      </c>
      <c r="T197" s="8" t="s">
        <v>753</v>
      </c>
      <c r="U197" s="4">
        <v>16132</v>
      </c>
      <c r="V197" s="10">
        <f ca="1">YEAR($V$1)-YEAR(U197)</f>
        <v>74</v>
      </c>
      <c r="W197" s="8" t="s">
        <v>1</v>
      </c>
      <c r="X197" s="102" t="s">
        <v>1134</v>
      </c>
      <c r="Y197" s="8">
        <v>20</v>
      </c>
      <c r="Z197" s="8" t="s">
        <v>1135</v>
      </c>
      <c r="AA197" s="8" t="s">
        <v>0</v>
      </c>
      <c r="AB197" s="8" t="s">
        <v>8</v>
      </c>
      <c r="AC197" s="8">
        <v>33007</v>
      </c>
      <c r="AD197" s="8">
        <v>985234383</v>
      </c>
      <c r="AE197" s="114" t="s">
        <v>998</v>
      </c>
      <c r="AF197" s="8" t="s">
        <v>320</v>
      </c>
      <c r="AG197" s="8">
        <v>1465</v>
      </c>
      <c r="AH197" s="8" t="s">
        <v>162</v>
      </c>
      <c r="AI197" s="8">
        <v>19</v>
      </c>
      <c r="AJ197" s="8">
        <v>1715700000</v>
      </c>
      <c r="AK197" s="98"/>
      <c r="AL197" s="11"/>
      <c r="AM197" s="104">
        <v>10</v>
      </c>
    </row>
    <row r="198" spans="1:39" ht="15" customHeight="1" x14ac:dyDescent="0.25">
      <c r="A198" s="85">
        <v>198</v>
      </c>
      <c r="B198" s="93"/>
      <c r="C198" s="94">
        <v>70</v>
      </c>
      <c r="D198" s="95"/>
      <c r="E198" s="9"/>
      <c r="F198" s="9"/>
      <c r="G198" s="9"/>
      <c r="H198" s="9"/>
      <c r="I198" s="9"/>
      <c r="J198" s="9"/>
      <c r="K198" s="9"/>
      <c r="L198" s="9"/>
      <c r="M198" s="106"/>
      <c r="N198" s="9"/>
      <c r="O198" s="107"/>
      <c r="P198" s="107"/>
      <c r="Q198" s="107"/>
      <c r="R198" s="9"/>
      <c r="S198" s="9"/>
      <c r="T198" s="9"/>
      <c r="U198" s="6"/>
      <c r="V198" s="9"/>
      <c r="W198" s="9"/>
      <c r="X198" s="107"/>
      <c r="Y198" s="9"/>
      <c r="Z198" s="9"/>
      <c r="AA198" s="9"/>
      <c r="AB198" s="9"/>
      <c r="AC198" s="9"/>
      <c r="AD198" s="9"/>
      <c r="AE198" s="108"/>
      <c r="AF198" s="9"/>
      <c r="AG198" s="9"/>
      <c r="AH198" s="9"/>
      <c r="AI198" s="9"/>
      <c r="AJ198" s="9"/>
      <c r="AK198" s="98"/>
      <c r="AL198" s="99">
        <v>30</v>
      </c>
      <c r="AM198" s="99"/>
    </row>
    <row r="199" spans="1:39" ht="15" customHeight="1" x14ac:dyDescent="0.25">
      <c r="A199" s="85">
        <v>199</v>
      </c>
      <c r="B199" s="93"/>
      <c r="C199" s="11"/>
      <c r="D199" s="8" t="s">
        <v>836</v>
      </c>
      <c r="E199" s="8" t="s">
        <v>839</v>
      </c>
      <c r="F199" s="8" t="s">
        <v>840</v>
      </c>
      <c r="G199" s="8" t="s">
        <v>921</v>
      </c>
      <c r="H199" s="8"/>
      <c r="I199" s="174"/>
      <c r="J199" s="8" t="s">
        <v>684</v>
      </c>
      <c r="K199" s="8" t="s">
        <v>1352</v>
      </c>
      <c r="L199" s="8" t="s">
        <v>1354</v>
      </c>
      <c r="M199" s="8" t="str">
        <f t="shared" ref="M199:M200" si="74">CONCATENATE(K199," ",L199)</f>
        <v>ASCAZ HOSPITALARIA</v>
      </c>
      <c r="N199" s="8" t="s">
        <v>176</v>
      </c>
      <c r="O199" s="102" t="s">
        <v>1136</v>
      </c>
      <c r="P199" s="102" t="s">
        <v>1267</v>
      </c>
      <c r="Q199" s="102" t="s">
        <v>1133</v>
      </c>
      <c r="R199" s="8" t="s">
        <v>2</v>
      </c>
      <c r="S199" s="8" t="s">
        <v>319</v>
      </c>
      <c r="T199" s="8" t="s">
        <v>753</v>
      </c>
      <c r="U199" s="4">
        <v>13457</v>
      </c>
      <c r="V199" s="10">
        <f t="shared" ref="V199:V200" ca="1" si="75">YEAR($V$1)-YEAR(U199)</f>
        <v>82</v>
      </c>
      <c r="W199" s="8" t="s">
        <v>1</v>
      </c>
      <c r="X199" s="102" t="s">
        <v>1137</v>
      </c>
      <c r="Y199" s="8">
        <v>4</v>
      </c>
      <c r="Z199" s="8" t="s">
        <v>318</v>
      </c>
      <c r="AA199" s="8" t="s">
        <v>0</v>
      </c>
      <c r="AB199" s="8" t="s">
        <v>8</v>
      </c>
      <c r="AC199" s="8">
        <v>33001</v>
      </c>
      <c r="AD199" s="8"/>
      <c r="AE199" s="103" t="s">
        <v>998</v>
      </c>
      <c r="AF199" s="8" t="s">
        <v>317</v>
      </c>
      <c r="AG199" s="8" t="s">
        <v>14</v>
      </c>
      <c r="AH199" s="8">
        <v>5051</v>
      </c>
      <c r="AI199" s="8">
        <v>54</v>
      </c>
      <c r="AJ199" s="8" t="s">
        <v>316</v>
      </c>
      <c r="AK199" s="98"/>
      <c r="AL199" s="11"/>
      <c r="AM199" s="104">
        <v>10</v>
      </c>
    </row>
    <row r="200" spans="1:39" ht="15" customHeight="1" x14ac:dyDescent="0.25">
      <c r="A200" s="85">
        <v>200</v>
      </c>
      <c r="B200" s="93"/>
      <c r="C200" s="11"/>
      <c r="D200" s="8" t="s">
        <v>837</v>
      </c>
      <c r="E200" s="8" t="s">
        <v>839</v>
      </c>
      <c r="F200" s="8" t="s">
        <v>840</v>
      </c>
      <c r="G200" s="8" t="s">
        <v>921</v>
      </c>
      <c r="H200" s="8"/>
      <c r="I200" s="174"/>
      <c r="J200" s="8" t="s">
        <v>684</v>
      </c>
      <c r="K200" s="8" t="s">
        <v>1352</v>
      </c>
      <c r="L200" s="8" t="s">
        <v>1354</v>
      </c>
      <c r="M200" s="8" t="str">
        <f t="shared" si="74"/>
        <v>ASCAZ HOSPITALARIA</v>
      </c>
      <c r="N200" s="8" t="s">
        <v>48</v>
      </c>
      <c r="O200" s="102" t="s">
        <v>1138</v>
      </c>
      <c r="P200" s="102" t="s">
        <v>1267</v>
      </c>
      <c r="Q200" s="102" t="s">
        <v>1133</v>
      </c>
      <c r="R200" s="8"/>
      <c r="S200" s="8" t="s">
        <v>315</v>
      </c>
      <c r="T200" s="8" t="s">
        <v>753</v>
      </c>
      <c r="U200" s="4">
        <v>14185</v>
      </c>
      <c r="V200" s="10">
        <f t="shared" ca="1" si="75"/>
        <v>80</v>
      </c>
      <c r="W200" s="8"/>
      <c r="X200" s="102"/>
      <c r="Y200" s="8"/>
      <c r="Z200" s="8"/>
      <c r="AA200" s="8"/>
      <c r="AB200" s="8"/>
      <c r="AC200" s="8"/>
      <c r="AD200" s="8"/>
      <c r="AE200" s="103"/>
      <c r="AF200" s="8"/>
      <c r="AG200" s="8"/>
      <c r="AH200" s="8"/>
      <c r="AI200" s="8"/>
      <c r="AJ200" s="8"/>
      <c r="AK200" s="98"/>
      <c r="AL200" s="11"/>
      <c r="AM200" s="104">
        <v>10</v>
      </c>
    </row>
    <row r="201" spans="1:39" ht="15" customHeight="1" x14ac:dyDescent="0.25">
      <c r="A201" s="85">
        <v>201</v>
      </c>
      <c r="B201" s="93"/>
      <c r="C201" s="94">
        <v>71</v>
      </c>
      <c r="D201" s="95"/>
      <c r="E201" s="9"/>
      <c r="F201" s="9"/>
      <c r="G201" s="9"/>
      <c r="H201" s="9"/>
      <c r="I201" s="9"/>
      <c r="J201" s="9"/>
      <c r="K201" s="9"/>
      <c r="L201" s="9"/>
      <c r="M201" s="106"/>
      <c r="N201" s="9"/>
      <c r="O201" s="107"/>
      <c r="P201" s="107"/>
      <c r="Q201" s="107"/>
      <c r="R201" s="9"/>
      <c r="S201" s="9"/>
      <c r="T201" s="9"/>
      <c r="U201" s="6"/>
      <c r="V201" s="9"/>
      <c r="W201" s="9"/>
      <c r="X201" s="107"/>
      <c r="Y201" s="9"/>
      <c r="Z201" s="9"/>
      <c r="AA201" s="9"/>
      <c r="AB201" s="9"/>
      <c r="AC201" s="9"/>
      <c r="AD201" s="9"/>
      <c r="AE201" s="108"/>
      <c r="AF201" s="9"/>
      <c r="AG201" s="9"/>
      <c r="AH201" s="9"/>
      <c r="AI201" s="9"/>
      <c r="AJ201" s="9"/>
      <c r="AK201" s="98"/>
      <c r="AL201" s="99">
        <v>30</v>
      </c>
      <c r="AM201" s="99"/>
    </row>
    <row r="202" spans="1:39" ht="15" customHeight="1" x14ac:dyDescent="0.25">
      <c r="A202" s="85">
        <v>202</v>
      </c>
      <c r="B202" s="93"/>
      <c r="C202" s="11"/>
      <c r="D202" s="8" t="s">
        <v>847</v>
      </c>
      <c r="E202" s="8" t="s">
        <v>839</v>
      </c>
      <c r="F202" s="8"/>
      <c r="G202" s="8" t="s">
        <v>921</v>
      </c>
      <c r="H202" s="8"/>
      <c r="I202" s="174"/>
      <c r="J202" s="8" t="s">
        <v>684</v>
      </c>
      <c r="K202" s="8" t="s">
        <v>1352</v>
      </c>
      <c r="L202" s="8" t="s">
        <v>1354</v>
      </c>
      <c r="M202" s="8" t="str">
        <f t="shared" ref="M202:M204" si="76">CONCATENATE(K202," ",L202)</f>
        <v>ASCAZ HOSPITALARIA</v>
      </c>
      <c r="N202" s="105" t="s">
        <v>176</v>
      </c>
      <c r="O202" s="102" t="s">
        <v>314</v>
      </c>
      <c r="P202" s="102" t="s">
        <v>303</v>
      </c>
      <c r="Q202" s="102" t="s">
        <v>1264</v>
      </c>
      <c r="R202" s="8" t="s">
        <v>2</v>
      </c>
      <c r="S202" s="8" t="s">
        <v>313</v>
      </c>
      <c r="T202" s="8" t="s">
        <v>772</v>
      </c>
      <c r="U202" s="4">
        <v>26528</v>
      </c>
      <c r="V202" s="10">
        <f t="shared" ref="V202:V204" ca="1" si="77">YEAR($V$1)-YEAR(U202)</f>
        <v>46</v>
      </c>
      <c r="W202" s="8" t="s">
        <v>1</v>
      </c>
      <c r="X202" s="102" t="s">
        <v>312</v>
      </c>
      <c r="Y202" s="8">
        <v>2</v>
      </c>
      <c r="Z202" s="8" t="s">
        <v>311</v>
      </c>
      <c r="AA202" s="8" t="s">
        <v>0</v>
      </c>
      <c r="AB202" s="8" t="s">
        <v>35</v>
      </c>
      <c r="AC202" s="8">
        <v>33208</v>
      </c>
      <c r="AD202" s="8">
        <v>670687086</v>
      </c>
      <c r="AE202" s="103"/>
      <c r="AF202" s="8" t="s">
        <v>310</v>
      </c>
      <c r="AG202" s="8" t="s">
        <v>309</v>
      </c>
      <c r="AH202" s="8">
        <v>7170</v>
      </c>
      <c r="AI202" s="8">
        <v>46</v>
      </c>
      <c r="AJ202" s="8" t="s">
        <v>308</v>
      </c>
      <c r="AK202" s="98"/>
      <c r="AL202" s="11"/>
      <c r="AM202" s="104">
        <v>10</v>
      </c>
    </row>
    <row r="203" spans="1:39" ht="15" customHeight="1" x14ac:dyDescent="0.25">
      <c r="A203" s="85">
        <v>203</v>
      </c>
      <c r="B203" s="93"/>
      <c r="C203" s="11"/>
      <c r="D203" s="8" t="s">
        <v>848</v>
      </c>
      <c r="E203" s="8" t="s">
        <v>839</v>
      </c>
      <c r="F203" s="8"/>
      <c r="G203" s="8" t="s">
        <v>921</v>
      </c>
      <c r="H203" s="8"/>
      <c r="I203" s="174"/>
      <c r="J203" s="8" t="s">
        <v>684</v>
      </c>
      <c r="K203" s="8" t="s">
        <v>1352</v>
      </c>
      <c r="L203" s="8" t="s">
        <v>1354</v>
      </c>
      <c r="M203" s="8" t="str">
        <f t="shared" si="76"/>
        <v>ASCAZ HOSPITALARIA</v>
      </c>
      <c r="N203" s="8" t="s">
        <v>48</v>
      </c>
      <c r="O203" s="102" t="s">
        <v>307</v>
      </c>
      <c r="P203" s="102" t="s">
        <v>302</v>
      </c>
      <c r="Q203" s="102" t="s">
        <v>1267</v>
      </c>
      <c r="R203" s="8" t="s">
        <v>2</v>
      </c>
      <c r="S203" s="8" t="s">
        <v>306</v>
      </c>
      <c r="T203" s="8" t="s">
        <v>753</v>
      </c>
      <c r="U203" s="4">
        <v>26897</v>
      </c>
      <c r="V203" s="10">
        <f t="shared" ca="1" si="77"/>
        <v>45</v>
      </c>
      <c r="W203" s="8"/>
      <c r="X203" s="102"/>
      <c r="Y203" s="8"/>
      <c r="Z203" s="8"/>
      <c r="AA203" s="8"/>
      <c r="AB203" s="8"/>
      <c r="AC203" s="8"/>
      <c r="AD203" s="8">
        <v>667305891</v>
      </c>
      <c r="AE203" s="103" t="s">
        <v>1139</v>
      </c>
      <c r="AF203" s="8"/>
      <c r="AG203" s="8"/>
      <c r="AH203" s="8"/>
      <c r="AI203" s="8"/>
      <c r="AJ203" s="8"/>
      <c r="AK203" s="98"/>
      <c r="AL203" s="11"/>
      <c r="AM203" s="104">
        <v>10</v>
      </c>
    </row>
    <row r="204" spans="1:39" ht="15" customHeight="1" x14ac:dyDescent="0.25">
      <c r="A204" s="85">
        <v>204</v>
      </c>
      <c r="B204" s="93"/>
      <c r="C204" s="11"/>
      <c r="D204" s="8" t="s">
        <v>850</v>
      </c>
      <c r="E204" s="8" t="s">
        <v>839</v>
      </c>
      <c r="F204" s="8"/>
      <c r="G204" s="8" t="s">
        <v>921</v>
      </c>
      <c r="H204" s="8"/>
      <c r="I204" s="174"/>
      <c r="J204" s="8" t="s">
        <v>684</v>
      </c>
      <c r="K204" s="8" t="s">
        <v>1352</v>
      </c>
      <c r="L204" s="8" t="s">
        <v>1354</v>
      </c>
      <c r="M204" s="8" t="str">
        <f t="shared" si="76"/>
        <v>ASCAZ HOSPITALARIA</v>
      </c>
      <c r="N204" s="105" t="s">
        <v>932</v>
      </c>
      <c r="O204" s="102" t="s">
        <v>304</v>
      </c>
      <c r="P204" s="102" t="s">
        <v>303</v>
      </c>
      <c r="Q204" s="102" t="s">
        <v>302</v>
      </c>
      <c r="R204" s="8" t="s">
        <v>2</v>
      </c>
      <c r="S204" s="8" t="s">
        <v>301</v>
      </c>
      <c r="T204" s="8" t="s">
        <v>753</v>
      </c>
      <c r="U204" s="4">
        <v>37021</v>
      </c>
      <c r="V204" s="10">
        <f t="shared" ca="1" si="77"/>
        <v>17</v>
      </c>
      <c r="W204" s="8"/>
      <c r="X204" s="102"/>
      <c r="Y204" s="8"/>
      <c r="Z204" s="8"/>
      <c r="AA204" s="8"/>
      <c r="AB204" s="8"/>
      <c r="AC204" s="8"/>
      <c r="AD204" s="8"/>
      <c r="AE204" s="103"/>
      <c r="AF204" s="8"/>
      <c r="AG204" s="8"/>
      <c r="AH204" s="8"/>
      <c r="AI204" s="8"/>
      <c r="AJ204" s="8"/>
      <c r="AK204" s="98"/>
      <c r="AL204" s="11"/>
      <c r="AM204" s="104">
        <v>10</v>
      </c>
    </row>
    <row r="205" spans="1:39" ht="15" customHeight="1" x14ac:dyDescent="0.25">
      <c r="A205" s="85">
        <v>205</v>
      </c>
      <c r="B205" s="93"/>
      <c r="C205" s="94">
        <v>72</v>
      </c>
      <c r="D205" s="95"/>
      <c r="E205" s="9"/>
      <c r="F205" s="9"/>
      <c r="G205" s="9"/>
      <c r="H205" s="9"/>
      <c r="I205" s="9"/>
      <c r="J205" s="9"/>
      <c r="K205" s="9"/>
      <c r="L205" s="9"/>
      <c r="M205" s="106"/>
      <c r="N205" s="9"/>
      <c r="O205" s="107"/>
      <c r="P205" s="107"/>
      <c r="Q205" s="107"/>
      <c r="R205" s="9"/>
      <c r="S205" s="9"/>
      <c r="T205" s="9"/>
      <c r="U205" s="6"/>
      <c r="V205" s="9"/>
      <c r="W205" s="9"/>
      <c r="X205" s="107"/>
      <c r="Y205" s="9"/>
      <c r="Z205" s="9"/>
      <c r="AA205" s="9"/>
      <c r="AB205" s="9"/>
      <c r="AC205" s="9"/>
      <c r="AD205" s="9"/>
      <c r="AE205" s="108"/>
      <c r="AF205" s="9"/>
      <c r="AG205" s="9"/>
      <c r="AH205" s="9"/>
      <c r="AI205" s="9"/>
      <c r="AJ205" s="9"/>
      <c r="AK205" s="98"/>
      <c r="AL205" s="99">
        <v>30</v>
      </c>
      <c r="AM205" s="99"/>
    </row>
    <row r="206" spans="1:39" ht="15" customHeight="1" x14ac:dyDescent="0.25">
      <c r="A206" s="85">
        <v>206</v>
      </c>
      <c r="B206" s="93"/>
      <c r="C206" s="11"/>
      <c r="D206" s="8" t="s">
        <v>851</v>
      </c>
      <c r="E206" s="8" t="s">
        <v>839</v>
      </c>
      <c r="F206" s="8" t="s">
        <v>843</v>
      </c>
      <c r="G206" s="8" t="s">
        <v>921</v>
      </c>
      <c r="H206" s="8"/>
      <c r="I206" s="174"/>
      <c r="J206" s="8" t="s">
        <v>684</v>
      </c>
      <c r="K206" s="8" t="s">
        <v>1352</v>
      </c>
      <c r="L206" s="8" t="s">
        <v>1354</v>
      </c>
      <c r="M206" s="8" t="str">
        <f>CONCATENATE(K206," ",L206)</f>
        <v>ASCAZ HOSPITALARIA</v>
      </c>
      <c r="N206" s="105" t="s">
        <v>176</v>
      </c>
      <c r="O206" s="102" t="s">
        <v>1140</v>
      </c>
      <c r="P206" s="102" t="s">
        <v>1105</v>
      </c>
      <c r="Q206" s="102" t="s">
        <v>340</v>
      </c>
      <c r="R206" s="8" t="s">
        <v>2</v>
      </c>
      <c r="S206" s="8" t="s">
        <v>1141</v>
      </c>
      <c r="T206" s="8" t="s">
        <v>753</v>
      </c>
      <c r="U206" s="4">
        <v>32098</v>
      </c>
      <c r="V206" s="10">
        <f ca="1">YEAR($V$1)-YEAR(U206)</f>
        <v>31</v>
      </c>
      <c r="W206" s="8" t="s">
        <v>1</v>
      </c>
      <c r="X206" s="102" t="s">
        <v>1142</v>
      </c>
      <c r="Y206" s="8">
        <v>3</v>
      </c>
      <c r="Z206" s="8" t="s">
        <v>1143</v>
      </c>
      <c r="AA206" s="8" t="s">
        <v>0</v>
      </c>
      <c r="AB206" s="8" t="s">
        <v>35</v>
      </c>
      <c r="AC206" s="8">
        <v>33210</v>
      </c>
      <c r="AD206" s="8">
        <v>638191778</v>
      </c>
      <c r="AE206" s="103" t="s">
        <v>1144</v>
      </c>
      <c r="AF206" s="8" t="s">
        <v>299</v>
      </c>
      <c r="AG206" s="8">
        <v>1465</v>
      </c>
      <c r="AH206" s="8" t="s">
        <v>298</v>
      </c>
      <c r="AI206" s="8">
        <v>82</v>
      </c>
      <c r="AJ206" s="8">
        <v>1800086718</v>
      </c>
      <c r="AK206" s="98"/>
      <c r="AL206" s="11"/>
      <c r="AM206" s="104">
        <v>10</v>
      </c>
    </row>
    <row r="207" spans="1:39" ht="15" customHeight="1" x14ac:dyDescent="0.25">
      <c r="A207" s="85">
        <v>207</v>
      </c>
      <c r="B207" s="93"/>
      <c r="C207" s="94">
        <v>73</v>
      </c>
      <c r="D207" s="95"/>
      <c r="E207" s="9"/>
      <c r="F207" s="9"/>
      <c r="G207" s="9"/>
      <c r="H207" s="9"/>
      <c r="I207" s="9"/>
      <c r="J207" s="9"/>
      <c r="K207" s="9"/>
      <c r="L207" s="9"/>
      <c r="M207" s="106"/>
      <c r="N207" s="9"/>
      <c r="O207" s="107"/>
      <c r="P207" s="107"/>
      <c r="Q207" s="107"/>
      <c r="R207" s="9"/>
      <c r="S207" s="9"/>
      <c r="T207" s="9"/>
      <c r="U207" s="6"/>
      <c r="V207" s="9"/>
      <c r="W207" s="9"/>
      <c r="X207" s="107"/>
      <c r="Y207" s="9"/>
      <c r="Z207" s="9"/>
      <c r="AA207" s="9"/>
      <c r="AB207" s="9"/>
      <c r="AC207" s="9"/>
      <c r="AD207" s="9"/>
      <c r="AE207" s="108"/>
      <c r="AF207" s="9"/>
      <c r="AG207" s="9"/>
      <c r="AH207" s="9"/>
      <c r="AI207" s="9"/>
      <c r="AJ207" s="9"/>
      <c r="AK207" s="98"/>
      <c r="AL207" s="99">
        <v>0</v>
      </c>
      <c r="AM207" s="99"/>
    </row>
    <row r="208" spans="1:39" ht="15" customHeight="1" x14ac:dyDescent="0.25">
      <c r="A208" s="85">
        <v>208</v>
      </c>
      <c r="B208" s="93"/>
      <c r="C208" s="11"/>
      <c r="D208" s="8" t="s">
        <v>852</v>
      </c>
      <c r="E208" s="8" t="s">
        <v>839</v>
      </c>
      <c r="F208" s="8" t="s">
        <v>841</v>
      </c>
      <c r="G208" s="8" t="s">
        <v>920</v>
      </c>
      <c r="H208" s="8"/>
      <c r="I208" s="101"/>
      <c r="J208" s="8" t="s">
        <v>684</v>
      </c>
      <c r="K208" s="8" t="s">
        <v>1352</v>
      </c>
      <c r="L208" s="8" t="s">
        <v>1354</v>
      </c>
      <c r="M208" s="8" t="str">
        <f t="shared" ref="M208:M210" si="78">CONCATENATE(K208," ",L208)</f>
        <v>ASCAZ HOSPITALARIA</v>
      </c>
      <c r="N208" s="105" t="s">
        <v>176</v>
      </c>
      <c r="O208" s="102" t="s">
        <v>962</v>
      </c>
      <c r="P208" s="102" t="s">
        <v>10</v>
      </c>
      <c r="Q208" s="102" t="s">
        <v>73</v>
      </c>
      <c r="R208" s="8" t="s">
        <v>2</v>
      </c>
      <c r="S208" s="8" t="s">
        <v>297</v>
      </c>
      <c r="T208" s="8" t="s">
        <v>772</v>
      </c>
      <c r="U208" s="4">
        <v>19234</v>
      </c>
      <c r="V208" s="10">
        <f t="shared" ref="V208:V210" ca="1" si="79">YEAR($V$1)-YEAR(U208)</f>
        <v>66</v>
      </c>
      <c r="W208" s="8" t="s">
        <v>1</v>
      </c>
      <c r="X208" s="102" t="s">
        <v>963</v>
      </c>
      <c r="Y208" s="8">
        <v>33</v>
      </c>
      <c r="Z208" s="8" t="s">
        <v>296</v>
      </c>
      <c r="AA208" s="8" t="s">
        <v>0</v>
      </c>
      <c r="AB208" s="8" t="s">
        <v>35</v>
      </c>
      <c r="AC208" s="8">
        <v>33207</v>
      </c>
      <c r="AD208" s="8">
        <v>985347839</v>
      </c>
      <c r="AE208" s="103" t="s">
        <v>1145</v>
      </c>
      <c r="AF208" s="8" t="s">
        <v>294</v>
      </c>
      <c r="AG208" s="8" t="s">
        <v>19</v>
      </c>
      <c r="AH208" s="8">
        <v>1336</v>
      </c>
      <c r="AI208" s="8">
        <v>24</v>
      </c>
      <c r="AJ208" s="8">
        <v>2590234046</v>
      </c>
      <c r="AK208" s="98"/>
      <c r="AL208" s="11"/>
      <c r="AM208" s="104">
        <v>10</v>
      </c>
    </row>
    <row r="209" spans="1:39" ht="15" customHeight="1" x14ac:dyDescent="0.25">
      <c r="A209" s="85">
        <v>209</v>
      </c>
      <c r="B209" s="93"/>
      <c r="C209" s="11"/>
      <c r="D209" s="8" t="s">
        <v>853</v>
      </c>
      <c r="E209" s="8" t="s">
        <v>839</v>
      </c>
      <c r="F209" s="8" t="s">
        <v>841</v>
      </c>
      <c r="G209" s="8" t="s">
        <v>920</v>
      </c>
      <c r="H209" s="8"/>
      <c r="I209" s="101"/>
      <c r="J209" s="8" t="s">
        <v>684</v>
      </c>
      <c r="K209" s="8" t="s">
        <v>1352</v>
      </c>
      <c r="L209" s="8" t="s">
        <v>1354</v>
      </c>
      <c r="M209" s="8" t="str">
        <f t="shared" si="78"/>
        <v>ASCAZ HOSPITALARIA</v>
      </c>
      <c r="N209" s="8" t="s">
        <v>48</v>
      </c>
      <c r="O209" s="102" t="s">
        <v>1256</v>
      </c>
      <c r="P209" s="102" t="s">
        <v>73</v>
      </c>
      <c r="Q209" s="102" t="s">
        <v>1031</v>
      </c>
      <c r="R209" s="8" t="s">
        <v>2</v>
      </c>
      <c r="S209" s="8" t="s">
        <v>293</v>
      </c>
      <c r="T209" s="8" t="s">
        <v>753</v>
      </c>
      <c r="U209" s="4">
        <v>20708</v>
      </c>
      <c r="V209" s="10">
        <f t="shared" ca="1" si="79"/>
        <v>62</v>
      </c>
      <c r="W209" s="8"/>
      <c r="X209" s="102"/>
      <c r="Y209" s="8"/>
      <c r="Z209" s="8"/>
      <c r="AA209" s="8"/>
      <c r="AB209" s="8"/>
      <c r="AC209" s="8"/>
      <c r="AD209" s="8"/>
      <c r="AE209" s="103"/>
      <c r="AF209" s="8"/>
      <c r="AG209" s="8"/>
      <c r="AH209" s="8"/>
      <c r="AI209" s="8"/>
      <c r="AJ209" s="8"/>
      <c r="AK209" s="98"/>
      <c r="AL209" s="11"/>
      <c r="AM209" s="104">
        <v>10</v>
      </c>
    </row>
    <row r="210" spans="1:39" ht="15" customHeight="1" x14ac:dyDescent="0.25">
      <c r="A210" s="85">
        <v>210</v>
      </c>
      <c r="B210" s="93"/>
      <c r="C210" s="11"/>
      <c r="D210" s="8" t="s">
        <v>854</v>
      </c>
      <c r="E210" s="8" t="s">
        <v>839</v>
      </c>
      <c r="F210" s="8" t="s">
        <v>841</v>
      </c>
      <c r="G210" s="8" t="s">
        <v>920</v>
      </c>
      <c r="H210" s="8"/>
      <c r="I210" s="101"/>
      <c r="J210" s="8" t="s">
        <v>684</v>
      </c>
      <c r="K210" s="8" t="s">
        <v>1352</v>
      </c>
      <c r="L210" s="8" t="s">
        <v>1354</v>
      </c>
      <c r="M210" s="8" t="str">
        <f t="shared" si="78"/>
        <v>ASCAZ HOSPITALARIA</v>
      </c>
      <c r="N210" s="105" t="s">
        <v>932</v>
      </c>
      <c r="O210" s="102" t="s">
        <v>558</v>
      </c>
      <c r="P210" s="102" t="s">
        <v>10</v>
      </c>
      <c r="Q210" s="102" t="s">
        <v>73</v>
      </c>
      <c r="R210" s="8" t="s">
        <v>2</v>
      </c>
      <c r="S210" s="8" t="s">
        <v>292</v>
      </c>
      <c r="T210" s="8" t="s">
        <v>772</v>
      </c>
      <c r="U210" s="4">
        <v>30724</v>
      </c>
      <c r="V210" s="10">
        <f t="shared" ca="1" si="79"/>
        <v>34</v>
      </c>
      <c r="W210" s="8"/>
      <c r="X210" s="102"/>
      <c r="Y210" s="8"/>
      <c r="Z210" s="8"/>
      <c r="AA210" s="8"/>
      <c r="AB210" s="8"/>
      <c r="AC210" s="8"/>
      <c r="AD210" s="8"/>
      <c r="AE210" s="103"/>
      <c r="AF210" s="8"/>
      <c r="AG210" s="8"/>
      <c r="AH210" s="8"/>
      <c r="AI210" s="8"/>
      <c r="AJ210" s="8"/>
      <c r="AK210" s="98"/>
      <c r="AL210" s="11"/>
      <c r="AM210" s="104">
        <v>10</v>
      </c>
    </row>
    <row r="211" spans="1:39" ht="15" customHeight="1" x14ac:dyDescent="0.25">
      <c r="A211" s="85">
        <v>211</v>
      </c>
      <c r="B211" s="93"/>
      <c r="C211" s="94">
        <v>74</v>
      </c>
      <c r="D211" s="95"/>
      <c r="E211" s="9"/>
      <c r="F211" s="9"/>
      <c r="G211" s="9"/>
      <c r="H211" s="9"/>
      <c r="I211" s="9"/>
      <c r="J211" s="9"/>
      <c r="K211" s="9"/>
      <c r="L211" s="9"/>
      <c r="M211" s="106"/>
      <c r="N211" s="9"/>
      <c r="O211" s="107"/>
      <c r="P211" s="107"/>
      <c r="Q211" s="107"/>
      <c r="R211" s="9"/>
      <c r="S211" s="9"/>
      <c r="T211" s="9"/>
      <c r="U211" s="6"/>
      <c r="V211" s="9"/>
      <c r="W211" s="9"/>
      <c r="X211" s="107"/>
      <c r="Y211" s="9"/>
      <c r="Z211" s="9"/>
      <c r="AA211" s="9"/>
      <c r="AB211" s="9"/>
      <c r="AC211" s="9"/>
      <c r="AD211" s="9"/>
      <c r="AE211" s="108"/>
      <c r="AF211" s="9"/>
      <c r="AG211" s="9"/>
      <c r="AH211" s="9"/>
      <c r="AI211" s="9"/>
      <c r="AJ211" s="9"/>
      <c r="AK211" s="98"/>
      <c r="AL211" s="99">
        <v>0</v>
      </c>
      <c r="AM211" s="99"/>
    </row>
    <row r="212" spans="1:39" ht="15" customHeight="1" x14ac:dyDescent="0.25">
      <c r="A212" s="85">
        <v>212</v>
      </c>
      <c r="B212" s="93"/>
      <c r="C212" s="11"/>
      <c r="D212" s="8" t="s">
        <v>855</v>
      </c>
      <c r="E212" s="8" t="s">
        <v>839</v>
      </c>
      <c r="F212" s="8" t="s">
        <v>1314</v>
      </c>
      <c r="G212" s="8" t="s">
        <v>920</v>
      </c>
      <c r="H212" s="8"/>
      <c r="I212" s="101"/>
      <c r="J212" s="8" t="s">
        <v>684</v>
      </c>
      <c r="K212" s="8" t="s">
        <v>1352</v>
      </c>
      <c r="L212" s="8" t="s">
        <v>1354</v>
      </c>
      <c r="M212" s="8" t="str">
        <f t="shared" ref="M212:M214" si="80">CONCATENATE(K212," ",L212)</f>
        <v>ASCAZ HOSPITALARIA</v>
      </c>
      <c r="N212" s="105" t="s">
        <v>3</v>
      </c>
      <c r="O212" s="102" t="s">
        <v>285</v>
      </c>
      <c r="P212" s="102" t="s">
        <v>291</v>
      </c>
      <c r="Q212" s="102" t="s">
        <v>261</v>
      </c>
      <c r="R212" s="8" t="s">
        <v>2</v>
      </c>
      <c r="S212" s="8" t="s">
        <v>290</v>
      </c>
      <c r="T212" s="8" t="s">
        <v>772</v>
      </c>
      <c r="U212" s="4">
        <v>29044</v>
      </c>
      <c r="V212" s="10">
        <f t="shared" ref="V212:V214" ca="1" si="81">YEAR($V$1)-YEAR(U212)</f>
        <v>39</v>
      </c>
      <c r="W212" s="8" t="s">
        <v>1</v>
      </c>
      <c r="X212" s="102" t="s">
        <v>289</v>
      </c>
      <c r="Y212" s="8">
        <v>16</v>
      </c>
      <c r="Z212" s="8" t="s">
        <v>288</v>
      </c>
      <c r="AA212" s="8" t="s">
        <v>0</v>
      </c>
      <c r="AB212" s="8" t="s">
        <v>35</v>
      </c>
      <c r="AC212" s="8">
        <v>33203</v>
      </c>
      <c r="AD212" s="8">
        <v>685964904</v>
      </c>
      <c r="AE212" s="103" t="s">
        <v>1146</v>
      </c>
      <c r="AF212" s="115" t="s">
        <v>111</v>
      </c>
      <c r="AG212" s="8" t="s">
        <v>32</v>
      </c>
      <c r="AH212" s="8">
        <v>2805</v>
      </c>
      <c r="AI212" s="8">
        <v>46</v>
      </c>
      <c r="AJ212" s="8" t="s">
        <v>286</v>
      </c>
      <c r="AK212" s="98"/>
      <c r="AL212" s="11"/>
      <c r="AM212" s="104">
        <v>10</v>
      </c>
    </row>
    <row r="213" spans="1:39" ht="15" customHeight="1" x14ac:dyDescent="0.25">
      <c r="A213" s="85">
        <v>213</v>
      </c>
      <c r="B213" s="93"/>
      <c r="C213" s="11"/>
      <c r="D213" s="8" t="s">
        <v>856</v>
      </c>
      <c r="E213" s="8" t="s">
        <v>839</v>
      </c>
      <c r="F213" s="8" t="s">
        <v>1314</v>
      </c>
      <c r="G213" s="8" t="s">
        <v>920</v>
      </c>
      <c r="H213" s="8"/>
      <c r="I213" s="101"/>
      <c r="J213" s="8" t="s">
        <v>684</v>
      </c>
      <c r="K213" s="8" t="s">
        <v>1352</v>
      </c>
      <c r="L213" s="8" t="s">
        <v>1354</v>
      </c>
      <c r="M213" s="8" t="str">
        <f t="shared" si="80"/>
        <v>ASCAZ HOSPITALARIA</v>
      </c>
      <c r="N213" s="105" t="s">
        <v>935</v>
      </c>
      <c r="O213" s="102" t="s">
        <v>285</v>
      </c>
      <c r="P213" s="102" t="s">
        <v>284</v>
      </c>
      <c r="Q213" s="102" t="s">
        <v>73</v>
      </c>
      <c r="R213" s="8" t="s">
        <v>2</v>
      </c>
      <c r="S213" s="8" t="s">
        <v>283</v>
      </c>
      <c r="T213" s="8" t="s">
        <v>772</v>
      </c>
      <c r="U213" s="4">
        <v>16060</v>
      </c>
      <c r="V213" s="10">
        <f t="shared" ca="1" si="81"/>
        <v>75</v>
      </c>
      <c r="W213" s="8"/>
      <c r="X213" s="102"/>
      <c r="Y213" s="8"/>
      <c r="Z213" s="8"/>
      <c r="AA213" s="8"/>
      <c r="AB213" s="8"/>
      <c r="AC213" s="8"/>
      <c r="AD213" s="8"/>
      <c r="AE213" s="103"/>
      <c r="AF213" s="8"/>
      <c r="AG213" s="8"/>
      <c r="AH213" s="8"/>
      <c r="AI213" s="8"/>
      <c r="AJ213" s="8"/>
      <c r="AK213" s="98"/>
      <c r="AL213" s="11"/>
      <c r="AM213" s="104">
        <v>10</v>
      </c>
    </row>
    <row r="214" spans="1:39" ht="15" customHeight="1" x14ac:dyDescent="0.25">
      <c r="A214" s="85">
        <v>214</v>
      </c>
      <c r="B214" s="93"/>
      <c r="C214" s="11"/>
      <c r="D214" s="8" t="s">
        <v>857</v>
      </c>
      <c r="E214" s="8" t="s">
        <v>839</v>
      </c>
      <c r="F214" s="8" t="s">
        <v>1314</v>
      </c>
      <c r="G214" s="8" t="s">
        <v>920</v>
      </c>
      <c r="H214" s="8"/>
      <c r="I214" s="101"/>
      <c r="J214" s="8" t="s">
        <v>684</v>
      </c>
      <c r="K214" s="8" t="s">
        <v>1352</v>
      </c>
      <c r="L214" s="8" t="s">
        <v>1354</v>
      </c>
      <c r="M214" s="8" t="str">
        <f t="shared" si="80"/>
        <v>ASCAZ HOSPITALARIA</v>
      </c>
      <c r="N214" s="105" t="s">
        <v>935</v>
      </c>
      <c r="O214" s="102" t="s">
        <v>1259</v>
      </c>
      <c r="P214" s="102" t="s">
        <v>261</v>
      </c>
      <c r="Q214" s="102" t="s">
        <v>282</v>
      </c>
      <c r="R214" s="8" t="s">
        <v>2</v>
      </c>
      <c r="S214" s="8" t="s">
        <v>281</v>
      </c>
      <c r="T214" s="8" t="s">
        <v>753</v>
      </c>
      <c r="U214" s="4">
        <v>18881</v>
      </c>
      <c r="V214" s="10">
        <f t="shared" ca="1" si="81"/>
        <v>67</v>
      </c>
      <c r="W214" s="8"/>
      <c r="X214" s="102"/>
      <c r="Y214" s="8"/>
      <c r="Z214" s="8"/>
      <c r="AA214" s="8"/>
      <c r="AB214" s="8"/>
      <c r="AC214" s="8"/>
      <c r="AD214" s="8"/>
      <c r="AE214" s="103"/>
      <c r="AF214" s="8"/>
      <c r="AG214" s="8"/>
      <c r="AH214" s="8"/>
      <c r="AI214" s="8"/>
      <c r="AJ214" s="8"/>
      <c r="AK214" s="98"/>
      <c r="AL214" s="11"/>
      <c r="AM214" s="104">
        <v>10</v>
      </c>
    </row>
    <row r="215" spans="1:39" ht="15" customHeight="1" x14ac:dyDescent="0.25">
      <c r="A215" s="85">
        <v>215</v>
      </c>
      <c r="B215" s="93"/>
      <c r="C215" s="94">
        <v>75</v>
      </c>
      <c r="D215" s="95"/>
      <c r="E215" s="9"/>
      <c r="F215" s="9"/>
      <c r="G215" s="9"/>
      <c r="H215" s="9"/>
      <c r="I215" s="9"/>
      <c r="J215" s="9"/>
      <c r="K215" s="9"/>
      <c r="L215" s="9"/>
      <c r="M215" s="106"/>
      <c r="N215" s="9"/>
      <c r="O215" s="107"/>
      <c r="P215" s="107"/>
      <c r="Q215" s="107"/>
      <c r="R215" s="9"/>
      <c r="S215" s="9"/>
      <c r="T215" s="9"/>
      <c r="U215" s="6"/>
      <c r="V215" s="9"/>
      <c r="W215" s="9"/>
      <c r="X215" s="107"/>
      <c r="Y215" s="9"/>
      <c r="Z215" s="9"/>
      <c r="AA215" s="9"/>
      <c r="AB215" s="9"/>
      <c r="AC215" s="9"/>
      <c r="AD215" s="9"/>
      <c r="AE215" s="108"/>
      <c r="AF215" s="9"/>
      <c r="AG215" s="9"/>
      <c r="AH215" s="9"/>
      <c r="AI215" s="9"/>
      <c r="AJ215" s="9"/>
      <c r="AK215" s="98"/>
      <c r="AL215" s="99">
        <v>30</v>
      </c>
      <c r="AM215" s="99"/>
    </row>
    <row r="216" spans="1:39" ht="15" customHeight="1" x14ac:dyDescent="0.25">
      <c r="A216" s="85">
        <v>216</v>
      </c>
      <c r="B216" s="93"/>
      <c r="C216" s="11"/>
      <c r="D216" s="8" t="s">
        <v>858</v>
      </c>
      <c r="E216" s="8" t="s">
        <v>839</v>
      </c>
      <c r="F216" s="8"/>
      <c r="G216" s="8" t="s">
        <v>921</v>
      </c>
      <c r="H216" s="8"/>
      <c r="I216" s="174"/>
      <c r="J216" s="8" t="s">
        <v>684</v>
      </c>
      <c r="K216" s="8" t="s">
        <v>1352</v>
      </c>
      <c r="L216" s="8" t="s">
        <v>1354</v>
      </c>
      <c r="M216" s="8" t="str">
        <f>CONCATENATE(K216," ",L216)</f>
        <v>ASCAZ HOSPITALARIA</v>
      </c>
      <c r="N216" s="105" t="s">
        <v>176</v>
      </c>
      <c r="O216" s="102" t="s">
        <v>262</v>
      </c>
      <c r="P216" s="102" t="s">
        <v>268</v>
      </c>
      <c r="Q216" s="102" t="s">
        <v>1147</v>
      </c>
      <c r="R216" s="8" t="s">
        <v>2</v>
      </c>
      <c r="S216" s="8" t="s">
        <v>1148</v>
      </c>
      <c r="T216" s="8" t="s">
        <v>772</v>
      </c>
      <c r="U216" s="4">
        <v>29235</v>
      </c>
      <c r="V216" s="10">
        <f ca="1">YEAR($V$1)-YEAR(U216)</f>
        <v>38</v>
      </c>
      <c r="W216" s="8" t="s">
        <v>1</v>
      </c>
      <c r="X216" s="102" t="s">
        <v>1149</v>
      </c>
      <c r="Y216" s="8">
        <v>6</v>
      </c>
      <c r="Z216" s="8" t="s">
        <v>280</v>
      </c>
      <c r="AA216" s="8" t="s">
        <v>0</v>
      </c>
      <c r="AB216" s="8" t="s">
        <v>8</v>
      </c>
      <c r="AC216" s="8">
        <v>33011</v>
      </c>
      <c r="AD216" s="8">
        <v>615218434</v>
      </c>
      <c r="AE216" s="103" t="s">
        <v>1150</v>
      </c>
      <c r="AF216" s="8" t="s">
        <v>363</v>
      </c>
      <c r="AG216" s="8">
        <v>2100</v>
      </c>
      <c r="AH216" s="8">
        <v>5640</v>
      </c>
      <c r="AI216" s="8">
        <v>60</v>
      </c>
      <c r="AJ216" s="8" t="s">
        <v>278</v>
      </c>
      <c r="AK216" s="98"/>
      <c r="AL216" s="11"/>
      <c r="AM216" s="104">
        <v>10</v>
      </c>
    </row>
    <row r="217" spans="1:39" ht="15" customHeight="1" x14ac:dyDescent="0.25">
      <c r="A217" s="85">
        <v>217</v>
      </c>
      <c r="B217" s="93"/>
      <c r="C217" s="94">
        <v>76</v>
      </c>
      <c r="D217" s="95"/>
      <c r="E217" s="9"/>
      <c r="F217" s="9"/>
      <c r="G217" s="9"/>
      <c r="H217" s="9"/>
      <c r="I217" s="9"/>
      <c r="J217" s="9"/>
      <c r="K217" s="9"/>
      <c r="L217" s="9"/>
      <c r="M217" s="106"/>
      <c r="N217" s="9"/>
      <c r="O217" s="107"/>
      <c r="P217" s="107"/>
      <c r="Q217" s="107"/>
      <c r="R217" s="9"/>
      <c r="S217" s="9"/>
      <c r="T217" s="9"/>
      <c r="U217" s="6"/>
      <c r="V217" s="9"/>
      <c r="W217" s="9"/>
      <c r="X217" s="107"/>
      <c r="Y217" s="9"/>
      <c r="Z217" s="9"/>
      <c r="AA217" s="9"/>
      <c r="AB217" s="9"/>
      <c r="AC217" s="9"/>
      <c r="AD217" s="9"/>
      <c r="AE217" s="108"/>
      <c r="AF217" s="9"/>
      <c r="AG217" s="9"/>
      <c r="AH217" s="9"/>
      <c r="AI217" s="9"/>
      <c r="AJ217" s="9"/>
      <c r="AK217" s="98"/>
      <c r="AL217" s="99">
        <v>30</v>
      </c>
      <c r="AM217" s="99"/>
    </row>
    <row r="218" spans="1:39" ht="15" customHeight="1" x14ac:dyDescent="0.25">
      <c r="A218" s="85">
        <v>218</v>
      </c>
      <c r="B218" s="93"/>
      <c r="C218" s="11"/>
      <c r="D218" s="8" t="s">
        <v>859</v>
      </c>
      <c r="E218" s="8" t="s">
        <v>839</v>
      </c>
      <c r="F218" s="8"/>
      <c r="G218" s="8" t="s">
        <v>921</v>
      </c>
      <c r="H218" s="8"/>
      <c r="I218" s="174"/>
      <c r="J218" s="8" t="s">
        <v>684</v>
      </c>
      <c r="K218" s="8" t="s">
        <v>1352</v>
      </c>
      <c r="L218" s="8" t="s">
        <v>1354</v>
      </c>
      <c r="M218" s="8" t="str">
        <f t="shared" ref="M218:M220" si="82">CONCATENATE(K218," ",L218)</f>
        <v>ASCAZ HOSPITALARIA</v>
      </c>
      <c r="N218" s="105" t="s">
        <v>176</v>
      </c>
      <c r="O218" s="102" t="s">
        <v>109</v>
      </c>
      <c r="P218" s="102" t="s">
        <v>268</v>
      </c>
      <c r="Q218" s="102" t="s">
        <v>73</v>
      </c>
      <c r="R218" s="8" t="s">
        <v>2</v>
      </c>
      <c r="S218" s="8" t="s">
        <v>277</v>
      </c>
      <c r="T218" s="8" t="s">
        <v>753</v>
      </c>
      <c r="U218" s="4">
        <v>27934</v>
      </c>
      <c r="V218" s="10">
        <f t="shared" ref="V218:V220" ca="1" si="83">YEAR($V$1)-YEAR(U218)</f>
        <v>42</v>
      </c>
      <c r="W218" s="8" t="s">
        <v>276</v>
      </c>
      <c r="X218" s="102" t="s">
        <v>275</v>
      </c>
      <c r="Y218" s="8">
        <v>52</v>
      </c>
      <c r="Z218" s="8" t="s">
        <v>274</v>
      </c>
      <c r="AA218" s="8" t="s">
        <v>0</v>
      </c>
      <c r="AB218" s="8" t="s">
        <v>8</v>
      </c>
      <c r="AC218" s="8">
        <v>33012</v>
      </c>
      <c r="AD218" s="8">
        <v>691687936</v>
      </c>
      <c r="AE218" s="103" t="s">
        <v>273</v>
      </c>
      <c r="AF218" s="8" t="s">
        <v>272</v>
      </c>
      <c r="AG218" s="8">
        <v>2048</v>
      </c>
      <c r="AH218" s="8" t="s">
        <v>271</v>
      </c>
      <c r="AI218" s="8">
        <v>30</v>
      </c>
      <c r="AJ218" s="8">
        <v>3000251808</v>
      </c>
      <c r="AK218" s="98"/>
      <c r="AL218" s="11"/>
      <c r="AM218" s="104">
        <v>10</v>
      </c>
    </row>
    <row r="219" spans="1:39" ht="15" customHeight="1" x14ac:dyDescent="0.25">
      <c r="A219" s="85">
        <v>219</v>
      </c>
      <c r="B219" s="93"/>
      <c r="C219" s="11"/>
      <c r="D219" s="8" t="s">
        <v>860</v>
      </c>
      <c r="E219" s="8" t="s">
        <v>839</v>
      </c>
      <c r="F219" s="8"/>
      <c r="G219" s="8" t="s">
        <v>921</v>
      </c>
      <c r="H219" s="8"/>
      <c r="I219" s="174"/>
      <c r="J219" s="8" t="s">
        <v>684</v>
      </c>
      <c r="K219" s="8" t="s">
        <v>1352</v>
      </c>
      <c r="L219" s="8" t="s">
        <v>1354</v>
      </c>
      <c r="M219" s="8" t="str">
        <f t="shared" si="82"/>
        <v>ASCAZ HOSPITALARIA</v>
      </c>
      <c r="N219" s="8" t="s">
        <v>48</v>
      </c>
      <c r="O219" s="102" t="s">
        <v>1245</v>
      </c>
      <c r="P219" s="102" t="s">
        <v>644</v>
      </c>
      <c r="Q219" s="102" t="s">
        <v>270</v>
      </c>
      <c r="R219" s="8" t="s">
        <v>2</v>
      </c>
      <c r="S219" s="8" t="s">
        <v>269</v>
      </c>
      <c r="T219" s="8" t="s">
        <v>772</v>
      </c>
      <c r="U219" s="4">
        <v>27002</v>
      </c>
      <c r="V219" s="10">
        <f t="shared" ca="1" si="83"/>
        <v>45</v>
      </c>
      <c r="W219" s="8"/>
      <c r="X219" s="102"/>
      <c r="Y219" s="8"/>
      <c r="Z219" s="8"/>
      <c r="AA219" s="8"/>
      <c r="AB219" s="8"/>
      <c r="AC219" s="8"/>
      <c r="AD219" s="8"/>
      <c r="AE219" s="103"/>
      <c r="AF219" s="8"/>
      <c r="AG219" s="8"/>
      <c r="AH219" s="8"/>
      <c r="AI219" s="8"/>
      <c r="AJ219" s="8"/>
      <c r="AK219" s="98"/>
      <c r="AL219" s="11"/>
      <c r="AM219" s="104">
        <v>10</v>
      </c>
    </row>
    <row r="220" spans="1:39" ht="15" customHeight="1" x14ac:dyDescent="0.25">
      <c r="A220" s="85">
        <v>220</v>
      </c>
      <c r="B220" s="93"/>
      <c r="C220" s="11"/>
      <c r="D220" s="8" t="s">
        <v>861</v>
      </c>
      <c r="E220" s="8" t="s">
        <v>839</v>
      </c>
      <c r="F220" s="8"/>
      <c r="G220" s="8" t="s">
        <v>921</v>
      </c>
      <c r="H220" s="8"/>
      <c r="I220" s="174"/>
      <c r="J220" s="8" t="s">
        <v>684</v>
      </c>
      <c r="K220" s="8" t="s">
        <v>1352</v>
      </c>
      <c r="L220" s="8" t="s">
        <v>1354</v>
      </c>
      <c r="M220" s="8" t="str">
        <f t="shared" si="82"/>
        <v>ASCAZ HOSPITALARIA</v>
      </c>
      <c r="N220" s="105" t="s">
        <v>932</v>
      </c>
      <c r="O220" s="102" t="s">
        <v>463</v>
      </c>
      <c r="P220" s="102" t="s">
        <v>644</v>
      </c>
      <c r="Q220" s="102" t="s">
        <v>268</v>
      </c>
      <c r="R220" s="8"/>
      <c r="S220" s="8"/>
      <c r="T220" s="8" t="s">
        <v>753</v>
      </c>
      <c r="U220" s="4">
        <v>42085</v>
      </c>
      <c r="V220" s="10">
        <f t="shared" ca="1" si="83"/>
        <v>3</v>
      </c>
      <c r="W220" s="8"/>
      <c r="X220" s="102"/>
      <c r="Y220" s="8"/>
      <c r="Z220" s="8"/>
      <c r="AA220" s="8"/>
      <c r="AB220" s="8"/>
      <c r="AC220" s="8"/>
      <c r="AD220" s="8"/>
      <c r="AE220" s="103"/>
      <c r="AF220" s="8"/>
      <c r="AG220" s="8"/>
      <c r="AH220" s="8"/>
      <c r="AI220" s="8"/>
      <c r="AJ220" s="8"/>
      <c r="AK220" s="98"/>
      <c r="AL220" s="11"/>
      <c r="AM220" s="104">
        <v>10</v>
      </c>
    </row>
    <row r="221" spans="1:39" ht="15" customHeight="1" x14ac:dyDescent="0.25">
      <c r="A221" s="85">
        <v>221</v>
      </c>
      <c r="B221" s="93"/>
      <c r="C221" s="94">
        <v>77</v>
      </c>
      <c r="D221" s="95"/>
      <c r="E221" s="9"/>
      <c r="F221" s="9"/>
      <c r="G221" s="9"/>
      <c r="H221" s="9"/>
      <c r="I221" s="9"/>
      <c r="J221" s="9"/>
      <c r="K221" s="9"/>
      <c r="L221" s="9"/>
      <c r="M221" s="106"/>
      <c r="N221" s="9"/>
      <c r="O221" s="107"/>
      <c r="P221" s="107"/>
      <c r="Q221" s="107"/>
      <c r="R221" s="9"/>
      <c r="S221" s="9"/>
      <c r="T221" s="9"/>
      <c r="U221" s="6"/>
      <c r="V221" s="9"/>
      <c r="W221" s="9"/>
      <c r="X221" s="107"/>
      <c r="Y221" s="9"/>
      <c r="Z221" s="9"/>
      <c r="AA221" s="9"/>
      <c r="AB221" s="9"/>
      <c r="AC221" s="9"/>
      <c r="AD221" s="9"/>
      <c r="AE221" s="108"/>
      <c r="AF221" s="9"/>
      <c r="AG221" s="9"/>
      <c r="AH221" s="9"/>
      <c r="AI221" s="9"/>
      <c r="AJ221" s="9"/>
      <c r="AK221" s="98"/>
      <c r="AL221" s="99">
        <v>30</v>
      </c>
      <c r="AM221" s="99"/>
    </row>
    <row r="222" spans="1:39" ht="15" customHeight="1" x14ac:dyDescent="0.25">
      <c r="A222" s="85">
        <v>222</v>
      </c>
      <c r="B222" s="93"/>
      <c r="C222" s="11"/>
      <c r="D222" s="8" t="s">
        <v>862</v>
      </c>
      <c r="E222" s="8" t="s">
        <v>839</v>
      </c>
      <c r="F222" s="8" t="s">
        <v>1334</v>
      </c>
      <c r="G222" s="8" t="s">
        <v>921</v>
      </c>
      <c r="H222" s="8"/>
      <c r="I222" s="101"/>
      <c r="J222" s="8" t="s">
        <v>684</v>
      </c>
      <c r="K222" s="8" t="s">
        <v>1352</v>
      </c>
      <c r="L222" s="8" t="s">
        <v>1354</v>
      </c>
      <c r="M222" s="8" t="str">
        <f>CONCATENATE(K222," ",L222)</f>
        <v>ASCAZ HOSPITALARIA</v>
      </c>
      <c r="N222" s="105" t="s">
        <v>3</v>
      </c>
      <c r="O222" s="102" t="s">
        <v>623</v>
      </c>
      <c r="P222" s="102" t="s">
        <v>470</v>
      </c>
      <c r="Q222" s="102" t="s">
        <v>970</v>
      </c>
      <c r="R222" s="8" t="s">
        <v>2</v>
      </c>
      <c r="S222" s="8" t="s">
        <v>250</v>
      </c>
      <c r="T222" s="8" t="s">
        <v>753</v>
      </c>
      <c r="U222" s="4">
        <v>27834</v>
      </c>
      <c r="V222" s="10">
        <f ca="1">YEAR($V$1)-YEAR(U222)</f>
        <v>42</v>
      </c>
      <c r="W222" s="8" t="s">
        <v>1</v>
      </c>
      <c r="X222" s="102" t="s">
        <v>1151</v>
      </c>
      <c r="Y222" s="8">
        <v>6</v>
      </c>
      <c r="Z222" s="8" t="s">
        <v>113</v>
      </c>
      <c r="AA222" s="8" t="s">
        <v>1152</v>
      </c>
      <c r="AB222" s="8" t="s">
        <v>1152</v>
      </c>
      <c r="AC222" s="8">
        <v>24007</v>
      </c>
      <c r="AD222" s="8">
        <v>676274946</v>
      </c>
      <c r="AE222" s="103" t="s">
        <v>1153</v>
      </c>
      <c r="AF222" s="8" t="s">
        <v>57</v>
      </c>
      <c r="AG222" s="8" t="s">
        <v>32</v>
      </c>
      <c r="AH222" s="8">
        <v>3330</v>
      </c>
      <c r="AI222" s="8">
        <v>72</v>
      </c>
      <c r="AJ222" s="8" t="s">
        <v>248</v>
      </c>
      <c r="AK222" s="98"/>
      <c r="AL222" s="11"/>
      <c r="AM222" s="104">
        <v>10</v>
      </c>
    </row>
    <row r="223" spans="1:39" ht="15" customHeight="1" x14ac:dyDescent="0.25">
      <c r="A223" s="85">
        <v>223</v>
      </c>
      <c r="B223" s="93"/>
      <c r="C223" s="94">
        <v>78</v>
      </c>
      <c r="D223" s="95"/>
      <c r="E223" s="9"/>
      <c r="F223" s="9"/>
      <c r="G223" s="9"/>
      <c r="H223" s="9"/>
      <c r="I223" s="9"/>
      <c r="J223" s="9"/>
      <c r="K223" s="9"/>
      <c r="L223" s="9"/>
      <c r="M223" s="106"/>
      <c r="N223" s="9"/>
      <c r="O223" s="107"/>
      <c r="P223" s="107"/>
      <c r="Q223" s="107"/>
      <c r="R223" s="9"/>
      <c r="S223" s="9"/>
      <c r="T223" s="9"/>
      <c r="U223" s="6"/>
      <c r="V223" s="9"/>
      <c r="W223" s="9"/>
      <c r="X223" s="107"/>
      <c r="Y223" s="9"/>
      <c r="Z223" s="9"/>
      <c r="AA223" s="9"/>
      <c r="AB223" s="9"/>
      <c r="AC223" s="9"/>
      <c r="AD223" s="9"/>
      <c r="AE223" s="108"/>
      <c r="AF223" s="9"/>
      <c r="AG223" s="9"/>
      <c r="AH223" s="9"/>
      <c r="AI223" s="9"/>
      <c r="AJ223" s="9"/>
      <c r="AK223" s="98"/>
      <c r="AL223" s="99">
        <v>30</v>
      </c>
      <c r="AM223" s="99"/>
    </row>
    <row r="224" spans="1:39" ht="15" customHeight="1" x14ac:dyDescent="0.25">
      <c r="A224" s="85">
        <v>224</v>
      </c>
      <c r="B224" s="93"/>
      <c r="C224" s="11"/>
      <c r="D224" s="8" t="s">
        <v>863</v>
      </c>
      <c r="E224" s="8" t="s">
        <v>839</v>
      </c>
      <c r="F224" s="8" t="s">
        <v>841</v>
      </c>
      <c r="G224" s="8" t="s">
        <v>921</v>
      </c>
      <c r="H224" s="8"/>
      <c r="I224" s="101"/>
      <c r="J224" s="8" t="s">
        <v>684</v>
      </c>
      <c r="K224" s="8" t="s">
        <v>1352</v>
      </c>
      <c r="L224" s="8" t="s">
        <v>1354</v>
      </c>
      <c r="M224" s="8" t="str">
        <f t="shared" ref="M224:M225" si="84">CONCATENATE(K224," ",L224)</f>
        <v>ASCAZ HOSPITALARIA</v>
      </c>
      <c r="N224" s="105" t="s">
        <v>3</v>
      </c>
      <c r="O224" s="102" t="s">
        <v>1154</v>
      </c>
      <c r="P224" s="102" t="s">
        <v>340</v>
      </c>
      <c r="Q224" s="102" t="s">
        <v>153</v>
      </c>
      <c r="R224" s="8" t="s">
        <v>2</v>
      </c>
      <c r="S224" s="8" t="s">
        <v>247</v>
      </c>
      <c r="T224" s="8" t="s">
        <v>772</v>
      </c>
      <c r="U224" s="4">
        <v>17170</v>
      </c>
      <c r="V224" s="10">
        <f t="shared" ref="V224:V225" ca="1" si="85">YEAR($V$1)-YEAR(U224)</f>
        <v>71</v>
      </c>
      <c r="W224" s="8" t="s">
        <v>1</v>
      </c>
      <c r="X224" s="102" t="s">
        <v>1155</v>
      </c>
      <c r="Y224" s="8">
        <v>2</v>
      </c>
      <c r="Z224" s="8" t="s">
        <v>246</v>
      </c>
      <c r="AA224" s="8" t="s">
        <v>0</v>
      </c>
      <c r="AB224" s="8" t="s">
        <v>35</v>
      </c>
      <c r="AC224" s="8">
        <v>33208</v>
      </c>
      <c r="AD224" s="8">
        <v>985140258</v>
      </c>
      <c r="AE224" s="103" t="s">
        <v>1277</v>
      </c>
      <c r="AF224" s="8" t="s">
        <v>245</v>
      </c>
      <c r="AG224" s="8">
        <v>2048</v>
      </c>
      <c r="AH224" s="8" t="s">
        <v>244</v>
      </c>
      <c r="AI224" s="8">
        <v>41</v>
      </c>
      <c r="AJ224" s="8">
        <v>3400004358</v>
      </c>
      <c r="AK224" s="98"/>
      <c r="AL224" s="11"/>
      <c r="AM224" s="104">
        <v>10</v>
      </c>
    </row>
    <row r="225" spans="1:41" ht="15" customHeight="1" x14ac:dyDescent="0.25">
      <c r="A225" s="85">
        <v>225</v>
      </c>
      <c r="B225" s="93"/>
      <c r="C225" s="11"/>
      <c r="D225" s="8" t="s">
        <v>864</v>
      </c>
      <c r="E225" s="8" t="s">
        <v>839</v>
      </c>
      <c r="F225" s="8"/>
      <c r="G225" s="8" t="s">
        <v>921</v>
      </c>
      <c r="H225" s="8"/>
      <c r="I225" s="101"/>
      <c r="J225" s="8" t="s">
        <v>684</v>
      </c>
      <c r="K225" s="8" t="s">
        <v>1352</v>
      </c>
      <c r="L225" s="8" t="s">
        <v>1354</v>
      </c>
      <c r="M225" s="8" t="str">
        <f t="shared" si="84"/>
        <v>ASCAZ HOSPITALARIA</v>
      </c>
      <c r="N225" s="8" t="s">
        <v>48</v>
      </c>
      <c r="O225" s="102" t="s">
        <v>1251</v>
      </c>
      <c r="P225" s="102" t="s">
        <v>199</v>
      </c>
      <c r="Q225" s="102" t="s">
        <v>340</v>
      </c>
      <c r="R225" s="8" t="s">
        <v>2</v>
      </c>
      <c r="S225" s="8" t="s">
        <v>243</v>
      </c>
      <c r="T225" s="8" t="s">
        <v>753</v>
      </c>
      <c r="U225" s="4">
        <v>22080</v>
      </c>
      <c r="V225" s="10">
        <f t="shared" ca="1" si="85"/>
        <v>58</v>
      </c>
      <c r="W225" s="8"/>
      <c r="X225" s="102"/>
      <c r="Y225" s="8"/>
      <c r="Z225" s="8"/>
      <c r="AA225" s="8"/>
      <c r="AB225" s="8"/>
      <c r="AC225" s="8"/>
      <c r="AD225" s="8"/>
      <c r="AE225" s="103"/>
      <c r="AF225" s="8"/>
      <c r="AG225" s="8"/>
      <c r="AH225" s="8"/>
      <c r="AI225" s="8"/>
      <c r="AJ225" s="8"/>
      <c r="AK225" s="98"/>
      <c r="AL225" s="11"/>
      <c r="AM225" s="104">
        <v>10</v>
      </c>
    </row>
    <row r="226" spans="1:41" ht="15" customHeight="1" x14ac:dyDescent="0.25">
      <c r="A226" s="85">
        <v>226</v>
      </c>
      <c r="B226" s="93"/>
      <c r="C226" s="94">
        <v>79</v>
      </c>
      <c r="D226" s="95"/>
      <c r="E226" s="9"/>
      <c r="F226" s="9"/>
      <c r="G226" s="9"/>
      <c r="H226" s="9"/>
      <c r="I226" s="9"/>
      <c r="J226" s="9"/>
      <c r="K226" s="9"/>
      <c r="L226" s="9"/>
      <c r="M226" s="106"/>
      <c r="N226" s="9"/>
      <c r="O226" s="107"/>
      <c r="P226" s="107"/>
      <c r="Q226" s="107"/>
      <c r="R226" s="9"/>
      <c r="S226" s="9"/>
      <c r="T226" s="9"/>
      <c r="U226" s="6"/>
      <c r="V226" s="9"/>
      <c r="W226" s="9"/>
      <c r="X226" s="107"/>
      <c r="Y226" s="9"/>
      <c r="Z226" s="9"/>
      <c r="AA226" s="9"/>
      <c r="AB226" s="9"/>
      <c r="AC226" s="9"/>
      <c r="AD226" s="9"/>
      <c r="AE226" s="108"/>
      <c r="AF226" s="9"/>
      <c r="AG226" s="9"/>
      <c r="AH226" s="9"/>
      <c r="AI226" s="9"/>
      <c r="AJ226" s="9"/>
      <c r="AK226" s="98"/>
      <c r="AL226" s="99">
        <v>30</v>
      </c>
      <c r="AM226" s="99"/>
    </row>
    <row r="227" spans="1:41" ht="15" customHeight="1" x14ac:dyDescent="0.25">
      <c r="A227" s="85">
        <v>227</v>
      </c>
      <c r="B227" s="93"/>
      <c r="C227" s="11"/>
      <c r="D227" s="8" t="s">
        <v>865</v>
      </c>
      <c r="E227" s="8" t="s">
        <v>839</v>
      </c>
      <c r="F227" s="8" t="s">
        <v>843</v>
      </c>
      <c r="G227" s="8" t="s">
        <v>921</v>
      </c>
      <c r="H227" s="8"/>
      <c r="I227" s="101"/>
      <c r="J227" s="8" t="s">
        <v>684</v>
      </c>
      <c r="K227" s="8" t="s">
        <v>1352</v>
      </c>
      <c r="L227" s="8" t="s">
        <v>1354</v>
      </c>
      <c r="M227" s="8" t="str">
        <f t="shared" ref="M227:M229" si="86">CONCATENATE(K227," ",L227)</f>
        <v>ASCAZ HOSPITALARIA</v>
      </c>
      <c r="N227" s="105" t="s">
        <v>3</v>
      </c>
      <c r="O227" s="102" t="s">
        <v>1156</v>
      </c>
      <c r="P227" s="102" t="s">
        <v>644</v>
      </c>
      <c r="Q227" s="102" t="s">
        <v>1272</v>
      </c>
      <c r="R227" s="8" t="s">
        <v>2</v>
      </c>
      <c r="S227" s="8" t="s">
        <v>29</v>
      </c>
      <c r="T227" s="8" t="s">
        <v>772</v>
      </c>
      <c r="U227" s="4">
        <v>26856</v>
      </c>
      <c r="V227" s="10">
        <f t="shared" ref="V227:V229" ca="1" si="87">YEAR($V$1)-YEAR(U227)</f>
        <v>45</v>
      </c>
      <c r="W227" s="8" t="s">
        <v>1</v>
      </c>
      <c r="X227" s="102" t="s">
        <v>1157</v>
      </c>
      <c r="Y227" s="8">
        <v>8</v>
      </c>
      <c r="Z227" s="8" t="s">
        <v>28</v>
      </c>
      <c r="AA227" s="8" t="s">
        <v>0</v>
      </c>
      <c r="AB227" s="8" t="s">
        <v>35</v>
      </c>
      <c r="AC227" s="8">
        <v>33208</v>
      </c>
      <c r="AD227" s="8">
        <v>647821727</v>
      </c>
      <c r="AE227" s="103" t="s">
        <v>1158</v>
      </c>
      <c r="AF227" s="8" t="s">
        <v>1159</v>
      </c>
      <c r="AG227" s="8">
        <v>3035</v>
      </c>
      <c r="AH227" s="8" t="s">
        <v>26</v>
      </c>
      <c r="AI227" s="8">
        <v>87</v>
      </c>
      <c r="AJ227" s="8">
        <v>3651015694</v>
      </c>
      <c r="AK227" s="98"/>
      <c r="AL227" s="11"/>
      <c r="AM227" s="104">
        <v>10</v>
      </c>
    </row>
    <row r="228" spans="1:41" ht="15" customHeight="1" x14ac:dyDescent="0.25">
      <c r="A228" s="85">
        <v>228</v>
      </c>
      <c r="B228" s="93"/>
      <c r="C228" s="11"/>
      <c r="D228" s="8" t="s">
        <v>866</v>
      </c>
      <c r="E228" s="8" t="s">
        <v>839</v>
      </c>
      <c r="F228" s="8" t="s">
        <v>843</v>
      </c>
      <c r="G228" s="8" t="s">
        <v>921</v>
      </c>
      <c r="H228" s="8"/>
      <c r="I228" s="101"/>
      <c r="J228" s="8" t="s">
        <v>684</v>
      </c>
      <c r="K228" s="8" t="s">
        <v>1352</v>
      </c>
      <c r="L228" s="8" t="s">
        <v>1354</v>
      </c>
      <c r="M228" s="8" t="str">
        <f t="shared" si="86"/>
        <v>ASCAZ HOSPITALARIA</v>
      </c>
      <c r="N228" s="8" t="s">
        <v>48</v>
      </c>
      <c r="O228" s="102" t="s">
        <v>1160</v>
      </c>
      <c r="P228" s="102" t="s">
        <v>1161</v>
      </c>
      <c r="Q228" s="102" t="s">
        <v>1162</v>
      </c>
      <c r="R228" s="8" t="s">
        <v>79</v>
      </c>
      <c r="S228" s="8" t="s">
        <v>242</v>
      </c>
      <c r="T228" s="8" t="s">
        <v>753</v>
      </c>
      <c r="U228" s="4">
        <v>27512</v>
      </c>
      <c r="V228" s="10">
        <f t="shared" ca="1" si="87"/>
        <v>43</v>
      </c>
      <c r="W228" s="8"/>
      <c r="X228" s="102"/>
      <c r="Y228" s="8"/>
      <c r="Z228" s="8"/>
      <c r="AA228" s="8"/>
      <c r="AB228" s="8"/>
      <c r="AC228" s="8"/>
      <c r="AD228" s="8"/>
      <c r="AE228" s="103"/>
      <c r="AF228" s="8"/>
      <c r="AG228" s="8"/>
      <c r="AH228" s="8"/>
      <c r="AI228" s="8"/>
      <c r="AJ228" s="8"/>
      <c r="AK228" s="98"/>
      <c r="AL228" s="11"/>
      <c r="AM228" s="104">
        <v>10</v>
      </c>
    </row>
    <row r="229" spans="1:41" ht="15" customHeight="1" x14ac:dyDescent="0.25">
      <c r="A229" s="85">
        <v>229</v>
      </c>
      <c r="B229" s="93"/>
      <c r="C229" s="11"/>
      <c r="D229" s="8" t="s">
        <v>867</v>
      </c>
      <c r="E229" s="8" t="s">
        <v>839</v>
      </c>
      <c r="F229" s="8" t="s">
        <v>843</v>
      </c>
      <c r="G229" s="8" t="s">
        <v>921</v>
      </c>
      <c r="H229" s="8"/>
      <c r="I229" s="101"/>
      <c r="J229" s="8" t="s">
        <v>684</v>
      </c>
      <c r="K229" s="8" t="s">
        <v>1352</v>
      </c>
      <c r="L229" s="8" t="s">
        <v>1353</v>
      </c>
      <c r="M229" s="8" t="str">
        <f t="shared" si="86"/>
        <v>ASCAZ AMBULATORIA</v>
      </c>
      <c r="N229" s="105" t="s">
        <v>932</v>
      </c>
      <c r="O229" s="102" t="s">
        <v>512</v>
      </c>
      <c r="P229" s="102" t="s">
        <v>644</v>
      </c>
      <c r="Q229" s="102" t="s">
        <v>1161</v>
      </c>
      <c r="R229" s="8" t="s">
        <v>2</v>
      </c>
      <c r="S229" s="8" t="s">
        <v>1163</v>
      </c>
      <c r="T229" s="8" t="s">
        <v>753</v>
      </c>
      <c r="U229" s="4">
        <v>41241</v>
      </c>
      <c r="V229" s="10">
        <f t="shared" ca="1" si="87"/>
        <v>6</v>
      </c>
      <c r="W229" s="8"/>
      <c r="X229" s="102"/>
      <c r="Y229" s="8"/>
      <c r="Z229" s="8"/>
      <c r="AA229" s="8"/>
      <c r="AB229" s="8"/>
      <c r="AC229" s="8"/>
      <c r="AD229" s="8"/>
      <c r="AE229" s="103"/>
      <c r="AF229" s="8"/>
      <c r="AG229" s="8"/>
      <c r="AH229" s="8"/>
      <c r="AI229" s="8"/>
      <c r="AJ229" s="8"/>
      <c r="AK229" s="98"/>
      <c r="AL229" s="11"/>
      <c r="AM229" s="104">
        <v>10</v>
      </c>
    </row>
    <row r="230" spans="1:41" ht="15" customHeight="1" x14ac:dyDescent="0.25">
      <c r="A230" s="85">
        <v>230</v>
      </c>
      <c r="B230" s="93"/>
      <c r="C230" s="94">
        <v>80</v>
      </c>
      <c r="D230" s="95"/>
      <c r="E230" s="9"/>
      <c r="F230" s="9"/>
      <c r="G230" s="9"/>
      <c r="H230" s="9"/>
      <c r="I230" s="9"/>
      <c r="J230" s="9"/>
      <c r="K230" s="9"/>
      <c r="L230" s="9"/>
      <c r="M230" s="106"/>
      <c r="N230" s="9"/>
      <c r="O230" s="107"/>
      <c r="P230" s="107"/>
      <c r="Q230" s="107"/>
      <c r="R230" s="9"/>
      <c r="S230" s="9"/>
      <c r="T230" s="9"/>
      <c r="U230" s="6"/>
      <c r="V230" s="9"/>
      <c r="W230" s="9"/>
      <c r="X230" s="107"/>
      <c r="Y230" s="9"/>
      <c r="Z230" s="9"/>
      <c r="AA230" s="9"/>
      <c r="AB230" s="9"/>
      <c r="AC230" s="9"/>
      <c r="AD230" s="9"/>
      <c r="AE230" s="108"/>
      <c r="AF230" s="9"/>
      <c r="AG230" s="9"/>
      <c r="AH230" s="9"/>
      <c r="AI230" s="9"/>
      <c r="AJ230" s="9"/>
      <c r="AK230" s="98"/>
      <c r="AL230" s="99">
        <v>30</v>
      </c>
      <c r="AM230" s="99"/>
    </row>
    <row r="231" spans="1:41" ht="15" customHeight="1" x14ac:dyDescent="0.25">
      <c r="A231" s="85">
        <v>231</v>
      </c>
      <c r="B231" s="93"/>
      <c r="C231" s="11"/>
      <c r="D231" s="8" t="s">
        <v>868</v>
      </c>
      <c r="E231" s="8" t="s">
        <v>839</v>
      </c>
      <c r="F231" s="8" t="s">
        <v>843</v>
      </c>
      <c r="G231" s="8" t="s">
        <v>921</v>
      </c>
      <c r="H231" s="8"/>
      <c r="I231" s="174"/>
      <c r="J231" s="8" t="s">
        <v>684</v>
      </c>
      <c r="K231" s="8" t="s">
        <v>1352</v>
      </c>
      <c r="L231" s="8" t="s">
        <v>1354</v>
      </c>
      <c r="M231" s="8" t="str">
        <f t="shared" ref="M231:M233" si="88">CONCATENATE(K231," ",L231)</f>
        <v>ASCAZ HOSPITALARIA</v>
      </c>
      <c r="N231" s="105" t="s">
        <v>3</v>
      </c>
      <c r="O231" s="102" t="s">
        <v>1242</v>
      </c>
      <c r="P231" s="102" t="s">
        <v>230</v>
      </c>
      <c r="Q231" s="102" t="s">
        <v>73</v>
      </c>
      <c r="R231" s="8" t="s">
        <v>2</v>
      </c>
      <c r="S231" s="8" t="s">
        <v>241</v>
      </c>
      <c r="T231" s="8" t="s">
        <v>753</v>
      </c>
      <c r="U231" s="4">
        <v>24829</v>
      </c>
      <c r="V231" s="10">
        <f t="shared" ref="V231:V233" ca="1" si="89">YEAR($V$1)-YEAR(U231)</f>
        <v>51</v>
      </c>
      <c r="W231" s="8" t="s">
        <v>1</v>
      </c>
      <c r="X231" s="102" t="s">
        <v>240</v>
      </c>
      <c r="Y231" s="8">
        <v>3</v>
      </c>
      <c r="Z231" s="8" t="s">
        <v>239</v>
      </c>
      <c r="AA231" s="8" t="s">
        <v>0</v>
      </c>
      <c r="AB231" s="8" t="s">
        <v>35</v>
      </c>
      <c r="AC231" s="8">
        <v>33207</v>
      </c>
      <c r="AD231" s="8">
        <v>617405509</v>
      </c>
      <c r="AE231" s="103" t="s">
        <v>1164</v>
      </c>
      <c r="AF231" s="8" t="s">
        <v>237</v>
      </c>
      <c r="AG231" s="8">
        <v>2100</v>
      </c>
      <c r="AH231" s="8">
        <v>5636</v>
      </c>
      <c r="AI231" s="8">
        <v>61</v>
      </c>
      <c r="AJ231" s="8" t="s">
        <v>236</v>
      </c>
      <c r="AK231" s="98"/>
      <c r="AL231" s="11"/>
      <c r="AM231" s="104">
        <v>10</v>
      </c>
    </row>
    <row r="232" spans="1:41" ht="15" customHeight="1" x14ac:dyDescent="0.25">
      <c r="A232" s="85">
        <v>232</v>
      </c>
      <c r="B232" s="93"/>
      <c r="C232" s="11"/>
      <c r="D232" s="8" t="s">
        <v>869</v>
      </c>
      <c r="E232" s="8" t="s">
        <v>839</v>
      </c>
      <c r="F232" s="8" t="s">
        <v>843</v>
      </c>
      <c r="G232" s="8" t="s">
        <v>921</v>
      </c>
      <c r="H232" s="8"/>
      <c r="I232" s="174"/>
      <c r="J232" s="8" t="s">
        <v>684</v>
      </c>
      <c r="K232" s="8" t="s">
        <v>1352</v>
      </c>
      <c r="L232" s="8" t="s">
        <v>1354</v>
      </c>
      <c r="M232" s="8" t="str">
        <f t="shared" si="88"/>
        <v>ASCAZ HOSPITALARIA</v>
      </c>
      <c r="N232" s="8" t="s">
        <v>48</v>
      </c>
      <c r="O232" s="102" t="s">
        <v>235</v>
      </c>
      <c r="P232" s="102" t="s">
        <v>231</v>
      </c>
      <c r="Q232" s="102" t="s">
        <v>234</v>
      </c>
      <c r="R232" s="8" t="s">
        <v>2</v>
      </c>
      <c r="S232" s="8" t="s">
        <v>233</v>
      </c>
      <c r="T232" s="8" t="s">
        <v>772</v>
      </c>
      <c r="U232" s="4">
        <v>24822</v>
      </c>
      <c r="V232" s="10">
        <f t="shared" ca="1" si="89"/>
        <v>51</v>
      </c>
      <c r="W232" s="8"/>
      <c r="X232" s="102"/>
      <c r="Y232" s="8"/>
      <c r="Z232" s="8"/>
      <c r="AA232" s="8"/>
      <c r="AB232" s="8"/>
      <c r="AC232" s="8"/>
      <c r="AD232" s="8"/>
      <c r="AE232" s="103"/>
      <c r="AF232" s="8"/>
      <c r="AG232" s="8"/>
      <c r="AH232" s="8"/>
      <c r="AI232" s="8"/>
      <c r="AJ232" s="8"/>
      <c r="AK232" s="98"/>
      <c r="AL232" s="11"/>
      <c r="AM232" s="104">
        <v>10</v>
      </c>
    </row>
    <row r="233" spans="1:41" ht="15" customHeight="1" x14ac:dyDescent="0.25">
      <c r="A233" s="85">
        <v>233</v>
      </c>
      <c r="B233" s="93"/>
      <c r="C233" s="11"/>
      <c r="D233" s="8" t="s">
        <v>870</v>
      </c>
      <c r="E233" s="8" t="s">
        <v>839</v>
      </c>
      <c r="F233" s="8" t="s">
        <v>843</v>
      </c>
      <c r="G233" s="8" t="s">
        <v>921</v>
      </c>
      <c r="H233" s="8"/>
      <c r="I233" s="174"/>
      <c r="J233" s="8" t="s">
        <v>684</v>
      </c>
      <c r="K233" s="8" t="s">
        <v>1352</v>
      </c>
      <c r="L233" s="8" t="s">
        <v>1354</v>
      </c>
      <c r="M233" s="8" t="str">
        <f t="shared" si="88"/>
        <v>ASCAZ HOSPITALARIA</v>
      </c>
      <c r="N233" s="105" t="s">
        <v>932</v>
      </c>
      <c r="O233" s="102" t="s">
        <v>232</v>
      </c>
      <c r="P233" s="102" t="s">
        <v>231</v>
      </c>
      <c r="Q233" s="102" t="s">
        <v>230</v>
      </c>
      <c r="R233" s="8" t="s">
        <v>2</v>
      </c>
      <c r="S233" s="8" t="s">
        <v>229</v>
      </c>
      <c r="T233" s="8" t="s">
        <v>772</v>
      </c>
      <c r="U233" s="4">
        <v>33557</v>
      </c>
      <c r="V233" s="10">
        <f t="shared" ca="1" si="89"/>
        <v>27</v>
      </c>
      <c r="W233" s="8"/>
      <c r="X233" s="102"/>
      <c r="Y233" s="8"/>
      <c r="Z233" s="8"/>
      <c r="AA233" s="8"/>
      <c r="AB233" s="8"/>
      <c r="AC233" s="8"/>
      <c r="AD233" s="8"/>
      <c r="AE233" s="103"/>
      <c r="AF233" s="8"/>
      <c r="AG233" s="8"/>
      <c r="AH233" s="8"/>
      <c r="AI233" s="8"/>
      <c r="AJ233" s="8"/>
      <c r="AK233" s="98"/>
      <c r="AL233" s="11"/>
      <c r="AM233" s="104">
        <v>10</v>
      </c>
    </row>
    <row r="234" spans="1:41" ht="15" customHeight="1" x14ac:dyDescent="0.25">
      <c r="A234" s="85">
        <v>234</v>
      </c>
      <c r="B234" s="93"/>
      <c r="C234" s="94">
        <v>81</v>
      </c>
      <c r="D234" s="95"/>
      <c r="E234" s="9"/>
      <c r="F234" s="9"/>
      <c r="G234" s="9"/>
      <c r="H234" s="9"/>
      <c r="I234" s="9"/>
      <c r="J234" s="9"/>
      <c r="K234" s="9"/>
      <c r="L234" s="9"/>
      <c r="M234" s="106"/>
      <c r="N234" s="9"/>
      <c r="O234" s="107"/>
      <c r="P234" s="107"/>
      <c r="Q234" s="107"/>
      <c r="R234" s="9"/>
      <c r="S234" s="9"/>
      <c r="T234" s="9"/>
      <c r="U234" s="6"/>
      <c r="V234" s="9"/>
      <c r="W234" s="9"/>
      <c r="X234" s="107"/>
      <c r="Y234" s="9"/>
      <c r="Z234" s="9"/>
      <c r="AA234" s="9"/>
      <c r="AB234" s="9"/>
      <c r="AC234" s="9"/>
      <c r="AD234" s="9"/>
      <c r="AE234" s="108"/>
      <c r="AF234" s="9"/>
      <c r="AG234" s="9"/>
      <c r="AH234" s="9"/>
      <c r="AI234" s="9"/>
      <c r="AJ234" s="9"/>
      <c r="AK234" s="98"/>
      <c r="AL234" s="99">
        <v>30</v>
      </c>
      <c r="AM234" s="99"/>
    </row>
    <row r="235" spans="1:41" ht="15" customHeight="1" x14ac:dyDescent="0.25">
      <c r="A235" s="85">
        <v>235</v>
      </c>
      <c r="B235" s="93"/>
      <c r="C235" s="11"/>
      <c r="D235" s="8" t="s">
        <v>871</v>
      </c>
      <c r="E235" s="8" t="s">
        <v>839</v>
      </c>
      <c r="F235" s="8" t="s">
        <v>846</v>
      </c>
      <c r="G235" s="8" t="s">
        <v>921</v>
      </c>
      <c r="H235" s="8"/>
      <c r="I235" s="174"/>
      <c r="J235" s="8" t="s">
        <v>684</v>
      </c>
      <c r="K235" s="8" t="s">
        <v>1352</v>
      </c>
      <c r="L235" s="8" t="s">
        <v>1354</v>
      </c>
      <c r="M235" s="8" t="str">
        <f>CONCATENATE(K235," ",L235)</f>
        <v>ASCAZ HOSPITALARIA</v>
      </c>
      <c r="N235" s="105" t="s">
        <v>3</v>
      </c>
      <c r="O235" s="102" t="s">
        <v>1165</v>
      </c>
      <c r="P235" s="102" t="s">
        <v>153</v>
      </c>
      <c r="Q235" s="102" t="s">
        <v>1166</v>
      </c>
      <c r="R235" s="8" t="s">
        <v>2</v>
      </c>
      <c r="S235" s="8" t="s">
        <v>1167</v>
      </c>
      <c r="T235" s="8" t="s">
        <v>753</v>
      </c>
      <c r="U235" s="4">
        <v>28478</v>
      </c>
      <c r="V235" s="10">
        <f ca="1">YEAR($V$1)-YEAR(U235)</f>
        <v>41</v>
      </c>
      <c r="W235" s="8" t="s">
        <v>1</v>
      </c>
      <c r="X235" s="102" t="s">
        <v>1168</v>
      </c>
      <c r="Y235" s="8">
        <v>11</v>
      </c>
      <c r="Z235" s="8" t="s">
        <v>228</v>
      </c>
      <c r="AA235" s="8" t="s">
        <v>0</v>
      </c>
      <c r="AB235" s="8" t="s">
        <v>35</v>
      </c>
      <c r="AC235" s="8">
        <v>33211</v>
      </c>
      <c r="AD235" s="8">
        <v>617581334</v>
      </c>
      <c r="AE235" s="103" t="s">
        <v>1169</v>
      </c>
      <c r="AF235" s="8" t="s">
        <v>15</v>
      </c>
      <c r="AG235" s="8" t="s">
        <v>14</v>
      </c>
      <c r="AH235" s="8" t="s">
        <v>1291</v>
      </c>
      <c r="AI235" s="8" t="s">
        <v>1292</v>
      </c>
      <c r="AJ235" s="8" t="s">
        <v>1293</v>
      </c>
      <c r="AK235" s="98"/>
      <c r="AL235" s="11"/>
      <c r="AM235" s="104">
        <v>10</v>
      </c>
      <c r="AO235" s="116"/>
    </row>
    <row r="236" spans="1:41" ht="15" customHeight="1" x14ac:dyDescent="0.25">
      <c r="A236" s="85">
        <v>236</v>
      </c>
      <c r="B236" s="93"/>
      <c r="C236" s="94">
        <v>82</v>
      </c>
      <c r="D236" s="95"/>
      <c r="E236" s="9"/>
      <c r="F236" s="9"/>
      <c r="G236" s="9"/>
      <c r="H236" s="9"/>
      <c r="I236" s="9"/>
      <c r="J236" s="9"/>
      <c r="K236" s="9"/>
      <c r="L236" s="9"/>
      <c r="M236" s="106"/>
      <c r="N236" s="9"/>
      <c r="O236" s="107"/>
      <c r="P236" s="107"/>
      <c r="Q236" s="107"/>
      <c r="R236" s="9"/>
      <c r="S236" s="9"/>
      <c r="T236" s="9"/>
      <c r="U236" s="6"/>
      <c r="V236" s="9"/>
      <c r="W236" s="9"/>
      <c r="X236" s="107"/>
      <c r="Y236" s="9"/>
      <c r="Z236" s="9"/>
      <c r="AA236" s="9"/>
      <c r="AB236" s="9"/>
      <c r="AC236" s="9"/>
      <c r="AD236" s="9"/>
      <c r="AE236" s="108"/>
      <c r="AF236" s="9"/>
      <c r="AG236" s="9"/>
      <c r="AH236" s="9"/>
      <c r="AI236" s="9"/>
      <c r="AJ236" s="9"/>
      <c r="AK236" s="98"/>
      <c r="AL236" s="99">
        <v>30</v>
      </c>
      <c r="AM236" s="99"/>
    </row>
    <row r="237" spans="1:41" ht="15" customHeight="1" x14ac:dyDescent="0.25">
      <c r="A237" s="85">
        <v>237</v>
      </c>
      <c r="B237" s="93"/>
      <c r="C237" s="11"/>
      <c r="D237" s="8" t="s">
        <v>872</v>
      </c>
      <c r="E237" s="8" t="s">
        <v>839</v>
      </c>
      <c r="F237" s="8"/>
      <c r="G237" s="8" t="s">
        <v>921</v>
      </c>
      <c r="H237" s="8"/>
      <c r="I237" s="174"/>
      <c r="J237" s="8" t="s">
        <v>684</v>
      </c>
      <c r="K237" s="8" t="s">
        <v>1352</v>
      </c>
      <c r="L237" s="8" t="s">
        <v>1354</v>
      </c>
      <c r="M237" s="8" t="str">
        <f t="shared" ref="M237:M238" si="90">CONCATENATE(K237," ",L237)</f>
        <v>ASCAZ HOSPITALARIA</v>
      </c>
      <c r="N237" s="105" t="s">
        <v>176</v>
      </c>
      <c r="O237" s="102" t="s">
        <v>225</v>
      </c>
      <c r="P237" s="102" t="s">
        <v>224</v>
      </c>
      <c r="Q237" s="102" t="s">
        <v>223</v>
      </c>
      <c r="R237" s="8" t="s">
        <v>2</v>
      </c>
      <c r="S237" s="8" t="s">
        <v>1170</v>
      </c>
      <c r="T237" s="8" t="s">
        <v>772</v>
      </c>
      <c r="U237" s="4">
        <v>25132</v>
      </c>
      <c r="V237" s="10">
        <f t="shared" ref="V237:V238" ca="1" si="91">YEAR($V$1)-YEAR(U237)</f>
        <v>50</v>
      </c>
      <c r="W237" s="8" t="s">
        <v>1</v>
      </c>
      <c r="X237" s="102" t="s">
        <v>222</v>
      </c>
      <c r="Y237" s="8">
        <v>5</v>
      </c>
      <c r="Z237" s="8" t="s">
        <v>1171</v>
      </c>
      <c r="AA237" s="8" t="s">
        <v>0</v>
      </c>
      <c r="AB237" s="8" t="s">
        <v>221</v>
      </c>
      <c r="AC237" s="8">
        <v>33630</v>
      </c>
      <c r="AD237" s="8">
        <v>639394558</v>
      </c>
      <c r="AE237" s="103" t="s">
        <v>1172</v>
      </c>
      <c r="AF237" s="8" t="s">
        <v>219</v>
      </c>
      <c r="AG237" s="8">
        <v>3059</v>
      </c>
      <c r="AH237" s="8" t="s">
        <v>218</v>
      </c>
      <c r="AI237" s="8">
        <v>14</v>
      </c>
      <c r="AJ237" s="8">
        <v>2379667427</v>
      </c>
      <c r="AK237" s="98"/>
      <c r="AL237" s="11"/>
      <c r="AM237" s="104">
        <v>10</v>
      </c>
    </row>
    <row r="238" spans="1:41" ht="15" customHeight="1" x14ac:dyDescent="0.25">
      <c r="A238" s="85">
        <v>238</v>
      </c>
      <c r="B238" s="93"/>
      <c r="C238" s="11"/>
      <c r="D238" s="8" t="s">
        <v>873</v>
      </c>
      <c r="E238" s="8" t="s">
        <v>839</v>
      </c>
      <c r="F238" s="8"/>
      <c r="G238" s="8" t="s">
        <v>921</v>
      </c>
      <c r="H238" s="8"/>
      <c r="I238" s="174"/>
      <c r="J238" s="8" t="s">
        <v>684</v>
      </c>
      <c r="K238" s="8" t="s">
        <v>1352</v>
      </c>
      <c r="L238" s="8" t="s">
        <v>1354</v>
      </c>
      <c r="M238" s="8" t="str">
        <f t="shared" si="90"/>
        <v>ASCAZ HOSPITALARIA</v>
      </c>
      <c r="N238" s="8" t="s">
        <v>48</v>
      </c>
      <c r="O238" s="102" t="s">
        <v>217</v>
      </c>
      <c r="P238" s="102" t="s">
        <v>73</v>
      </c>
      <c r="Q238" s="102" t="s">
        <v>216</v>
      </c>
      <c r="R238" s="8" t="s">
        <v>2</v>
      </c>
      <c r="S238" s="8" t="s">
        <v>215</v>
      </c>
      <c r="T238" s="8" t="s">
        <v>753</v>
      </c>
      <c r="U238" s="4">
        <v>24789</v>
      </c>
      <c r="V238" s="10">
        <f t="shared" ca="1" si="91"/>
        <v>51</v>
      </c>
      <c r="W238" s="8"/>
      <c r="X238" s="102"/>
      <c r="Y238" s="8"/>
      <c r="Z238" s="8"/>
      <c r="AA238" s="8"/>
      <c r="AB238" s="8"/>
      <c r="AC238" s="8"/>
      <c r="AD238" s="8"/>
      <c r="AE238" s="103"/>
      <c r="AF238" s="8"/>
      <c r="AG238" s="8"/>
      <c r="AH238" s="8"/>
      <c r="AI238" s="8"/>
      <c r="AJ238" s="8"/>
      <c r="AK238" s="98"/>
      <c r="AL238" s="11"/>
      <c r="AM238" s="104">
        <v>10</v>
      </c>
    </row>
    <row r="239" spans="1:41" ht="15" customHeight="1" x14ac:dyDescent="0.25">
      <c r="A239" s="85">
        <v>239</v>
      </c>
      <c r="B239" s="93"/>
      <c r="C239" s="94">
        <v>83</v>
      </c>
      <c r="D239" s="95"/>
      <c r="E239" s="9"/>
      <c r="F239" s="9"/>
      <c r="G239" s="9"/>
      <c r="H239" s="9"/>
      <c r="I239" s="9"/>
      <c r="J239" s="9"/>
      <c r="K239" s="9"/>
      <c r="L239" s="9"/>
      <c r="M239" s="106"/>
      <c r="N239" s="9"/>
      <c r="O239" s="107"/>
      <c r="P239" s="107"/>
      <c r="Q239" s="107"/>
      <c r="R239" s="9"/>
      <c r="S239" s="9"/>
      <c r="T239" s="9"/>
      <c r="U239" s="6"/>
      <c r="V239" s="9"/>
      <c r="W239" s="9"/>
      <c r="X239" s="107"/>
      <c r="Y239" s="9"/>
      <c r="Z239" s="9"/>
      <c r="AA239" s="9"/>
      <c r="AB239" s="9"/>
      <c r="AC239" s="9"/>
      <c r="AD239" s="9"/>
      <c r="AE239" s="108"/>
      <c r="AF239" s="9"/>
      <c r="AG239" s="9"/>
      <c r="AH239" s="9"/>
      <c r="AI239" s="9"/>
      <c r="AJ239" s="9"/>
      <c r="AK239" s="98"/>
      <c r="AL239" s="99">
        <v>30</v>
      </c>
      <c r="AM239" s="99"/>
    </row>
    <row r="240" spans="1:41" ht="15" customHeight="1" x14ac:dyDescent="0.25">
      <c r="A240" s="85">
        <v>240</v>
      </c>
      <c r="B240" s="93"/>
      <c r="C240" s="11"/>
      <c r="D240" s="8" t="s">
        <v>874</v>
      </c>
      <c r="E240" s="8" t="s">
        <v>839</v>
      </c>
      <c r="F240" s="8"/>
      <c r="G240" s="8" t="s">
        <v>921</v>
      </c>
      <c r="H240" s="8"/>
      <c r="I240" s="174"/>
      <c r="J240" s="8" t="s">
        <v>684</v>
      </c>
      <c r="K240" s="8" t="s">
        <v>1352</v>
      </c>
      <c r="L240" s="8" t="s">
        <v>1354</v>
      </c>
      <c r="M240" s="8" t="str">
        <f>CONCATENATE(K240," ",L240)</f>
        <v>ASCAZ HOSPITALARIA</v>
      </c>
      <c r="N240" s="105" t="s">
        <v>3</v>
      </c>
      <c r="O240" s="102" t="s">
        <v>116</v>
      </c>
      <c r="P240" s="102" t="s">
        <v>1264</v>
      </c>
      <c r="Q240" s="102" t="s">
        <v>1279</v>
      </c>
      <c r="R240" s="8" t="s">
        <v>2</v>
      </c>
      <c r="S240" s="8" t="s">
        <v>203</v>
      </c>
      <c r="T240" s="8" t="s">
        <v>753</v>
      </c>
      <c r="U240" s="4">
        <v>26243</v>
      </c>
      <c r="V240" s="10">
        <f ca="1">YEAR($V$1)-YEAR(U240)</f>
        <v>47</v>
      </c>
      <c r="W240" s="8" t="s">
        <v>1</v>
      </c>
      <c r="X240" s="102" t="s">
        <v>202</v>
      </c>
      <c r="Y240" s="8">
        <v>10</v>
      </c>
      <c r="Z240" s="8" t="s">
        <v>201</v>
      </c>
      <c r="AA240" s="8" t="s">
        <v>0</v>
      </c>
      <c r="AB240" s="8" t="s">
        <v>8</v>
      </c>
      <c r="AC240" s="8">
        <v>33008</v>
      </c>
      <c r="AD240" s="8">
        <v>691687934</v>
      </c>
      <c r="AE240" s="103" t="s">
        <v>1173</v>
      </c>
      <c r="AF240" s="8" t="s">
        <v>6</v>
      </c>
      <c r="AG240" s="8">
        <v>2048</v>
      </c>
      <c r="AH240" s="8" t="s">
        <v>5</v>
      </c>
      <c r="AI240" s="8" t="s">
        <v>4</v>
      </c>
      <c r="AJ240" s="8">
        <v>3000047252</v>
      </c>
      <c r="AK240" s="98"/>
      <c r="AL240" s="11"/>
      <c r="AM240" s="104">
        <v>10</v>
      </c>
    </row>
    <row r="241" spans="1:39" ht="15" customHeight="1" x14ac:dyDescent="0.25">
      <c r="A241" s="85">
        <v>241</v>
      </c>
      <c r="B241" s="93"/>
      <c r="C241" s="94">
        <v>84</v>
      </c>
      <c r="D241" s="95"/>
      <c r="E241" s="9"/>
      <c r="F241" s="9"/>
      <c r="G241" s="9"/>
      <c r="H241" s="9"/>
      <c r="I241" s="9"/>
      <c r="J241" s="9"/>
      <c r="K241" s="9"/>
      <c r="L241" s="9"/>
      <c r="M241" s="106"/>
      <c r="N241" s="9"/>
      <c r="O241" s="107"/>
      <c r="P241" s="107"/>
      <c r="Q241" s="107"/>
      <c r="R241" s="9"/>
      <c r="S241" s="9"/>
      <c r="T241" s="9"/>
      <c r="U241" s="6"/>
      <c r="V241" s="9"/>
      <c r="W241" s="9"/>
      <c r="X241" s="107"/>
      <c r="Y241" s="9"/>
      <c r="Z241" s="9"/>
      <c r="AA241" s="9"/>
      <c r="AB241" s="9"/>
      <c r="AC241" s="9"/>
      <c r="AD241" s="9"/>
      <c r="AE241" s="108"/>
      <c r="AF241" s="9"/>
      <c r="AG241" s="9"/>
      <c r="AH241" s="9"/>
      <c r="AI241" s="9"/>
      <c r="AJ241" s="9"/>
      <c r="AK241" s="98"/>
      <c r="AL241" s="99">
        <v>30</v>
      </c>
      <c r="AM241" s="99"/>
    </row>
    <row r="242" spans="1:39" ht="15" customHeight="1" x14ac:dyDescent="0.25">
      <c r="A242" s="85">
        <v>242</v>
      </c>
      <c r="B242" s="93"/>
      <c r="C242" s="11"/>
      <c r="D242" s="8" t="s">
        <v>875</v>
      </c>
      <c r="E242" s="8" t="s">
        <v>839</v>
      </c>
      <c r="F242" s="8"/>
      <c r="G242" s="8" t="s">
        <v>921</v>
      </c>
      <c r="H242" s="8"/>
      <c r="I242" s="101"/>
      <c r="J242" s="8" t="s">
        <v>684</v>
      </c>
      <c r="K242" s="8" t="s">
        <v>1352</v>
      </c>
      <c r="L242" s="8" t="s">
        <v>1354</v>
      </c>
      <c r="M242" s="8" t="str">
        <f>CONCATENATE(K242," ",L242)</f>
        <v>ASCAZ HOSPITALARIA</v>
      </c>
      <c r="N242" s="105" t="s">
        <v>3</v>
      </c>
      <c r="O242" s="102" t="s">
        <v>200</v>
      </c>
      <c r="P242" s="102" t="s">
        <v>199</v>
      </c>
      <c r="Q242" s="102" t="s">
        <v>198</v>
      </c>
      <c r="R242" s="8" t="s">
        <v>2</v>
      </c>
      <c r="S242" s="8" t="s">
        <v>197</v>
      </c>
      <c r="T242" s="8" t="s">
        <v>753</v>
      </c>
      <c r="U242" s="4">
        <v>29329</v>
      </c>
      <c r="V242" s="10">
        <f ca="1">YEAR($V$1)-YEAR(U242)</f>
        <v>38</v>
      </c>
      <c r="W242" s="8" t="s">
        <v>196</v>
      </c>
      <c r="X242" s="102" t="s">
        <v>195</v>
      </c>
      <c r="Y242" s="8">
        <v>21</v>
      </c>
      <c r="Z242" s="8" t="s">
        <v>194</v>
      </c>
      <c r="AA242" s="8" t="s">
        <v>0</v>
      </c>
      <c r="AB242" s="8" t="s">
        <v>35</v>
      </c>
      <c r="AC242" s="8">
        <v>33204</v>
      </c>
      <c r="AD242" s="8">
        <v>608171127</v>
      </c>
      <c r="AE242" s="103" t="s">
        <v>1174</v>
      </c>
      <c r="AF242" s="8" t="s">
        <v>67</v>
      </c>
      <c r="AG242" s="8">
        <v>2048</v>
      </c>
      <c r="AH242" s="8" t="s">
        <v>192</v>
      </c>
      <c r="AI242" s="8">
        <v>30</v>
      </c>
      <c r="AJ242" s="8">
        <v>3404001272</v>
      </c>
      <c r="AK242" s="98"/>
      <c r="AL242" s="11"/>
      <c r="AM242" s="104">
        <v>10</v>
      </c>
    </row>
    <row r="243" spans="1:39" ht="15" customHeight="1" x14ac:dyDescent="0.25">
      <c r="A243" s="85">
        <v>243</v>
      </c>
      <c r="B243" s="93"/>
      <c r="C243" s="94">
        <v>85</v>
      </c>
      <c r="D243" s="95"/>
      <c r="E243" s="9"/>
      <c r="F243" s="9"/>
      <c r="G243" s="9"/>
      <c r="H243" s="9"/>
      <c r="I243" s="9"/>
      <c r="J243" s="9"/>
      <c r="K243" s="9"/>
      <c r="L243" s="9"/>
      <c r="M243" s="106"/>
      <c r="N243" s="9"/>
      <c r="O243" s="107"/>
      <c r="P243" s="107"/>
      <c r="Q243" s="107"/>
      <c r="R243" s="9"/>
      <c r="S243" s="9"/>
      <c r="T243" s="9"/>
      <c r="U243" s="6"/>
      <c r="V243" s="9"/>
      <c r="W243" s="9"/>
      <c r="X243" s="107"/>
      <c r="Y243" s="9"/>
      <c r="Z243" s="9"/>
      <c r="AA243" s="9"/>
      <c r="AB243" s="9"/>
      <c r="AC243" s="9"/>
      <c r="AD243" s="9"/>
      <c r="AE243" s="108"/>
      <c r="AF243" s="9"/>
      <c r="AG243" s="9"/>
      <c r="AH243" s="9"/>
      <c r="AI243" s="9"/>
      <c r="AJ243" s="9"/>
      <c r="AK243" s="98"/>
      <c r="AL243" s="99">
        <v>30</v>
      </c>
      <c r="AM243" s="99"/>
    </row>
    <row r="244" spans="1:39" ht="15" customHeight="1" x14ac:dyDescent="0.25">
      <c r="A244" s="85">
        <v>244</v>
      </c>
      <c r="B244" s="93"/>
      <c r="C244" s="11"/>
      <c r="D244" s="8" t="s">
        <v>876</v>
      </c>
      <c r="E244" s="8" t="s">
        <v>839</v>
      </c>
      <c r="F244" s="8"/>
      <c r="G244" s="8" t="s">
        <v>921</v>
      </c>
      <c r="H244" s="8"/>
      <c r="I244" s="174"/>
      <c r="J244" s="8" t="s">
        <v>684</v>
      </c>
      <c r="K244" s="8" t="s">
        <v>1352</v>
      </c>
      <c r="L244" s="8" t="s">
        <v>1354</v>
      </c>
      <c r="M244" s="8" t="str">
        <f>CONCATENATE(K244," ",L244)</f>
        <v>ASCAZ HOSPITALARIA</v>
      </c>
      <c r="N244" s="105" t="s">
        <v>3</v>
      </c>
      <c r="O244" s="102" t="s">
        <v>1251</v>
      </c>
      <c r="P244" s="102" t="s">
        <v>191</v>
      </c>
      <c r="Q244" s="102" t="s">
        <v>1279</v>
      </c>
      <c r="R244" s="8" t="s">
        <v>2</v>
      </c>
      <c r="S244" s="8" t="s">
        <v>190</v>
      </c>
      <c r="T244" s="8" t="s">
        <v>753</v>
      </c>
      <c r="U244" s="4">
        <v>26458</v>
      </c>
      <c r="V244" s="10">
        <f ca="1">YEAR($V$1)-YEAR(U244)</f>
        <v>46</v>
      </c>
      <c r="W244" s="8" t="s">
        <v>189</v>
      </c>
      <c r="X244" s="102" t="s">
        <v>188</v>
      </c>
      <c r="Y244" s="8">
        <v>18</v>
      </c>
      <c r="Z244" s="8"/>
      <c r="AA244" s="8" t="s">
        <v>0</v>
      </c>
      <c r="AB244" s="8" t="s">
        <v>187</v>
      </c>
      <c r="AC244" s="8">
        <v>33592</v>
      </c>
      <c r="AD244" s="8" t="s">
        <v>186</v>
      </c>
      <c r="AE244" s="103" t="s">
        <v>1175</v>
      </c>
      <c r="AF244" s="8" t="s">
        <v>184</v>
      </c>
      <c r="AG244" s="8">
        <v>3059</v>
      </c>
      <c r="AH244" s="8" t="s">
        <v>49</v>
      </c>
      <c r="AI244" s="8">
        <v>93</v>
      </c>
      <c r="AJ244" s="8">
        <v>1542269319</v>
      </c>
      <c r="AK244" s="98"/>
      <c r="AL244" s="11"/>
      <c r="AM244" s="104">
        <v>10</v>
      </c>
    </row>
    <row r="245" spans="1:39" ht="15" customHeight="1" x14ac:dyDescent="0.25">
      <c r="A245" s="85">
        <v>245</v>
      </c>
      <c r="B245" s="93"/>
      <c r="C245" s="94">
        <v>86</v>
      </c>
      <c r="D245" s="95"/>
      <c r="E245" s="9"/>
      <c r="F245" s="9"/>
      <c r="G245" s="9"/>
      <c r="H245" s="9"/>
      <c r="I245" s="9"/>
      <c r="J245" s="9"/>
      <c r="K245" s="9"/>
      <c r="L245" s="9"/>
      <c r="M245" s="106"/>
      <c r="N245" s="9"/>
      <c r="O245" s="107"/>
      <c r="P245" s="107"/>
      <c r="Q245" s="107"/>
      <c r="R245" s="9"/>
      <c r="S245" s="9"/>
      <c r="T245" s="9"/>
      <c r="U245" s="6"/>
      <c r="V245" s="9"/>
      <c r="W245" s="9"/>
      <c r="X245" s="107"/>
      <c r="Y245" s="9"/>
      <c r="Z245" s="9"/>
      <c r="AA245" s="9"/>
      <c r="AB245" s="9"/>
      <c r="AC245" s="9"/>
      <c r="AD245" s="9"/>
      <c r="AE245" s="108"/>
      <c r="AF245" s="9"/>
      <c r="AG245" s="9"/>
      <c r="AH245" s="9"/>
      <c r="AI245" s="9"/>
      <c r="AJ245" s="9"/>
      <c r="AK245" s="98"/>
      <c r="AL245" s="99">
        <v>30</v>
      </c>
      <c r="AM245" s="99"/>
    </row>
    <row r="246" spans="1:39" ht="15" customHeight="1" x14ac:dyDescent="0.25">
      <c r="A246" s="85">
        <v>246</v>
      </c>
      <c r="B246" s="93"/>
      <c r="C246" s="11"/>
      <c r="D246" s="8" t="s">
        <v>877</v>
      </c>
      <c r="E246" s="8" t="s">
        <v>839</v>
      </c>
      <c r="F246" s="8"/>
      <c r="G246" s="8" t="s">
        <v>921</v>
      </c>
      <c r="H246" s="8"/>
      <c r="I246" s="174"/>
      <c r="J246" s="8" t="s">
        <v>684</v>
      </c>
      <c r="K246" s="8" t="s">
        <v>1352</v>
      </c>
      <c r="L246" s="8" t="s">
        <v>1354</v>
      </c>
      <c r="M246" s="8" t="str">
        <f>CONCATENATE(K246," ",L246)</f>
        <v>ASCAZ HOSPITALARIA</v>
      </c>
      <c r="N246" s="105" t="s">
        <v>3</v>
      </c>
      <c r="O246" s="102" t="s">
        <v>1252</v>
      </c>
      <c r="P246" s="102" t="s">
        <v>1265</v>
      </c>
      <c r="Q246" s="102" t="s">
        <v>183</v>
      </c>
      <c r="R246" s="8" t="s">
        <v>2</v>
      </c>
      <c r="S246" s="8" t="s">
        <v>182</v>
      </c>
      <c r="T246" s="8" t="s">
        <v>753</v>
      </c>
      <c r="U246" s="4">
        <v>25037</v>
      </c>
      <c r="V246" s="10">
        <f ca="1">YEAR($V$1)-YEAR(U246)</f>
        <v>50</v>
      </c>
      <c r="W246" s="8" t="s">
        <v>1</v>
      </c>
      <c r="X246" s="102" t="s">
        <v>181</v>
      </c>
      <c r="Y246" s="8">
        <v>15</v>
      </c>
      <c r="Z246" s="8" t="s">
        <v>180</v>
      </c>
      <c r="AA246" s="8" t="s">
        <v>0</v>
      </c>
      <c r="AB246" s="8" t="s">
        <v>8</v>
      </c>
      <c r="AC246" s="8">
        <v>33010</v>
      </c>
      <c r="AD246" s="8">
        <v>654842421</v>
      </c>
      <c r="AE246" s="103" t="s">
        <v>1176</v>
      </c>
      <c r="AF246" s="8" t="s">
        <v>178</v>
      </c>
      <c r="AG246" s="8" t="s">
        <v>19</v>
      </c>
      <c r="AH246" s="8">
        <v>5697</v>
      </c>
      <c r="AI246" s="8">
        <v>95</v>
      </c>
      <c r="AJ246" s="8">
        <v>2895007633</v>
      </c>
      <c r="AK246" s="98"/>
      <c r="AL246" s="11"/>
      <c r="AM246" s="104">
        <v>10</v>
      </c>
    </row>
    <row r="247" spans="1:39" ht="15" customHeight="1" x14ac:dyDescent="0.25">
      <c r="A247" s="85">
        <v>247</v>
      </c>
      <c r="B247" s="93"/>
      <c r="C247" s="94">
        <v>87</v>
      </c>
      <c r="D247" s="95"/>
      <c r="E247" s="9"/>
      <c r="F247" s="9"/>
      <c r="G247" s="9"/>
      <c r="H247" s="9"/>
      <c r="I247" s="9"/>
      <c r="J247" s="9"/>
      <c r="K247" s="9"/>
      <c r="L247" s="9"/>
      <c r="M247" s="106"/>
      <c r="N247" s="9"/>
      <c r="O247" s="107"/>
      <c r="P247" s="107"/>
      <c r="Q247" s="107"/>
      <c r="R247" s="9"/>
      <c r="S247" s="9"/>
      <c r="T247" s="9"/>
      <c r="U247" s="6"/>
      <c r="V247" s="9"/>
      <c r="W247" s="9"/>
      <c r="X247" s="107"/>
      <c r="Y247" s="9"/>
      <c r="Z247" s="9"/>
      <c r="AA247" s="9"/>
      <c r="AB247" s="9"/>
      <c r="AC247" s="9"/>
      <c r="AD247" s="9"/>
      <c r="AE247" s="108"/>
      <c r="AF247" s="9"/>
      <c r="AG247" s="9"/>
      <c r="AH247" s="9"/>
      <c r="AI247" s="9"/>
      <c r="AJ247" s="9"/>
      <c r="AK247" s="98"/>
      <c r="AL247" s="99">
        <v>30</v>
      </c>
      <c r="AM247" s="99"/>
    </row>
    <row r="248" spans="1:39" ht="15" customHeight="1" x14ac:dyDescent="0.25">
      <c r="A248" s="85">
        <v>248</v>
      </c>
      <c r="B248" s="129"/>
      <c r="C248" s="11"/>
      <c r="D248" s="8" t="s">
        <v>878</v>
      </c>
      <c r="E248" s="8" t="s">
        <v>839</v>
      </c>
      <c r="F248" s="8" t="s">
        <v>1314</v>
      </c>
      <c r="G248" s="8" t="s">
        <v>921</v>
      </c>
      <c r="H248" s="8"/>
      <c r="I248" s="101"/>
      <c r="J248" s="8" t="s">
        <v>684</v>
      </c>
      <c r="K248" s="8" t="s">
        <v>1352</v>
      </c>
      <c r="L248" s="8" t="s">
        <v>1354</v>
      </c>
      <c r="M248" s="8" t="str">
        <f t="shared" ref="M248:M250" si="92">CONCATENATE(K248," ",L248)</f>
        <v>ASCAZ HOSPITALARIA</v>
      </c>
      <c r="N248" s="105" t="s">
        <v>3</v>
      </c>
      <c r="O248" s="102" t="s">
        <v>1177</v>
      </c>
      <c r="P248" s="102" t="s">
        <v>340</v>
      </c>
      <c r="Q248" s="102" t="s">
        <v>261</v>
      </c>
      <c r="R248" s="8" t="s">
        <v>2</v>
      </c>
      <c r="S248" s="8" t="s">
        <v>18</v>
      </c>
      <c r="T248" s="8" t="s">
        <v>772</v>
      </c>
      <c r="U248" s="4">
        <v>28185</v>
      </c>
      <c r="V248" s="10">
        <f t="shared" ref="V248:V250" ca="1" si="93">YEAR($V$1)-YEAR(U248)</f>
        <v>41</v>
      </c>
      <c r="W248" s="8" t="s">
        <v>1</v>
      </c>
      <c r="X248" s="102" t="s">
        <v>1111</v>
      </c>
      <c r="Y248" s="8">
        <v>71</v>
      </c>
      <c r="Z248" s="8" t="s">
        <v>17</v>
      </c>
      <c r="AA248" s="8" t="s">
        <v>0</v>
      </c>
      <c r="AB248" s="8" t="s">
        <v>35</v>
      </c>
      <c r="AC248" s="8">
        <v>33203</v>
      </c>
      <c r="AD248" s="8">
        <v>615955970</v>
      </c>
      <c r="AE248" s="103" t="s">
        <v>1178</v>
      </c>
      <c r="AF248" s="8" t="s">
        <v>15</v>
      </c>
      <c r="AG248" s="8" t="s">
        <v>14</v>
      </c>
      <c r="AH248" s="8">
        <v>5652</v>
      </c>
      <c r="AI248" s="8">
        <v>18</v>
      </c>
      <c r="AJ248" s="8" t="s">
        <v>13</v>
      </c>
      <c r="AK248" s="98"/>
      <c r="AL248" s="11"/>
      <c r="AM248" s="104">
        <v>10</v>
      </c>
    </row>
    <row r="249" spans="1:39" ht="15" customHeight="1" x14ac:dyDescent="0.25">
      <c r="A249" s="85">
        <v>249</v>
      </c>
      <c r="B249" s="129"/>
      <c r="C249" s="11"/>
      <c r="D249" s="8" t="s">
        <v>879</v>
      </c>
      <c r="E249" s="8" t="s">
        <v>839</v>
      </c>
      <c r="F249" s="8" t="s">
        <v>1314</v>
      </c>
      <c r="G249" s="8" t="s">
        <v>921</v>
      </c>
      <c r="H249" s="8"/>
      <c r="I249" s="101"/>
      <c r="J249" s="8" t="s">
        <v>684</v>
      </c>
      <c r="K249" s="8" t="s">
        <v>1352</v>
      </c>
      <c r="L249" s="8" t="s">
        <v>1354</v>
      </c>
      <c r="M249" s="8" t="str">
        <f t="shared" si="92"/>
        <v>ASCAZ HOSPITALARIA</v>
      </c>
      <c r="N249" s="8" t="s">
        <v>48</v>
      </c>
      <c r="O249" s="102" t="s">
        <v>1179</v>
      </c>
      <c r="P249" s="102" t="s">
        <v>1180</v>
      </c>
      <c r="Q249" s="102" t="s">
        <v>1181</v>
      </c>
      <c r="R249" s="8" t="s">
        <v>2</v>
      </c>
      <c r="S249" s="8" t="s">
        <v>177</v>
      </c>
      <c r="T249" s="8" t="s">
        <v>753</v>
      </c>
      <c r="U249" s="4">
        <v>28345</v>
      </c>
      <c r="V249" s="10">
        <f t="shared" ca="1" si="93"/>
        <v>41</v>
      </c>
      <c r="W249" s="8"/>
      <c r="X249" s="102"/>
      <c r="Y249" s="8"/>
      <c r="Z249" s="8"/>
      <c r="AA249" s="8"/>
      <c r="AB249" s="8"/>
      <c r="AC249" s="8"/>
      <c r="AD249" s="8"/>
      <c r="AE249" s="103"/>
      <c r="AF249" s="8"/>
      <c r="AG249" s="8"/>
      <c r="AH249" s="8"/>
      <c r="AI249" s="8"/>
      <c r="AJ249" s="8"/>
      <c r="AK249" s="98"/>
      <c r="AL249" s="11"/>
      <c r="AM249" s="104">
        <v>10</v>
      </c>
    </row>
    <row r="250" spans="1:39" ht="15" customHeight="1" x14ac:dyDescent="0.25">
      <c r="A250" s="85">
        <v>250</v>
      </c>
      <c r="B250" s="129"/>
      <c r="C250" s="11"/>
      <c r="D250" s="8" t="s">
        <v>881</v>
      </c>
      <c r="E250" s="8" t="s">
        <v>839</v>
      </c>
      <c r="F250" s="8" t="s">
        <v>1314</v>
      </c>
      <c r="G250" s="8" t="s">
        <v>921</v>
      </c>
      <c r="H250" s="8"/>
      <c r="I250" s="101"/>
      <c r="J250" s="8" t="s">
        <v>684</v>
      </c>
      <c r="K250" s="8" t="s">
        <v>1352</v>
      </c>
      <c r="L250" s="8" t="s">
        <v>1353</v>
      </c>
      <c r="M250" s="8" t="str">
        <f t="shared" si="92"/>
        <v>ASCAZ AMBULATORIA</v>
      </c>
      <c r="N250" s="105" t="s">
        <v>932</v>
      </c>
      <c r="O250" s="102" t="s">
        <v>1182</v>
      </c>
      <c r="P250" s="102" t="s">
        <v>340</v>
      </c>
      <c r="Q250" s="102" t="s">
        <v>1180</v>
      </c>
      <c r="R250" s="8"/>
      <c r="S250" s="8"/>
      <c r="T250" s="8" t="s">
        <v>772</v>
      </c>
      <c r="U250" s="4">
        <v>42109</v>
      </c>
      <c r="V250" s="10">
        <f t="shared" ca="1" si="93"/>
        <v>3</v>
      </c>
      <c r="W250" s="8"/>
      <c r="X250" s="102"/>
      <c r="Y250" s="8"/>
      <c r="Z250" s="8"/>
      <c r="AA250" s="8"/>
      <c r="AB250" s="8"/>
      <c r="AC250" s="8"/>
      <c r="AD250" s="8"/>
      <c r="AE250" s="103"/>
      <c r="AF250" s="8"/>
      <c r="AG250" s="8"/>
      <c r="AH250" s="8"/>
      <c r="AI250" s="8"/>
      <c r="AJ250" s="8"/>
      <c r="AK250" s="98"/>
      <c r="AL250" s="11"/>
      <c r="AM250" s="104">
        <v>10</v>
      </c>
    </row>
    <row r="251" spans="1:39" ht="15" customHeight="1" x14ac:dyDescent="0.25">
      <c r="A251" s="85">
        <v>251</v>
      </c>
      <c r="B251" s="93"/>
      <c r="C251" s="94">
        <v>88</v>
      </c>
      <c r="D251" s="95"/>
      <c r="E251" s="9"/>
      <c r="F251" s="9"/>
      <c r="G251" s="9"/>
      <c r="H251" s="9"/>
      <c r="I251" s="9"/>
      <c r="J251" s="9"/>
      <c r="K251" s="9"/>
      <c r="L251" s="9"/>
      <c r="M251" s="106"/>
      <c r="N251" s="9"/>
      <c r="O251" s="107"/>
      <c r="P251" s="107"/>
      <c r="Q251" s="107"/>
      <c r="R251" s="9"/>
      <c r="S251" s="9"/>
      <c r="T251" s="9"/>
      <c r="U251" s="6"/>
      <c r="V251" s="9"/>
      <c r="W251" s="9"/>
      <c r="X251" s="107"/>
      <c r="Y251" s="9"/>
      <c r="Z251" s="9"/>
      <c r="AA251" s="9"/>
      <c r="AB251" s="9"/>
      <c r="AC251" s="9"/>
      <c r="AD251" s="9"/>
      <c r="AE251" s="108"/>
      <c r="AF251" s="9"/>
      <c r="AG251" s="9"/>
      <c r="AH251" s="9"/>
      <c r="AI251" s="9"/>
      <c r="AJ251" s="9"/>
      <c r="AK251" s="98"/>
      <c r="AL251" s="99">
        <v>30</v>
      </c>
      <c r="AM251" s="99"/>
    </row>
    <row r="252" spans="1:39" ht="15" customHeight="1" x14ac:dyDescent="0.25">
      <c r="A252" s="85">
        <v>252</v>
      </c>
      <c r="B252" s="93"/>
      <c r="C252" s="11"/>
      <c r="D252" s="8" t="s">
        <v>880</v>
      </c>
      <c r="E252" s="8" t="s">
        <v>839</v>
      </c>
      <c r="F252" s="8"/>
      <c r="G252" s="8" t="s">
        <v>921</v>
      </c>
      <c r="H252" s="8"/>
      <c r="I252" s="174"/>
      <c r="J252" s="8" t="s">
        <v>684</v>
      </c>
      <c r="K252" s="8" t="s">
        <v>1352</v>
      </c>
      <c r="L252" s="8" t="s">
        <v>1354</v>
      </c>
      <c r="M252" s="8" t="str">
        <f>CONCATENATE(K252," ",L252)</f>
        <v>ASCAZ HOSPITALARIA</v>
      </c>
      <c r="N252" s="105" t="s">
        <v>176</v>
      </c>
      <c r="O252" s="102" t="s">
        <v>175</v>
      </c>
      <c r="P252" s="102" t="s">
        <v>25</v>
      </c>
      <c r="Q252" s="102" t="s">
        <v>1264</v>
      </c>
      <c r="R252" s="8" t="s">
        <v>2</v>
      </c>
      <c r="S252" s="8" t="s">
        <v>174</v>
      </c>
      <c r="T252" s="8" t="s">
        <v>772</v>
      </c>
      <c r="U252" s="4">
        <v>30595</v>
      </c>
      <c r="V252" s="10">
        <f ca="1">YEAR($V$1)-YEAR(U252)</f>
        <v>35</v>
      </c>
      <c r="W252" s="8" t="s">
        <v>1</v>
      </c>
      <c r="X252" s="102" t="s">
        <v>173</v>
      </c>
      <c r="Y252" s="8">
        <v>50</v>
      </c>
      <c r="Z252" s="8" t="s">
        <v>172</v>
      </c>
      <c r="AA252" s="8" t="s">
        <v>0</v>
      </c>
      <c r="AB252" s="8" t="s">
        <v>8</v>
      </c>
      <c r="AC252" s="8">
        <v>33010</v>
      </c>
      <c r="AD252" s="8">
        <v>619069726</v>
      </c>
      <c r="AE252" s="103" t="s">
        <v>171</v>
      </c>
      <c r="AF252" s="8" t="s">
        <v>118</v>
      </c>
      <c r="AG252" s="8" t="s">
        <v>32</v>
      </c>
      <c r="AH252" s="8" t="s">
        <v>170</v>
      </c>
      <c r="AI252" s="8">
        <v>39</v>
      </c>
      <c r="AJ252" s="8" t="s">
        <v>169</v>
      </c>
      <c r="AK252" s="98"/>
      <c r="AL252" s="11"/>
      <c r="AM252" s="104">
        <v>10</v>
      </c>
    </row>
    <row r="253" spans="1:39" ht="15" customHeight="1" x14ac:dyDescent="0.25">
      <c r="A253" s="85">
        <v>253</v>
      </c>
      <c r="B253" s="93"/>
      <c r="C253" s="94">
        <v>89</v>
      </c>
      <c r="D253" s="95"/>
      <c r="E253" s="9"/>
      <c r="F253" s="9"/>
      <c r="G253" s="9"/>
      <c r="H253" s="9"/>
      <c r="I253" s="9"/>
      <c r="J253" s="9"/>
      <c r="K253" s="9"/>
      <c r="L253" s="9"/>
      <c r="M253" s="106"/>
      <c r="N253" s="9"/>
      <c r="O253" s="107"/>
      <c r="P253" s="107"/>
      <c r="Q253" s="107"/>
      <c r="R253" s="9"/>
      <c r="S253" s="9"/>
      <c r="T253" s="9"/>
      <c r="U253" s="6"/>
      <c r="V253" s="9"/>
      <c r="W253" s="9"/>
      <c r="X253" s="107"/>
      <c r="Y253" s="9"/>
      <c r="Z253" s="9"/>
      <c r="AA253" s="9"/>
      <c r="AB253" s="9"/>
      <c r="AC253" s="9"/>
      <c r="AD253" s="9"/>
      <c r="AE253" s="108"/>
      <c r="AF253" s="9"/>
      <c r="AG253" s="9"/>
      <c r="AH253" s="9"/>
      <c r="AI253" s="9"/>
      <c r="AJ253" s="9"/>
      <c r="AK253" s="98"/>
      <c r="AL253" s="99">
        <v>30</v>
      </c>
      <c r="AM253" s="99"/>
    </row>
    <row r="254" spans="1:39" ht="15" customHeight="1" x14ac:dyDescent="0.25">
      <c r="A254" s="85">
        <v>254</v>
      </c>
      <c r="B254" s="93"/>
      <c r="C254" s="11"/>
      <c r="D254" s="8" t="s">
        <v>882</v>
      </c>
      <c r="E254" s="8" t="s">
        <v>839</v>
      </c>
      <c r="F254" s="8"/>
      <c r="G254" s="8" t="s">
        <v>921</v>
      </c>
      <c r="H254" s="8"/>
      <c r="I254" s="101"/>
      <c r="J254" s="8" t="s">
        <v>684</v>
      </c>
      <c r="K254" s="8" t="s">
        <v>1352</v>
      </c>
      <c r="L254" s="8" t="s">
        <v>1354</v>
      </c>
      <c r="M254" s="8" t="str">
        <f>CONCATENATE(K254," ",L254)</f>
        <v>ASCAZ HOSPITALARIA</v>
      </c>
      <c r="N254" s="105" t="s">
        <v>3</v>
      </c>
      <c r="O254" s="102" t="s">
        <v>1242</v>
      </c>
      <c r="P254" s="102" t="s">
        <v>168</v>
      </c>
      <c r="Q254" s="102" t="s">
        <v>334</v>
      </c>
      <c r="R254" s="8" t="s">
        <v>2</v>
      </c>
      <c r="S254" s="8" t="s">
        <v>167</v>
      </c>
      <c r="T254" s="8" t="s">
        <v>753</v>
      </c>
      <c r="U254" s="4">
        <v>31084</v>
      </c>
      <c r="V254" s="10">
        <f ca="1">YEAR($V$1)-YEAR(U254)</f>
        <v>33</v>
      </c>
      <c r="W254" s="8" t="s">
        <v>1</v>
      </c>
      <c r="X254" s="102" t="s">
        <v>166</v>
      </c>
      <c r="Y254" s="8">
        <v>23</v>
      </c>
      <c r="Z254" s="8" t="s">
        <v>165</v>
      </c>
      <c r="AA254" s="8" t="s">
        <v>0</v>
      </c>
      <c r="AB254" s="8" t="s">
        <v>8</v>
      </c>
      <c r="AC254" s="8">
        <v>33012</v>
      </c>
      <c r="AD254" s="8">
        <v>699019008</v>
      </c>
      <c r="AE254" s="103" t="s">
        <v>164</v>
      </c>
      <c r="AF254" s="8" t="s">
        <v>163</v>
      </c>
      <c r="AG254" s="8">
        <v>1465</v>
      </c>
      <c r="AH254" s="8" t="s">
        <v>162</v>
      </c>
      <c r="AI254" s="8">
        <v>17</v>
      </c>
      <c r="AJ254" s="8">
        <v>1714953913</v>
      </c>
      <c r="AK254" s="98"/>
      <c r="AL254" s="11"/>
      <c r="AM254" s="104">
        <v>10</v>
      </c>
    </row>
    <row r="255" spans="1:39" ht="15" customHeight="1" x14ac:dyDescent="0.25">
      <c r="A255" s="85">
        <v>255</v>
      </c>
      <c r="B255" s="93"/>
      <c r="C255" s="94">
        <v>90</v>
      </c>
      <c r="D255" s="95"/>
      <c r="E255" s="9"/>
      <c r="F255" s="9"/>
      <c r="G255" s="9"/>
      <c r="H255" s="9"/>
      <c r="I255" s="9"/>
      <c r="J255" s="9"/>
      <c r="K255" s="9"/>
      <c r="L255" s="9"/>
      <c r="M255" s="106"/>
      <c r="N255" s="9"/>
      <c r="O255" s="107"/>
      <c r="P255" s="107"/>
      <c r="Q255" s="107"/>
      <c r="R255" s="9"/>
      <c r="S255" s="9"/>
      <c r="T255" s="9"/>
      <c r="U255" s="6"/>
      <c r="V255" s="9"/>
      <c r="W255" s="9"/>
      <c r="X255" s="107"/>
      <c r="Y255" s="9"/>
      <c r="Z255" s="9"/>
      <c r="AA255" s="9"/>
      <c r="AB255" s="9"/>
      <c r="AC255" s="9"/>
      <c r="AD255" s="9"/>
      <c r="AE255" s="108"/>
      <c r="AF255" s="9"/>
      <c r="AG255" s="9"/>
      <c r="AH255" s="9"/>
      <c r="AI255" s="9"/>
      <c r="AJ255" s="9"/>
      <c r="AK255" s="98"/>
      <c r="AL255" s="99">
        <v>30</v>
      </c>
      <c r="AM255" s="99"/>
    </row>
    <row r="256" spans="1:39" ht="15" customHeight="1" x14ac:dyDescent="0.25">
      <c r="A256" s="85">
        <v>256</v>
      </c>
      <c r="B256" s="93"/>
      <c r="C256" s="11"/>
      <c r="D256" s="8" t="s">
        <v>883</v>
      </c>
      <c r="E256" s="8" t="s">
        <v>839</v>
      </c>
      <c r="F256" s="8"/>
      <c r="G256" s="8" t="s">
        <v>921</v>
      </c>
      <c r="H256" s="8"/>
      <c r="I256" s="101"/>
      <c r="J256" s="8" t="s">
        <v>684</v>
      </c>
      <c r="K256" s="8" t="s">
        <v>1352</v>
      </c>
      <c r="L256" s="8" t="s">
        <v>1354</v>
      </c>
      <c r="M256" s="8" t="str">
        <f>CONCATENATE(K256," ",L256)</f>
        <v>ASCAZ HOSPITALARIA</v>
      </c>
      <c r="N256" s="105" t="s">
        <v>3</v>
      </c>
      <c r="O256" s="102" t="s">
        <v>161</v>
      </c>
      <c r="P256" s="102" t="s">
        <v>644</v>
      </c>
      <c r="Q256" s="102" t="s">
        <v>462</v>
      </c>
      <c r="R256" s="8" t="s">
        <v>2</v>
      </c>
      <c r="S256" s="8" t="s">
        <v>160</v>
      </c>
      <c r="T256" s="8" t="s">
        <v>753</v>
      </c>
      <c r="U256" s="4">
        <v>27828</v>
      </c>
      <c r="V256" s="10">
        <f ca="1">YEAR($V$1)-YEAR(U256)</f>
        <v>42</v>
      </c>
      <c r="W256" s="8" t="s">
        <v>1</v>
      </c>
      <c r="X256" s="102" t="s">
        <v>159</v>
      </c>
      <c r="Y256" s="8">
        <v>75</v>
      </c>
      <c r="Z256" s="8" t="s">
        <v>158</v>
      </c>
      <c r="AA256" s="8" t="s">
        <v>0</v>
      </c>
      <c r="AB256" s="8" t="s">
        <v>35</v>
      </c>
      <c r="AC256" s="8">
        <v>33211</v>
      </c>
      <c r="AD256" s="8">
        <v>660813545</v>
      </c>
      <c r="AE256" s="103" t="s">
        <v>1275</v>
      </c>
      <c r="AF256" s="8" t="s">
        <v>156</v>
      </c>
      <c r="AG256" s="8">
        <v>2048</v>
      </c>
      <c r="AH256" s="8" t="s">
        <v>155</v>
      </c>
      <c r="AI256" s="8">
        <v>73</v>
      </c>
      <c r="AJ256" s="8">
        <v>3400015039</v>
      </c>
      <c r="AK256" s="98"/>
      <c r="AL256" s="11"/>
      <c r="AM256" s="104">
        <v>10</v>
      </c>
    </row>
    <row r="257" spans="1:39" ht="15" customHeight="1" x14ac:dyDescent="0.25">
      <c r="A257" s="85">
        <v>257</v>
      </c>
      <c r="B257" s="93"/>
      <c r="C257" s="94">
        <v>91</v>
      </c>
      <c r="D257" s="95"/>
      <c r="E257" s="9"/>
      <c r="F257" s="9"/>
      <c r="G257" s="9"/>
      <c r="H257" s="9"/>
      <c r="I257" s="9"/>
      <c r="J257" s="9"/>
      <c r="K257" s="9"/>
      <c r="L257" s="9"/>
      <c r="M257" s="106"/>
      <c r="N257" s="9"/>
      <c r="O257" s="107"/>
      <c r="P257" s="107"/>
      <c r="Q257" s="107"/>
      <c r="R257" s="9"/>
      <c r="S257" s="9"/>
      <c r="T257" s="9"/>
      <c r="U257" s="6"/>
      <c r="V257" s="9"/>
      <c r="W257" s="9"/>
      <c r="X257" s="107"/>
      <c r="Y257" s="9"/>
      <c r="Z257" s="9"/>
      <c r="AA257" s="9"/>
      <c r="AB257" s="9"/>
      <c r="AC257" s="9"/>
      <c r="AD257" s="9"/>
      <c r="AE257" s="108"/>
      <c r="AF257" s="9"/>
      <c r="AG257" s="9"/>
      <c r="AH257" s="9"/>
      <c r="AI257" s="9"/>
      <c r="AJ257" s="9"/>
      <c r="AK257" s="98"/>
      <c r="AL257" s="99">
        <v>30</v>
      </c>
      <c r="AM257" s="99"/>
    </row>
    <row r="258" spans="1:39" ht="15" customHeight="1" x14ac:dyDescent="0.25">
      <c r="A258" s="85">
        <v>258</v>
      </c>
      <c r="B258" s="93"/>
      <c r="C258" s="11"/>
      <c r="D258" s="8" t="s">
        <v>884</v>
      </c>
      <c r="E258" s="8" t="s">
        <v>839</v>
      </c>
      <c r="F258" s="8"/>
      <c r="G258" s="8" t="s">
        <v>921</v>
      </c>
      <c r="H258" s="8"/>
      <c r="I258" s="174"/>
      <c r="J258" s="8" t="s">
        <v>684</v>
      </c>
      <c r="K258" s="8" t="s">
        <v>1352</v>
      </c>
      <c r="L258" s="8" t="s">
        <v>1354</v>
      </c>
      <c r="M258" s="8" t="str">
        <f>CONCATENATE(K258," ",L258)</f>
        <v>ASCAZ HOSPITALARIA</v>
      </c>
      <c r="N258" s="105" t="s">
        <v>3</v>
      </c>
      <c r="O258" s="102" t="s">
        <v>154</v>
      </c>
      <c r="P258" s="102" t="s">
        <v>153</v>
      </c>
      <c r="Q258" s="102" t="s">
        <v>1270</v>
      </c>
      <c r="R258" s="8" t="s">
        <v>2</v>
      </c>
      <c r="S258" s="8" t="s">
        <v>152</v>
      </c>
      <c r="T258" s="8" t="s">
        <v>772</v>
      </c>
      <c r="U258" s="4">
        <v>25919</v>
      </c>
      <c r="V258" s="10">
        <f ca="1">YEAR($V$1)-YEAR(U258)</f>
        <v>48</v>
      </c>
      <c r="W258" s="8" t="s">
        <v>151</v>
      </c>
      <c r="X258" s="102" t="s">
        <v>150</v>
      </c>
      <c r="Y258" s="8">
        <v>2</v>
      </c>
      <c r="Z258" s="8" t="s">
        <v>149</v>
      </c>
      <c r="AA258" s="8" t="s">
        <v>0</v>
      </c>
      <c r="AB258" s="8" t="s">
        <v>8</v>
      </c>
      <c r="AC258" s="8">
        <v>33001</v>
      </c>
      <c r="AD258" s="8">
        <v>660113642</v>
      </c>
      <c r="AE258" s="103" t="s">
        <v>1183</v>
      </c>
      <c r="AF258" s="8" t="s">
        <v>147</v>
      </c>
      <c r="AG258" s="8">
        <v>2048</v>
      </c>
      <c r="AH258" s="8" t="s">
        <v>146</v>
      </c>
      <c r="AI258" s="8">
        <v>55</v>
      </c>
      <c r="AJ258" s="8">
        <v>3000002704</v>
      </c>
      <c r="AK258" s="98"/>
      <c r="AL258" s="11"/>
      <c r="AM258" s="104">
        <v>10</v>
      </c>
    </row>
    <row r="259" spans="1:39" ht="15" customHeight="1" x14ac:dyDescent="0.25">
      <c r="A259" s="85">
        <v>259</v>
      </c>
      <c r="B259" s="93"/>
      <c r="C259" s="94">
        <v>92</v>
      </c>
      <c r="D259" s="95"/>
      <c r="E259" s="9"/>
      <c r="F259" s="9"/>
      <c r="G259" s="9"/>
      <c r="H259" s="9"/>
      <c r="I259" s="9"/>
      <c r="J259" s="9"/>
      <c r="K259" s="9"/>
      <c r="L259" s="9"/>
      <c r="M259" s="106"/>
      <c r="N259" s="9"/>
      <c r="O259" s="107"/>
      <c r="P259" s="107"/>
      <c r="Q259" s="107"/>
      <c r="R259" s="9"/>
      <c r="S259" s="9"/>
      <c r="T259" s="9"/>
      <c r="U259" s="6"/>
      <c r="V259" s="9"/>
      <c r="W259" s="9"/>
      <c r="X259" s="107"/>
      <c r="Y259" s="9"/>
      <c r="Z259" s="9"/>
      <c r="AA259" s="9"/>
      <c r="AB259" s="9"/>
      <c r="AC259" s="9"/>
      <c r="AD259" s="9"/>
      <c r="AE259" s="108"/>
      <c r="AF259" s="9"/>
      <c r="AG259" s="9"/>
      <c r="AH259" s="9"/>
      <c r="AI259" s="9"/>
      <c r="AJ259" s="9"/>
      <c r="AK259" s="98"/>
      <c r="AL259" s="99">
        <v>30</v>
      </c>
      <c r="AM259" s="99"/>
    </row>
    <row r="260" spans="1:39" ht="15" customHeight="1" x14ac:dyDescent="0.25">
      <c r="A260" s="85">
        <v>260</v>
      </c>
      <c r="B260" s="93"/>
      <c r="C260" s="11"/>
      <c r="D260" s="8" t="s">
        <v>885</v>
      </c>
      <c r="E260" s="8" t="s">
        <v>839</v>
      </c>
      <c r="F260" s="8"/>
      <c r="G260" s="8" t="s">
        <v>921</v>
      </c>
      <c r="H260" s="8"/>
      <c r="I260" s="101"/>
      <c r="J260" s="8" t="s">
        <v>684</v>
      </c>
      <c r="K260" s="8" t="s">
        <v>1352</v>
      </c>
      <c r="L260" s="8" t="s">
        <v>1354</v>
      </c>
      <c r="M260" s="8" t="str">
        <f>CONCATENATE(K260," ",L260)</f>
        <v>ASCAZ HOSPITALARIA</v>
      </c>
      <c r="N260" s="105" t="s">
        <v>3</v>
      </c>
      <c r="O260" s="102" t="s">
        <v>1184</v>
      </c>
      <c r="P260" s="102" t="s">
        <v>340</v>
      </c>
      <c r="Q260" s="102" t="s">
        <v>73</v>
      </c>
      <c r="R260" s="8" t="s">
        <v>2</v>
      </c>
      <c r="S260" s="8" t="s">
        <v>145</v>
      </c>
      <c r="T260" s="8" t="s">
        <v>753</v>
      </c>
      <c r="U260" s="4">
        <v>22935</v>
      </c>
      <c r="V260" s="10">
        <f ca="1">YEAR($V$1)-YEAR(U260)</f>
        <v>56</v>
      </c>
      <c r="W260" s="8" t="s">
        <v>151</v>
      </c>
      <c r="X260" s="102" t="s">
        <v>1185</v>
      </c>
      <c r="Y260" s="8">
        <v>2</v>
      </c>
      <c r="Z260" s="8" t="s">
        <v>144</v>
      </c>
      <c r="AA260" s="8" t="s">
        <v>0</v>
      </c>
      <c r="AB260" s="8" t="s">
        <v>8</v>
      </c>
      <c r="AC260" s="8">
        <v>33013</v>
      </c>
      <c r="AD260" s="8">
        <v>686471099</v>
      </c>
      <c r="AE260" s="103" t="s">
        <v>1186</v>
      </c>
      <c r="AF260" s="8" t="s">
        <v>317</v>
      </c>
      <c r="AG260" s="8" t="s">
        <v>19</v>
      </c>
      <c r="AH260" s="8">
        <v>1311</v>
      </c>
      <c r="AI260" s="8">
        <v>55</v>
      </c>
      <c r="AJ260" s="8">
        <v>2190004149</v>
      </c>
      <c r="AK260" s="98"/>
      <c r="AL260" s="11"/>
      <c r="AM260" s="104">
        <v>10</v>
      </c>
    </row>
    <row r="261" spans="1:39" ht="15" customHeight="1" x14ac:dyDescent="0.25">
      <c r="A261" s="85">
        <v>261</v>
      </c>
      <c r="B261" s="93"/>
      <c r="C261" s="94">
        <v>93</v>
      </c>
      <c r="D261" s="95"/>
      <c r="E261" s="9"/>
      <c r="F261" s="9"/>
      <c r="G261" s="9"/>
      <c r="H261" s="9"/>
      <c r="I261" s="9"/>
      <c r="J261" s="9"/>
      <c r="K261" s="9"/>
      <c r="L261" s="9"/>
      <c r="M261" s="106"/>
      <c r="N261" s="9"/>
      <c r="O261" s="107"/>
      <c r="P261" s="107"/>
      <c r="Q261" s="107"/>
      <c r="R261" s="9"/>
      <c r="S261" s="9"/>
      <c r="T261" s="9"/>
      <c r="U261" s="6"/>
      <c r="V261" s="9"/>
      <c r="W261" s="9"/>
      <c r="X261" s="107"/>
      <c r="Y261" s="9"/>
      <c r="Z261" s="9"/>
      <c r="AA261" s="9"/>
      <c r="AB261" s="9"/>
      <c r="AC261" s="9"/>
      <c r="AD261" s="9"/>
      <c r="AE261" s="108"/>
      <c r="AF261" s="9"/>
      <c r="AG261" s="9"/>
      <c r="AH261" s="9"/>
      <c r="AI261" s="9"/>
      <c r="AJ261" s="9"/>
      <c r="AK261" s="98"/>
      <c r="AL261" s="99">
        <v>30</v>
      </c>
      <c r="AM261" s="99"/>
    </row>
    <row r="262" spans="1:39" ht="15" customHeight="1" x14ac:dyDescent="0.25">
      <c r="A262" s="85">
        <v>262</v>
      </c>
      <c r="B262" s="93"/>
      <c r="C262" s="11"/>
      <c r="D262" s="8" t="s">
        <v>886</v>
      </c>
      <c r="E262" s="8" t="s">
        <v>839</v>
      </c>
      <c r="F262" s="8" t="s">
        <v>683</v>
      </c>
      <c r="G262" s="8" t="s">
        <v>921</v>
      </c>
      <c r="H262" s="8"/>
      <c r="I262" s="174"/>
      <c r="J262" s="8" t="s">
        <v>684</v>
      </c>
      <c r="K262" s="8" t="s">
        <v>1352</v>
      </c>
      <c r="L262" s="8" t="s">
        <v>1354</v>
      </c>
      <c r="M262" s="8" t="str">
        <f>CONCATENATE(K262," ",L262)</f>
        <v>ASCAZ HOSPITALARIA</v>
      </c>
      <c r="N262" s="105" t="s">
        <v>3</v>
      </c>
      <c r="O262" s="102" t="s">
        <v>1187</v>
      </c>
      <c r="P262" s="102" t="s">
        <v>1188</v>
      </c>
      <c r="Q262" s="102" t="s">
        <v>1189</v>
      </c>
      <c r="R262" s="8" t="s">
        <v>2</v>
      </c>
      <c r="S262" s="8" t="s">
        <v>142</v>
      </c>
      <c r="T262" s="8" t="s">
        <v>772</v>
      </c>
      <c r="U262" s="4">
        <v>30879</v>
      </c>
      <c r="V262" s="10">
        <f ca="1">YEAR($V$1)-YEAR(U262)</f>
        <v>34</v>
      </c>
      <c r="W262" s="8" t="s">
        <v>1</v>
      </c>
      <c r="X262" s="102" t="s">
        <v>141</v>
      </c>
      <c r="Y262" s="8">
        <v>12</v>
      </c>
      <c r="Z262" s="8" t="s">
        <v>140</v>
      </c>
      <c r="AA262" s="8" t="s">
        <v>139</v>
      </c>
      <c r="AB262" s="8" t="s">
        <v>139</v>
      </c>
      <c r="AC262" s="8">
        <v>28041</v>
      </c>
      <c r="AD262" s="8">
        <v>690305889</v>
      </c>
      <c r="AE262" s="103" t="s">
        <v>1190</v>
      </c>
      <c r="AF262" s="8" t="s">
        <v>137</v>
      </c>
      <c r="AG262" s="8">
        <v>1465</v>
      </c>
      <c r="AH262" s="8" t="s">
        <v>88</v>
      </c>
      <c r="AI262" s="8">
        <v>98</v>
      </c>
      <c r="AJ262" s="8">
        <v>1725734162</v>
      </c>
      <c r="AK262" s="98"/>
      <c r="AL262" s="11"/>
      <c r="AM262" s="104">
        <v>10</v>
      </c>
    </row>
    <row r="263" spans="1:39" ht="15" customHeight="1" x14ac:dyDescent="0.25">
      <c r="A263" s="85">
        <v>263</v>
      </c>
      <c r="B263" s="93"/>
      <c r="C263" s="94">
        <v>94</v>
      </c>
      <c r="D263" s="95"/>
      <c r="E263" s="9"/>
      <c r="F263" s="9"/>
      <c r="G263" s="9"/>
      <c r="H263" s="9"/>
      <c r="I263" s="9"/>
      <c r="J263" s="9"/>
      <c r="K263" s="9"/>
      <c r="L263" s="9"/>
      <c r="M263" s="106"/>
      <c r="N263" s="9"/>
      <c r="O263" s="107"/>
      <c r="P263" s="107"/>
      <c r="Q263" s="107"/>
      <c r="R263" s="9"/>
      <c r="S263" s="9"/>
      <c r="T263" s="9"/>
      <c r="U263" s="6"/>
      <c r="V263" s="9"/>
      <c r="W263" s="9"/>
      <c r="X263" s="107"/>
      <c r="Y263" s="9"/>
      <c r="Z263" s="9"/>
      <c r="AA263" s="9"/>
      <c r="AB263" s="9"/>
      <c r="AC263" s="9"/>
      <c r="AD263" s="9"/>
      <c r="AE263" s="108"/>
      <c r="AF263" s="9"/>
      <c r="AG263" s="9"/>
      <c r="AH263" s="9"/>
      <c r="AI263" s="9"/>
      <c r="AJ263" s="9"/>
      <c r="AK263" s="98"/>
      <c r="AL263" s="99">
        <v>30</v>
      </c>
      <c r="AM263" s="99"/>
    </row>
    <row r="264" spans="1:39" ht="15" customHeight="1" x14ac:dyDescent="0.25">
      <c r="A264" s="85">
        <v>264</v>
      </c>
      <c r="B264" s="93"/>
      <c r="C264" s="11"/>
      <c r="D264" s="8" t="s">
        <v>887</v>
      </c>
      <c r="E264" s="8" t="s">
        <v>839</v>
      </c>
      <c r="F264" s="8"/>
      <c r="G264" s="8" t="s">
        <v>921</v>
      </c>
      <c r="H264" s="8"/>
      <c r="I264" s="101"/>
      <c r="J264" s="8" t="s">
        <v>684</v>
      </c>
      <c r="K264" s="8" t="s">
        <v>1352</v>
      </c>
      <c r="L264" s="8" t="s">
        <v>1354</v>
      </c>
      <c r="M264" s="8" t="str">
        <f t="shared" ref="M264:M265" si="94">CONCATENATE(K264," ",L264)</f>
        <v>ASCAZ HOSPITALARIA</v>
      </c>
      <c r="N264" s="105" t="s">
        <v>3</v>
      </c>
      <c r="O264" s="102" t="s">
        <v>136</v>
      </c>
      <c r="P264" s="102" t="s">
        <v>135</v>
      </c>
      <c r="Q264" s="102" t="s">
        <v>1264</v>
      </c>
      <c r="R264" s="8" t="s">
        <v>2</v>
      </c>
      <c r="S264" s="8" t="s">
        <v>1287</v>
      </c>
      <c r="T264" s="8" t="s">
        <v>772</v>
      </c>
      <c r="U264" s="4">
        <v>26061</v>
      </c>
      <c r="V264" s="10">
        <f t="shared" ref="V264:V265" ca="1" si="95">YEAR($V$1)-YEAR(U264)</f>
        <v>47</v>
      </c>
      <c r="W264" s="8" t="s">
        <v>134</v>
      </c>
      <c r="X264" s="102" t="s">
        <v>133</v>
      </c>
      <c r="Y264" s="8">
        <v>34</v>
      </c>
      <c r="Z264" s="8"/>
      <c r="AA264" s="8" t="s">
        <v>0</v>
      </c>
      <c r="AB264" s="8" t="s">
        <v>132</v>
      </c>
      <c r="AC264" s="8">
        <v>33867</v>
      </c>
      <c r="AD264" s="8">
        <v>659932258</v>
      </c>
      <c r="AE264" s="103"/>
      <c r="AF264" s="8" t="s">
        <v>131</v>
      </c>
      <c r="AG264" s="8">
        <v>3059</v>
      </c>
      <c r="AH264" s="8" t="s">
        <v>130</v>
      </c>
      <c r="AI264" s="8">
        <v>28</v>
      </c>
      <c r="AJ264" s="8">
        <v>2753161021</v>
      </c>
      <c r="AK264" s="98"/>
      <c r="AL264" s="11"/>
      <c r="AM264" s="104">
        <v>10</v>
      </c>
    </row>
    <row r="265" spans="1:39" ht="15" customHeight="1" x14ac:dyDescent="0.25">
      <c r="A265" s="85">
        <v>265</v>
      </c>
      <c r="B265" s="93"/>
      <c r="C265" s="11"/>
      <c r="D265" s="8" t="s">
        <v>888</v>
      </c>
      <c r="E265" s="8" t="s">
        <v>839</v>
      </c>
      <c r="F265" s="8"/>
      <c r="G265" s="8" t="s">
        <v>921</v>
      </c>
      <c r="H265" s="8"/>
      <c r="I265" s="101"/>
      <c r="J265" s="8" t="s">
        <v>684</v>
      </c>
      <c r="K265" s="8" t="s">
        <v>1352</v>
      </c>
      <c r="L265" s="8" t="s">
        <v>1354</v>
      </c>
      <c r="M265" s="8" t="str">
        <f t="shared" si="94"/>
        <v>ASCAZ HOSPITALARIA</v>
      </c>
      <c r="N265" s="8" t="s">
        <v>48</v>
      </c>
      <c r="O265" s="102" t="s">
        <v>129</v>
      </c>
      <c r="P265" s="102" t="s">
        <v>334</v>
      </c>
      <c r="Q265" s="102" t="s">
        <v>153</v>
      </c>
      <c r="R265" s="8" t="s">
        <v>2</v>
      </c>
      <c r="S265" s="8" t="s">
        <v>1288</v>
      </c>
      <c r="T265" s="8" t="s">
        <v>753</v>
      </c>
      <c r="U265" s="4">
        <v>30107</v>
      </c>
      <c r="V265" s="10">
        <f t="shared" ca="1" si="95"/>
        <v>36</v>
      </c>
      <c r="W265" s="8"/>
      <c r="X265" s="102"/>
      <c r="Y265" s="8"/>
      <c r="Z265" s="8"/>
      <c r="AA265" s="8"/>
      <c r="AB265" s="8"/>
      <c r="AC265" s="8"/>
      <c r="AD265" s="8"/>
      <c r="AE265" s="103"/>
      <c r="AF265" s="8"/>
      <c r="AG265" s="8"/>
      <c r="AH265" s="8"/>
      <c r="AI265" s="8"/>
      <c r="AJ265" s="8"/>
      <c r="AK265" s="98"/>
      <c r="AL265" s="11"/>
      <c r="AM265" s="104">
        <v>10</v>
      </c>
    </row>
    <row r="266" spans="1:39" ht="15" customHeight="1" x14ac:dyDescent="0.25">
      <c r="A266" s="85">
        <v>266</v>
      </c>
      <c r="B266" s="93"/>
      <c r="C266" s="94">
        <v>95</v>
      </c>
      <c r="D266" s="95"/>
      <c r="E266" s="9"/>
      <c r="F266" s="9"/>
      <c r="G266" s="9"/>
      <c r="H266" s="9"/>
      <c r="I266" s="9"/>
      <c r="J266" s="9"/>
      <c r="K266" s="9"/>
      <c r="L266" s="9"/>
      <c r="M266" s="106"/>
      <c r="N266" s="9"/>
      <c r="O266" s="107"/>
      <c r="P266" s="107"/>
      <c r="Q266" s="107"/>
      <c r="R266" s="9"/>
      <c r="S266" s="9"/>
      <c r="T266" s="9"/>
      <c r="U266" s="6"/>
      <c r="V266" s="9"/>
      <c r="W266" s="9"/>
      <c r="X266" s="107"/>
      <c r="Y266" s="9"/>
      <c r="Z266" s="9"/>
      <c r="AA266" s="9"/>
      <c r="AB266" s="9"/>
      <c r="AC266" s="9"/>
      <c r="AD266" s="9"/>
      <c r="AE266" s="108"/>
      <c r="AF266" s="9"/>
      <c r="AG266" s="9"/>
      <c r="AH266" s="9"/>
      <c r="AI266" s="9"/>
      <c r="AJ266" s="9"/>
      <c r="AK266" s="98"/>
      <c r="AL266" s="99">
        <v>30</v>
      </c>
      <c r="AM266" s="99"/>
    </row>
    <row r="267" spans="1:39" ht="15" customHeight="1" x14ac:dyDescent="0.25">
      <c r="A267" s="85">
        <v>267</v>
      </c>
      <c r="B267" s="93"/>
      <c r="C267" s="11"/>
      <c r="D267" s="8" t="s">
        <v>889</v>
      </c>
      <c r="E267" s="8" t="s">
        <v>839</v>
      </c>
      <c r="F267" s="8"/>
      <c r="G267" s="8" t="s">
        <v>921</v>
      </c>
      <c r="H267" s="8"/>
      <c r="I267" s="174"/>
      <c r="J267" s="8" t="s">
        <v>684</v>
      </c>
      <c r="K267" s="8" t="s">
        <v>1352</v>
      </c>
      <c r="L267" s="8" t="s">
        <v>1354</v>
      </c>
      <c r="M267" s="8" t="str">
        <f t="shared" ref="M267:M268" si="96">CONCATENATE(K267," ",L267)</f>
        <v>ASCAZ HOSPITALARIA</v>
      </c>
      <c r="N267" s="105" t="s">
        <v>3</v>
      </c>
      <c r="O267" s="102" t="s">
        <v>1191</v>
      </c>
      <c r="P267" s="102" t="s">
        <v>1192</v>
      </c>
      <c r="Q267" s="102" t="s">
        <v>1193</v>
      </c>
      <c r="R267" s="8" t="s">
        <v>2</v>
      </c>
      <c r="S267" s="8" t="s">
        <v>1194</v>
      </c>
      <c r="T267" s="8" t="s">
        <v>753</v>
      </c>
      <c r="U267" s="4">
        <v>28344</v>
      </c>
      <c r="V267" s="10">
        <f t="shared" ref="V267:V268" ca="1" si="97">YEAR($V$1)-YEAR(U267)</f>
        <v>41</v>
      </c>
      <c r="W267" s="8" t="s">
        <v>1337</v>
      </c>
      <c r="X267" s="102" t="s">
        <v>1338</v>
      </c>
      <c r="Y267" s="8" t="s">
        <v>1339</v>
      </c>
      <c r="Z267" s="8" t="s">
        <v>687</v>
      </c>
      <c r="AA267" s="8" t="s">
        <v>139</v>
      </c>
      <c r="AB267" s="8" t="s">
        <v>1340</v>
      </c>
      <c r="AC267" s="8" t="s">
        <v>1341</v>
      </c>
      <c r="AD267" s="8">
        <v>607507810</v>
      </c>
      <c r="AE267" s="103" t="s">
        <v>1195</v>
      </c>
      <c r="AF267" s="8" t="s">
        <v>1196</v>
      </c>
      <c r="AG267" s="8">
        <v>1465</v>
      </c>
      <c r="AH267" s="8" t="s">
        <v>127</v>
      </c>
      <c r="AI267" s="8">
        <v>31</v>
      </c>
      <c r="AJ267" s="8">
        <v>1712468570</v>
      </c>
      <c r="AK267" s="98"/>
      <c r="AL267" s="11"/>
      <c r="AM267" s="104">
        <v>10</v>
      </c>
    </row>
    <row r="268" spans="1:39" ht="15" customHeight="1" x14ac:dyDescent="0.25">
      <c r="A268" s="85">
        <v>268</v>
      </c>
      <c r="B268" s="93"/>
      <c r="C268" s="11"/>
      <c r="D268" s="8" t="s">
        <v>890</v>
      </c>
      <c r="E268" s="8" t="s">
        <v>839</v>
      </c>
      <c r="F268" s="8"/>
      <c r="G268" s="8" t="s">
        <v>921</v>
      </c>
      <c r="H268" s="8"/>
      <c r="I268" s="174"/>
      <c r="J268" s="8" t="s">
        <v>684</v>
      </c>
      <c r="K268" s="8" t="s">
        <v>1352</v>
      </c>
      <c r="L268" s="8" t="s">
        <v>1354</v>
      </c>
      <c r="M268" s="8" t="str">
        <f t="shared" si="96"/>
        <v>ASCAZ HOSPITALARIA</v>
      </c>
      <c r="N268" s="105" t="s">
        <v>932</v>
      </c>
      <c r="O268" s="102" t="s">
        <v>1197</v>
      </c>
      <c r="P268" s="102" t="s">
        <v>1192</v>
      </c>
      <c r="Q268" s="102" t="s">
        <v>1193</v>
      </c>
      <c r="R268" s="8" t="s">
        <v>2</v>
      </c>
      <c r="S268" s="8" t="s">
        <v>126</v>
      </c>
      <c r="T268" s="8" t="s">
        <v>753</v>
      </c>
      <c r="U268" s="4">
        <v>40131</v>
      </c>
      <c r="V268" s="10">
        <f t="shared" ca="1" si="97"/>
        <v>9</v>
      </c>
      <c r="W268" s="8"/>
      <c r="X268" s="102"/>
      <c r="Y268" s="8"/>
      <c r="Z268" s="8"/>
      <c r="AA268" s="8"/>
      <c r="AB268" s="8"/>
      <c r="AC268" s="8"/>
      <c r="AD268" s="8"/>
      <c r="AE268" s="103"/>
      <c r="AF268" s="8"/>
      <c r="AG268" s="8"/>
      <c r="AH268" s="8"/>
      <c r="AI268" s="8"/>
      <c r="AJ268" s="8"/>
      <c r="AK268" s="98"/>
      <c r="AL268" s="11"/>
      <c r="AM268" s="104">
        <v>10</v>
      </c>
    </row>
    <row r="269" spans="1:39" ht="15" customHeight="1" x14ac:dyDescent="0.25">
      <c r="A269" s="85">
        <v>269</v>
      </c>
      <c r="B269" s="93"/>
      <c r="C269" s="94">
        <v>96</v>
      </c>
      <c r="D269" s="95"/>
      <c r="E269" s="9"/>
      <c r="F269" s="9"/>
      <c r="G269" s="9"/>
      <c r="H269" s="9"/>
      <c r="I269" s="9"/>
      <c r="J269" s="9"/>
      <c r="K269" s="9"/>
      <c r="L269" s="9"/>
      <c r="M269" s="106"/>
      <c r="N269" s="9"/>
      <c r="O269" s="107"/>
      <c r="P269" s="107"/>
      <c r="Q269" s="107"/>
      <c r="R269" s="9"/>
      <c r="S269" s="9"/>
      <c r="T269" s="9"/>
      <c r="U269" s="6"/>
      <c r="V269" s="9"/>
      <c r="W269" s="9"/>
      <c r="X269" s="107"/>
      <c r="Y269" s="9"/>
      <c r="Z269" s="9"/>
      <c r="AA269" s="9"/>
      <c r="AB269" s="9"/>
      <c r="AC269" s="9"/>
      <c r="AD269" s="9"/>
      <c r="AE269" s="108"/>
      <c r="AF269" s="9"/>
      <c r="AG269" s="9"/>
      <c r="AH269" s="9"/>
      <c r="AI269" s="9"/>
      <c r="AJ269" s="9"/>
      <c r="AK269" s="98"/>
      <c r="AL269" s="99">
        <v>30</v>
      </c>
      <c r="AM269" s="99"/>
    </row>
    <row r="270" spans="1:39" ht="15" customHeight="1" x14ac:dyDescent="0.25">
      <c r="A270" s="85">
        <v>270</v>
      </c>
      <c r="B270" s="93"/>
      <c r="C270" s="11"/>
      <c r="D270" s="8" t="s">
        <v>892</v>
      </c>
      <c r="E270" s="8" t="s">
        <v>839</v>
      </c>
      <c r="F270" s="8"/>
      <c r="G270" s="8" t="s">
        <v>921</v>
      </c>
      <c r="H270" s="8"/>
      <c r="I270" s="174"/>
      <c r="J270" s="8" t="s">
        <v>684</v>
      </c>
      <c r="K270" s="8" t="s">
        <v>1352</v>
      </c>
      <c r="L270" s="8" t="s">
        <v>1354</v>
      </c>
      <c r="M270" s="8" t="str">
        <f>CONCATENATE(K270," ",L270)</f>
        <v>ASCAZ HOSPITALARIA</v>
      </c>
      <c r="N270" s="105" t="s">
        <v>3</v>
      </c>
      <c r="O270" s="102" t="s">
        <v>125</v>
      </c>
      <c r="P270" s="102" t="s">
        <v>124</v>
      </c>
      <c r="Q270" s="102" t="s">
        <v>123</v>
      </c>
      <c r="R270" s="8" t="s">
        <v>79</v>
      </c>
      <c r="S270" s="8" t="s">
        <v>122</v>
      </c>
      <c r="T270" s="8" t="s">
        <v>772</v>
      </c>
      <c r="U270" s="4">
        <v>31176</v>
      </c>
      <c r="V270" s="10">
        <f ca="1">YEAR($V$1)-YEAR(U270)</f>
        <v>33</v>
      </c>
      <c r="W270" s="8" t="s">
        <v>1</v>
      </c>
      <c r="X270" s="102" t="s">
        <v>121</v>
      </c>
      <c r="Y270" s="8">
        <v>2</v>
      </c>
      <c r="Z270" s="8" t="s">
        <v>120</v>
      </c>
      <c r="AA270" s="8" t="s">
        <v>0</v>
      </c>
      <c r="AB270" s="8" t="s">
        <v>35</v>
      </c>
      <c r="AC270" s="8">
        <v>33212</v>
      </c>
      <c r="AD270" s="8">
        <v>610752984</v>
      </c>
      <c r="AE270" s="103" t="s">
        <v>1198</v>
      </c>
      <c r="AF270" s="8" t="s">
        <v>118</v>
      </c>
      <c r="AG270" s="8">
        <v>1465</v>
      </c>
      <c r="AH270" s="8" t="s">
        <v>88</v>
      </c>
      <c r="AI270" s="8">
        <v>92</v>
      </c>
      <c r="AJ270" s="8">
        <v>1800161318</v>
      </c>
      <c r="AK270" s="98"/>
      <c r="AL270" s="11"/>
      <c r="AM270" s="104">
        <v>10</v>
      </c>
    </row>
    <row r="271" spans="1:39" ht="15" customHeight="1" x14ac:dyDescent="0.25">
      <c r="A271" s="85">
        <v>271</v>
      </c>
      <c r="B271" s="93"/>
      <c r="C271" s="94">
        <v>97</v>
      </c>
      <c r="D271" s="95"/>
      <c r="E271" s="9"/>
      <c r="F271" s="9"/>
      <c r="G271" s="9"/>
      <c r="H271" s="9"/>
      <c r="I271" s="9"/>
      <c r="J271" s="9"/>
      <c r="K271" s="9"/>
      <c r="L271" s="9"/>
      <c r="M271" s="106"/>
      <c r="N271" s="9"/>
      <c r="O271" s="107"/>
      <c r="P271" s="107"/>
      <c r="Q271" s="107"/>
      <c r="R271" s="9"/>
      <c r="S271" s="9"/>
      <c r="T271" s="9"/>
      <c r="U271" s="6"/>
      <c r="V271" s="9"/>
      <c r="W271" s="9"/>
      <c r="X271" s="107"/>
      <c r="Y271" s="9"/>
      <c r="Z271" s="9"/>
      <c r="AA271" s="9"/>
      <c r="AB271" s="9"/>
      <c r="AC271" s="9"/>
      <c r="AD271" s="9"/>
      <c r="AE271" s="108"/>
      <c r="AF271" s="9"/>
      <c r="AG271" s="9"/>
      <c r="AH271" s="9"/>
      <c r="AI271" s="9"/>
      <c r="AJ271" s="9"/>
      <c r="AK271" s="98"/>
      <c r="AL271" s="99">
        <v>30</v>
      </c>
      <c r="AM271" s="99"/>
    </row>
    <row r="272" spans="1:39" ht="15" customHeight="1" x14ac:dyDescent="0.25">
      <c r="A272" s="85">
        <v>272</v>
      </c>
      <c r="B272" s="93"/>
      <c r="C272" s="11"/>
      <c r="D272" s="8" t="s">
        <v>891</v>
      </c>
      <c r="E272" s="8" t="s">
        <v>839</v>
      </c>
      <c r="F272" s="8"/>
      <c r="G272" s="8" t="s">
        <v>921</v>
      </c>
      <c r="H272" s="8"/>
      <c r="I272" s="174"/>
      <c r="J272" s="8" t="s">
        <v>684</v>
      </c>
      <c r="K272" s="8" t="s">
        <v>1352</v>
      </c>
      <c r="L272" s="8" t="s">
        <v>1354</v>
      </c>
      <c r="M272" s="8" t="str">
        <f>CONCATENATE(K272," ",L272)</f>
        <v>ASCAZ HOSPITALARIA</v>
      </c>
      <c r="N272" s="105" t="s">
        <v>3</v>
      </c>
      <c r="O272" s="102" t="s">
        <v>116</v>
      </c>
      <c r="P272" s="102" t="s">
        <v>108</v>
      </c>
      <c r="Q272" s="102" t="s">
        <v>107</v>
      </c>
      <c r="R272" s="8" t="s">
        <v>2</v>
      </c>
      <c r="S272" s="8" t="s">
        <v>115</v>
      </c>
      <c r="T272" s="8" t="s">
        <v>753</v>
      </c>
      <c r="U272" s="4">
        <v>22541</v>
      </c>
      <c r="V272" s="10">
        <f ca="1">YEAR($V$1)-YEAR(U272)</f>
        <v>57</v>
      </c>
      <c r="W272" s="8" t="s">
        <v>1</v>
      </c>
      <c r="X272" s="102" t="s">
        <v>114</v>
      </c>
      <c r="Y272" s="8">
        <v>27</v>
      </c>
      <c r="Z272" s="8" t="s">
        <v>113</v>
      </c>
      <c r="AA272" s="8" t="s">
        <v>0</v>
      </c>
      <c r="AB272" s="8" t="s">
        <v>8</v>
      </c>
      <c r="AC272" s="8">
        <v>33006</v>
      </c>
      <c r="AD272" s="8">
        <v>686198879</v>
      </c>
      <c r="AE272" s="103" t="s">
        <v>1199</v>
      </c>
      <c r="AF272" s="8" t="s">
        <v>111</v>
      </c>
      <c r="AG272" s="8">
        <v>2085</v>
      </c>
      <c r="AH272" s="8">
        <v>8147</v>
      </c>
      <c r="AI272" s="8" t="s">
        <v>4</v>
      </c>
      <c r="AJ272" s="8" t="s">
        <v>110</v>
      </c>
      <c r="AK272" s="98"/>
      <c r="AL272" s="11"/>
      <c r="AM272" s="104">
        <v>10</v>
      </c>
    </row>
    <row r="273" spans="1:39" ht="15" customHeight="1" x14ac:dyDescent="0.25">
      <c r="A273" s="85">
        <v>273</v>
      </c>
      <c r="B273" s="93"/>
      <c r="C273" s="94">
        <v>98</v>
      </c>
      <c r="D273" s="95"/>
      <c r="E273" s="9"/>
      <c r="F273" s="9"/>
      <c r="G273" s="9"/>
      <c r="H273" s="9"/>
      <c r="I273" s="9"/>
      <c r="J273" s="9"/>
      <c r="K273" s="9"/>
      <c r="L273" s="9"/>
      <c r="M273" s="106"/>
      <c r="N273" s="9"/>
      <c r="O273" s="107"/>
      <c r="P273" s="107"/>
      <c r="Q273" s="107"/>
      <c r="R273" s="9"/>
      <c r="S273" s="9"/>
      <c r="T273" s="9"/>
      <c r="U273" s="6"/>
      <c r="V273" s="9"/>
      <c r="W273" s="9"/>
      <c r="X273" s="107"/>
      <c r="Y273" s="9"/>
      <c r="Z273" s="9"/>
      <c r="AA273" s="9"/>
      <c r="AB273" s="9"/>
      <c r="AC273" s="9"/>
      <c r="AD273" s="9"/>
      <c r="AE273" s="108"/>
      <c r="AF273" s="9"/>
      <c r="AG273" s="9"/>
      <c r="AH273" s="9"/>
      <c r="AI273" s="9"/>
      <c r="AJ273" s="9"/>
      <c r="AK273" s="98"/>
      <c r="AL273" s="99">
        <v>30</v>
      </c>
      <c r="AM273" s="99"/>
    </row>
    <row r="274" spans="1:39" ht="15" customHeight="1" x14ac:dyDescent="0.25">
      <c r="A274" s="85">
        <v>274</v>
      </c>
      <c r="B274" s="93"/>
      <c r="C274" s="11"/>
      <c r="D274" s="8" t="s">
        <v>834</v>
      </c>
      <c r="E274" s="8" t="s">
        <v>839</v>
      </c>
      <c r="F274" s="8"/>
      <c r="G274" s="8" t="s">
        <v>921</v>
      </c>
      <c r="H274" s="8"/>
      <c r="I274" s="174"/>
      <c r="J274" s="8" t="s">
        <v>684</v>
      </c>
      <c r="K274" s="8" t="s">
        <v>1352</v>
      </c>
      <c r="L274" s="8" t="s">
        <v>1354</v>
      </c>
      <c r="M274" s="8" t="str">
        <f>CONCATENATE(K274," ",L274)</f>
        <v>ASCAZ HOSPITALARIA</v>
      </c>
      <c r="N274" s="105" t="s">
        <v>3</v>
      </c>
      <c r="O274" s="102" t="s">
        <v>109</v>
      </c>
      <c r="P274" s="102" t="s">
        <v>108</v>
      </c>
      <c r="Q274" s="102" t="s">
        <v>107</v>
      </c>
      <c r="R274" s="8" t="s">
        <v>2</v>
      </c>
      <c r="S274" s="8" t="s">
        <v>106</v>
      </c>
      <c r="T274" s="8" t="s">
        <v>753</v>
      </c>
      <c r="U274" s="4">
        <v>23154</v>
      </c>
      <c r="V274" s="10">
        <f ca="1">YEAR($V$1)-YEAR(U274)</f>
        <v>55</v>
      </c>
      <c r="W274" s="8" t="s">
        <v>1</v>
      </c>
      <c r="X274" s="102" t="s">
        <v>105</v>
      </c>
      <c r="Y274" s="8">
        <v>29</v>
      </c>
      <c r="Z274" s="8" t="s">
        <v>104</v>
      </c>
      <c r="AA274" s="8" t="s">
        <v>0</v>
      </c>
      <c r="AB274" s="8" t="s">
        <v>8</v>
      </c>
      <c r="AC274" s="8">
        <v>33013</v>
      </c>
      <c r="AD274" s="8">
        <v>696812168</v>
      </c>
      <c r="AE274" s="103" t="s">
        <v>1200</v>
      </c>
      <c r="AF274" s="8" t="s">
        <v>102</v>
      </c>
      <c r="AG274" s="8">
        <v>2080</v>
      </c>
      <c r="AH274" s="8" t="s">
        <v>101</v>
      </c>
      <c r="AI274" s="8">
        <v>11</v>
      </c>
      <c r="AJ274" s="8">
        <v>3000004341</v>
      </c>
      <c r="AK274" s="98"/>
      <c r="AL274" s="11"/>
      <c r="AM274" s="104">
        <v>10</v>
      </c>
    </row>
    <row r="275" spans="1:39" ht="15" customHeight="1" x14ac:dyDescent="0.25">
      <c r="A275" s="85">
        <v>275</v>
      </c>
      <c r="B275" s="93"/>
      <c r="C275" s="94">
        <v>99</v>
      </c>
      <c r="D275" s="95"/>
      <c r="E275" s="9"/>
      <c r="F275" s="9"/>
      <c r="G275" s="9"/>
      <c r="H275" s="9"/>
      <c r="I275" s="9"/>
      <c r="J275" s="9"/>
      <c r="K275" s="9"/>
      <c r="L275" s="9"/>
      <c r="M275" s="106"/>
      <c r="N275" s="9"/>
      <c r="O275" s="107"/>
      <c r="P275" s="107"/>
      <c r="Q275" s="107"/>
      <c r="R275" s="9"/>
      <c r="S275" s="9"/>
      <c r="T275" s="9"/>
      <c r="U275" s="6"/>
      <c r="V275" s="9"/>
      <c r="W275" s="9"/>
      <c r="X275" s="107"/>
      <c r="Y275" s="9"/>
      <c r="Z275" s="9"/>
      <c r="AA275" s="9"/>
      <c r="AB275" s="9"/>
      <c r="AC275" s="9"/>
      <c r="AD275" s="9"/>
      <c r="AE275" s="108"/>
      <c r="AF275" s="9"/>
      <c r="AG275" s="9"/>
      <c r="AH275" s="9"/>
      <c r="AI275" s="9"/>
      <c r="AJ275" s="9"/>
      <c r="AK275" s="98"/>
      <c r="AL275" s="99">
        <v>30</v>
      </c>
      <c r="AM275" s="99"/>
    </row>
    <row r="276" spans="1:39" ht="15" customHeight="1" x14ac:dyDescent="0.25">
      <c r="A276" s="85">
        <v>276</v>
      </c>
      <c r="B276" s="93"/>
      <c r="C276" s="11"/>
      <c r="D276" s="8" t="s">
        <v>893</v>
      </c>
      <c r="E276" s="8" t="s">
        <v>839</v>
      </c>
      <c r="F276" s="8" t="s">
        <v>1314</v>
      </c>
      <c r="G276" s="8" t="s">
        <v>921</v>
      </c>
      <c r="H276" s="8"/>
      <c r="I276" s="101"/>
      <c r="J276" s="8" t="s">
        <v>684</v>
      </c>
      <c r="K276" s="8" t="s">
        <v>1352</v>
      </c>
      <c r="L276" s="8" t="s">
        <v>1354</v>
      </c>
      <c r="M276" s="8" t="str">
        <f t="shared" ref="M276:M278" si="98">CONCATENATE(K276," ",L276)</f>
        <v>ASCAZ HOSPITALARIA</v>
      </c>
      <c r="N276" s="105" t="s">
        <v>3</v>
      </c>
      <c r="O276" s="102" t="s">
        <v>44</v>
      </c>
      <c r="P276" s="102" t="s">
        <v>1269</v>
      </c>
      <c r="Q276" s="102" t="s">
        <v>73</v>
      </c>
      <c r="R276" s="8" t="s">
        <v>2</v>
      </c>
      <c r="S276" s="8" t="s">
        <v>100</v>
      </c>
      <c r="T276" s="8" t="s">
        <v>772</v>
      </c>
      <c r="U276" s="4">
        <v>31777</v>
      </c>
      <c r="V276" s="10">
        <f t="shared" ref="V276:V278" ca="1" si="99">YEAR($V$1)-YEAR(U276)</f>
        <v>32</v>
      </c>
      <c r="W276" s="8" t="s">
        <v>1</v>
      </c>
      <c r="X276" s="102" t="s">
        <v>43</v>
      </c>
      <c r="Y276" s="8">
        <v>17</v>
      </c>
      <c r="Z276" s="8" t="s">
        <v>99</v>
      </c>
      <c r="AA276" s="8" t="s">
        <v>0</v>
      </c>
      <c r="AB276" s="8" t="s">
        <v>42</v>
      </c>
      <c r="AC276" s="8">
        <v>33900</v>
      </c>
      <c r="AD276" s="8">
        <v>686679668</v>
      </c>
      <c r="AE276" s="103" t="s">
        <v>98</v>
      </c>
      <c r="AF276" s="8" t="s">
        <v>41</v>
      </c>
      <c r="AG276" s="8" t="s">
        <v>19</v>
      </c>
      <c r="AH276" s="8" t="s">
        <v>40</v>
      </c>
      <c r="AI276" s="8">
        <v>60</v>
      </c>
      <c r="AJ276" s="8">
        <v>2590326468</v>
      </c>
      <c r="AK276" s="98"/>
      <c r="AL276" s="11"/>
      <c r="AM276" s="104">
        <v>10</v>
      </c>
    </row>
    <row r="277" spans="1:39" ht="15" customHeight="1" x14ac:dyDescent="0.25">
      <c r="A277" s="85">
        <v>277</v>
      </c>
      <c r="B277" s="93"/>
      <c r="C277" s="11"/>
      <c r="D277" s="8" t="s">
        <v>910</v>
      </c>
      <c r="E277" s="8" t="s">
        <v>839</v>
      </c>
      <c r="F277" s="8" t="s">
        <v>1314</v>
      </c>
      <c r="G277" s="8" t="s">
        <v>921</v>
      </c>
      <c r="H277" s="8"/>
      <c r="I277" s="101"/>
      <c r="J277" s="8" t="s">
        <v>684</v>
      </c>
      <c r="K277" s="8" t="s">
        <v>1352</v>
      </c>
      <c r="L277" s="8" t="s">
        <v>1353</v>
      </c>
      <c r="M277" s="8" t="str">
        <f t="shared" si="98"/>
        <v>ASCAZ AMBULATORIA</v>
      </c>
      <c r="N277" s="105" t="s">
        <v>935</v>
      </c>
      <c r="O277" s="102" t="s">
        <v>1243</v>
      </c>
      <c r="P277" s="102" t="s">
        <v>1269</v>
      </c>
      <c r="Q277" s="102" t="s">
        <v>1189</v>
      </c>
      <c r="R277" s="8" t="s">
        <v>2</v>
      </c>
      <c r="S277" s="8" t="s">
        <v>1289</v>
      </c>
      <c r="T277" s="8" t="s">
        <v>772</v>
      </c>
      <c r="U277" s="4">
        <v>18464</v>
      </c>
      <c r="V277" s="10">
        <f t="shared" ca="1" si="99"/>
        <v>68</v>
      </c>
      <c r="W277" s="8"/>
      <c r="X277" s="102"/>
      <c r="Y277" s="8"/>
      <c r="Z277" s="8"/>
      <c r="AA277" s="8"/>
      <c r="AB277" s="8"/>
      <c r="AC277" s="8"/>
      <c r="AD277" s="8">
        <v>985683313</v>
      </c>
      <c r="AE277" s="103"/>
      <c r="AF277" s="8"/>
      <c r="AG277" s="8"/>
      <c r="AH277" s="8"/>
      <c r="AI277" s="8"/>
      <c r="AJ277" s="8"/>
      <c r="AK277" s="98"/>
      <c r="AL277" s="11"/>
      <c r="AM277" s="104">
        <v>10</v>
      </c>
    </row>
    <row r="278" spans="1:39" ht="15" customHeight="1" x14ac:dyDescent="0.25">
      <c r="A278" s="85">
        <v>278</v>
      </c>
      <c r="B278" s="93"/>
      <c r="C278" s="11"/>
      <c r="D278" s="8" t="s">
        <v>911</v>
      </c>
      <c r="E278" s="8" t="s">
        <v>839</v>
      </c>
      <c r="F278" s="8" t="s">
        <v>1314</v>
      </c>
      <c r="G278" s="8" t="s">
        <v>921</v>
      </c>
      <c r="H278" s="8"/>
      <c r="I278" s="101"/>
      <c r="J278" s="8" t="s">
        <v>684</v>
      </c>
      <c r="K278" s="8" t="s">
        <v>1352</v>
      </c>
      <c r="L278" s="8" t="s">
        <v>1353</v>
      </c>
      <c r="M278" s="8" t="str">
        <f t="shared" si="98"/>
        <v>ASCAZ AMBULATORIA</v>
      </c>
      <c r="N278" s="105" t="s">
        <v>935</v>
      </c>
      <c r="O278" s="102" t="s">
        <v>1260</v>
      </c>
      <c r="P278" s="102" t="s">
        <v>73</v>
      </c>
      <c r="Q278" s="102" t="s">
        <v>1264</v>
      </c>
      <c r="R278" s="8"/>
      <c r="S278" s="8" t="s">
        <v>1290</v>
      </c>
      <c r="T278" s="8" t="s">
        <v>753</v>
      </c>
      <c r="U278" s="4">
        <v>20133</v>
      </c>
      <c r="V278" s="10">
        <f t="shared" ca="1" si="99"/>
        <v>63</v>
      </c>
      <c r="W278" s="8"/>
      <c r="X278" s="102"/>
      <c r="Y278" s="8"/>
      <c r="Z278" s="8"/>
      <c r="AA278" s="8"/>
      <c r="AB278" s="8"/>
      <c r="AC278" s="8"/>
      <c r="AD278" s="8"/>
      <c r="AE278" s="103"/>
      <c r="AF278" s="8"/>
      <c r="AG278" s="8"/>
      <c r="AH278" s="8"/>
      <c r="AI278" s="8"/>
      <c r="AJ278" s="8"/>
      <c r="AK278" s="98"/>
      <c r="AL278" s="11"/>
      <c r="AM278" s="104">
        <v>10</v>
      </c>
    </row>
    <row r="279" spans="1:39" ht="15" customHeight="1" x14ac:dyDescent="0.25">
      <c r="A279" s="85">
        <v>279</v>
      </c>
      <c r="B279" s="93"/>
      <c r="C279" s="94">
        <v>100</v>
      </c>
      <c r="D279" s="95"/>
      <c r="E279" s="9"/>
      <c r="F279" s="9"/>
      <c r="G279" s="9"/>
      <c r="H279" s="9"/>
      <c r="I279" s="9"/>
      <c r="J279" s="9"/>
      <c r="K279" s="9"/>
      <c r="L279" s="9"/>
      <c r="M279" s="106"/>
      <c r="N279" s="9"/>
      <c r="O279" s="107"/>
      <c r="P279" s="107"/>
      <c r="Q279" s="107"/>
      <c r="R279" s="9"/>
      <c r="S279" s="9"/>
      <c r="T279" s="9"/>
      <c r="U279" s="6"/>
      <c r="V279" s="9"/>
      <c r="W279" s="9"/>
      <c r="X279" s="107"/>
      <c r="Y279" s="9"/>
      <c r="Z279" s="9"/>
      <c r="AA279" s="9"/>
      <c r="AB279" s="9"/>
      <c r="AC279" s="9"/>
      <c r="AD279" s="9"/>
      <c r="AE279" s="108"/>
      <c r="AF279" s="9"/>
      <c r="AG279" s="9"/>
      <c r="AH279" s="9"/>
      <c r="AI279" s="9"/>
      <c r="AJ279" s="9"/>
      <c r="AK279" s="98"/>
      <c r="AL279" s="99">
        <v>30</v>
      </c>
      <c r="AM279" s="99"/>
    </row>
    <row r="280" spans="1:39" ht="15" customHeight="1" x14ac:dyDescent="0.25">
      <c r="A280" s="85">
        <v>280</v>
      </c>
      <c r="B280" s="93"/>
      <c r="C280" s="11"/>
      <c r="D280" s="8" t="s">
        <v>894</v>
      </c>
      <c r="E280" s="8"/>
      <c r="F280" s="8" t="s">
        <v>1314</v>
      </c>
      <c r="G280" s="8" t="s">
        <v>920</v>
      </c>
      <c r="H280" s="8"/>
      <c r="I280" s="101"/>
      <c r="J280" s="8" t="s">
        <v>684</v>
      </c>
      <c r="K280" s="8" t="s">
        <v>1352</v>
      </c>
      <c r="L280" s="8" t="s">
        <v>1354</v>
      </c>
      <c r="M280" s="8" t="str">
        <f>CONCATENATE(K280," ",L280)</f>
        <v>ASCAZ HOSPITALARIA</v>
      </c>
      <c r="N280" s="105" t="s">
        <v>3</v>
      </c>
      <c r="O280" s="102" t="s">
        <v>1189</v>
      </c>
      <c r="P280" s="102" t="s">
        <v>97</v>
      </c>
      <c r="Q280" s="102" t="s">
        <v>96</v>
      </c>
      <c r="R280" s="8" t="s">
        <v>2</v>
      </c>
      <c r="S280" s="8" t="s">
        <v>95</v>
      </c>
      <c r="T280" s="8" t="s">
        <v>772</v>
      </c>
      <c r="U280" s="4">
        <v>31926</v>
      </c>
      <c r="V280" s="10">
        <f ca="1">YEAR($V$1)-YEAR(U280)</f>
        <v>31</v>
      </c>
      <c r="W280" s="8" t="s">
        <v>1</v>
      </c>
      <c r="X280" s="102" t="s">
        <v>94</v>
      </c>
      <c r="Y280" s="8">
        <v>17</v>
      </c>
      <c r="Z280" s="8" t="s">
        <v>93</v>
      </c>
      <c r="AA280" s="8" t="s">
        <v>0</v>
      </c>
      <c r="AB280" s="8" t="s">
        <v>35</v>
      </c>
      <c r="AC280" s="8">
        <v>33204</v>
      </c>
      <c r="AD280" s="8">
        <v>667991373</v>
      </c>
      <c r="AE280" s="103" t="s">
        <v>1201</v>
      </c>
      <c r="AF280" s="8"/>
      <c r="AG280" s="8"/>
      <c r="AH280" s="8"/>
      <c r="AI280" s="8"/>
      <c r="AJ280" s="8"/>
      <c r="AK280" s="98"/>
      <c r="AL280" s="11"/>
      <c r="AM280" s="104">
        <v>10</v>
      </c>
    </row>
    <row r="281" spans="1:39" ht="15" customHeight="1" x14ac:dyDescent="0.25">
      <c r="A281" s="85">
        <v>281</v>
      </c>
      <c r="B281" s="93"/>
      <c r="C281" s="94">
        <v>101</v>
      </c>
      <c r="D281" s="95"/>
      <c r="E281" s="9"/>
      <c r="F281" s="9"/>
      <c r="G281" s="9"/>
      <c r="H281" s="9"/>
      <c r="I281" s="9"/>
      <c r="J281" s="9"/>
      <c r="K281" s="9"/>
      <c r="L281" s="9"/>
      <c r="M281" s="106"/>
      <c r="N281" s="9"/>
      <c r="O281" s="107"/>
      <c r="P281" s="107"/>
      <c r="Q281" s="107"/>
      <c r="R281" s="9"/>
      <c r="S281" s="9"/>
      <c r="T281" s="9"/>
      <c r="U281" s="6"/>
      <c r="V281" s="9"/>
      <c r="W281" s="9"/>
      <c r="X281" s="107"/>
      <c r="Y281" s="9"/>
      <c r="Z281" s="9"/>
      <c r="AA281" s="9"/>
      <c r="AB281" s="9"/>
      <c r="AC281" s="9"/>
      <c r="AD281" s="9"/>
      <c r="AE281" s="108"/>
      <c r="AF281" s="9"/>
      <c r="AG281" s="9"/>
      <c r="AH281" s="9"/>
      <c r="AI281" s="9"/>
      <c r="AJ281" s="9"/>
      <c r="AK281" s="98"/>
      <c r="AL281" s="99">
        <v>30</v>
      </c>
      <c r="AM281" s="99"/>
    </row>
    <row r="282" spans="1:39" ht="15" customHeight="1" x14ac:dyDescent="0.25">
      <c r="A282" s="85">
        <v>282</v>
      </c>
      <c r="B282" s="129"/>
      <c r="C282" s="11"/>
      <c r="D282" s="8" t="s">
        <v>895</v>
      </c>
      <c r="E282" s="8" t="s">
        <v>839</v>
      </c>
      <c r="F282" s="8" t="s">
        <v>1314</v>
      </c>
      <c r="G282" s="8" t="s">
        <v>920</v>
      </c>
      <c r="H282" s="8"/>
      <c r="I282" s="174"/>
      <c r="J282" s="8" t="s">
        <v>684</v>
      </c>
      <c r="K282" s="8" t="s">
        <v>1352</v>
      </c>
      <c r="L282" s="8" t="s">
        <v>1353</v>
      </c>
      <c r="M282" s="8" t="str">
        <f t="shared" ref="M282:M285" si="100">CONCATENATE(K282," ",L282)</f>
        <v>ASCAZ AMBULATORIA</v>
      </c>
      <c r="N282" s="105" t="s">
        <v>3</v>
      </c>
      <c r="O282" s="102" t="s">
        <v>1202</v>
      </c>
      <c r="P282" s="102" t="s">
        <v>199</v>
      </c>
      <c r="Q282" s="102" t="s">
        <v>1203</v>
      </c>
      <c r="R282" s="8" t="s">
        <v>79</v>
      </c>
      <c r="S282" s="8" t="s">
        <v>91</v>
      </c>
      <c r="T282" s="8" t="s">
        <v>772</v>
      </c>
      <c r="U282" s="4">
        <v>28292</v>
      </c>
      <c r="V282" s="10">
        <f t="shared" ref="V282:V285" ca="1" si="101">YEAR($V$1)-YEAR(U282)</f>
        <v>41</v>
      </c>
      <c r="W282" s="8" t="s">
        <v>1</v>
      </c>
      <c r="X282" s="102" t="s">
        <v>1204</v>
      </c>
      <c r="Y282" s="8">
        <v>60</v>
      </c>
      <c r="Z282" s="8" t="s">
        <v>90</v>
      </c>
      <c r="AA282" s="8" t="s">
        <v>0</v>
      </c>
      <c r="AB282" s="8" t="s">
        <v>35</v>
      </c>
      <c r="AC282" s="8">
        <v>33209</v>
      </c>
      <c r="AD282" s="8">
        <v>657196950</v>
      </c>
      <c r="AE282" s="103" t="s">
        <v>1205</v>
      </c>
      <c r="AF282" s="8" t="s">
        <v>317</v>
      </c>
      <c r="AG282" s="8">
        <v>1465</v>
      </c>
      <c r="AH282" s="8" t="s">
        <v>88</v>
      </c>
      <c r="AI282" s="8">
        <v>97</v>
      </c>
      <c r="AJ282" s="8">
        <v>1700437383</v>
      </c>
      <c r="AK282" s="98"/>
      <c r="AL282" s="11"/>
      <c r="AM282" s="104">
        <v>10</v>
      </c>
    </row>
    <row r="283" spans="1:39" ht="15" customHeight="1" x14ac:dyDescent="0.25">
      <c r="A283" s="85">
        <v>283</v>
      </c>
      <c r="B283" s="129"/>
      <c r="C283" s="11"/>
      <c r="D283" s="8" t="s">
        <v>896</v>
      </c>
      <c r="E283" s="8" t="s">
        <v>839</v>
      </c>
      <c r="F283" s="8" t="s">
        <v>1314</v>
      </c>
      <c r="G283" s="8" t="s">
        <v>920</v>
      </c>
      <c r="H283" s="8"/>
      <c r="I283" s="174"/>
      <c r="J283" s="8" t="s">
        <v>684</v>
      </c>
      <c r="K283" s="8" t="s">
        <v>1352</v>
      </c>
      <c r="L283" s="8" t="s">
        <v>1353</v>
      </c>
      <c r="M283" s="8" t="str">
        <f t="shared" si="100"/>
        <v>ASCAZ AMBULATORIA</v>
      </c>
      <c r="N283" s="105" t="s">
        <v>932</v>
      </c>
      <c r="O283" s="102" t="s">
        <v>1206</v>
      </c>
      <c r="P283" s="102" t="s">
        <v>199</v>
      </c>
      <c r="Q283" s="102" t="s">
        <v>1207</v>
      </c>
      <c r="R283" s="8" t="s">
        <v>79</v>
      </c>
      <c r="S283" s="8" t="s">
        <v>87</v>
      </c>
      <c r="T283" s="8" t="s">
        <v>772</v>
      </c>
      <c r="U283" s="4">
        <v>40068</v>
      </c>
      <c r="V283" s="10">
        <f t="shared" ca="1" si="101"/>
        <v>9</v>
      </c>
      <c r="W283" s="8"/>
      <c r="X283" s="102"/>
      <c r="Y283" s="8"/>
      <c r="Z283" s="8"/>
      <c r="AA283" s="8"/>
      <c r="AB283" s="8"/>
      <c r="AC283" s="8"/>
      <c r="AD283" s="8"/>
      <c r="AE283" s="103"/>
      <c r="AF283" s="8"/>
      <c r="AG283" s="8"/>
      <c r="AH283" s="8"/>
      <c r="AI283" s="8"/>
      <c r="AJ283" s="8"/>
      <c r="AK283" s="98"/>
      <c r="AL283" s="11"/>
      <c r="AM283" s="104">
        <v>10</v>
      </c>
    </row>
    <row r="284" spans="1:39" ht="15" customHeight="1" x14ac:dyDescent="0.25">
      <c r="A284" s="85">
        <v>284</v>
      </c>
      <c r="B284" s="129"/>
      <c r="C284" s="11"/>
      <c r="D284" s="8" t="s">
        <v>897</v>
      </c>
      <c r="E284" s="8" t="s">
        <v>839</v>
      </c>
      <c r="F284" s="8" t="s">
        <v>1314</v>
      </c>
      <c r="G284" s="8" t="s">
        <v>920</v>
      </c>
      <c r="H284" s="8"/>
      <c r="I284" s="174"/>
      <c r="J284" s="8" t="s">
        <v>684</v>
      </c>
      <c r="K284" s="8" t="s">
        <v>1352</v>
      </c>
      <c r="L284" s="8" t="s">
        <v>1353</v>
      </c>
      <c r="M284" s="8" t="str">
        <f t="shared" si="100"/>
        <v>ASCAZ AMBULATORIA</v>
      </c>
      <c r="N284" s="105" t="s">
        <v>935</v>
      </c>
      <c r="O284" s="102" t="s">
        <v>1208</v>
      </c>
      <c r="P284" s="102" t="s">
        <v>1203</v>
      </c>
      <c r="Q284" s="102" t="s">
        <v>644</v>
      </c>
      <c r="R284" s="8" t="s">
        <v>79</v>
      </c>
      <c r="S284" s="8" t="s">
        <v>86</v>
      </c>
      <c r="T284" s="8" t="s">
        <v>753</v>
      </c>
      <c r="U284" s="4">
        <v>20144</v>
      </c>
      <c r="V284" s="10">
        <f t="shared" ca="1" si="101"/>
        <v>63</v>
      </c>
      <c r="W284" s="8"/>
      <c r="X284" s="102"/>
      <c r="Y284" s="8"/>
      <c r="Z284" s="8"/>
      <c r="AA284" s="8"/>
      <c r="AB284" s="8"/>
      <c r="AC284" s="8"/>
      <c r="AD284" s="8"/>
      <c r="AE284" s="103"/>
      <c r="AF284" s="8"/>
      <c r="AG284" s="8"/>
      <c r="AH284" s="8"/>
      <c r="AI284" s="8"/>
      <c r="AJ284" s="8"/>
      <c r="AK284" s="98"/>
      <c r="AL284" s="11"/>
      <c r="AM284" s="104">
        <v>10</v>
      </c>
    </row>
    <row r="285" spans="1:39" ht="15" customHeight="1" x14ac:dyDescent="0.25">
      <c r="A285" s="85">
        <v>285</v>
      </c>
      <c r="B285" s="129"/>
      <c r="C285" s="11"/>
      <c r="D285" s="8" t="s">
        <v>898</v>
      </c>
      <c r="E285" s="8" t="s">
        <v>839</v>
      </c>
      <c r="F285" s="8" t="s">
        <v>1314</v>
      </c>
      <c r="G285" s="8" t="s">
        <v>920</v>
      </c>
      <c r="H285" s="8"/>
      <c r="I285" s="174"/>
      <c r="J285" s="8" t="s">
        <v>684</v>
      </c>
      <c r="K285" s="8" t="s">
        <v>1352</v>
      </c>
      <c r="L285" s="8" t="s">
        <v>1353</v>
      </c>
      <c r="M285" s="8" t="str">
        <f t="shared" si="100"/>
        <v>ASCAZ AMBULATORIA</v>
      </c>
      <c r="N285" s="105" t="s">
        <v>931</v>
      </c>
      <c r="O285" s="102" t="s">
        <v>1209</v>
      </c>
      <c r="P285" s="102" t="s">
        <v>199</v>
      </c>
      <c r="Q285" s="102" t="s">
        <v>1203</v>
      </c>
      <c r="R285" s="8" t="s">
        <v>79</v>
      </c>
      <c r="S285" s="8" t="s">
        <v>85</v>
      </c>
      <c r="T285" s="8" t="s">
        <v>772</v>
      </c>
      <c r="U285" s="4">
        <v>29032</v>
      </c>
      <c r="V285" s="10">
        <f t="shared" ca="1" si="101"/>
        <v>39</v>
      </c>
      <c r="W285" s="8"/>
      <c r="X285" s="102"/>
      <c r="Y285" s="8"/>
      <c r="Z285" s="8"/>
      <c r="AA285" s="8"/>
      <c r="AB285" s="8"/>
      <c r="AC285" s="8"/>
      <c r="AD285" s="8"/>
      <c r="AE285" s="103"/>
      <c r="AF285" s="8"/>
      <c r="AG285" s="8"/>
      <c r="AH285" s="8"/>
      <c r="AI285" s="8"/>
      <c r="AJ285" s="8"/>
      <c r="AK285" s="98"/>
      <c r="AL285" s="11"/>
      <c r="AM285" s="104">
        <v>10</v>
      </c>
    </row>
    <row r="286" spans="1:39" ht="15" customHeight="1" x14ac:dyDescent="0.25">
      <c r="A286" s="85">
        <v>286</v>
      </c>
      <c r="B286" s="93"/>
      <c r="C286" s="94">
        <v>102</v>
      </c>
      <c r="D286" s="95"/>
      <c r="E286" s="9"/>
      <c r="F286" s="9"/>
      <c r="G286" s="9"/>
      <c r="H286" s="9"/>
      <c r="I286" s="9"/>
      <c r="J286" s="9"/>
      <c r="K286" s="9"/>
      <c r="L286" s="9"/>
      <c r="M286" s="106"/>
      <c r="N286" s="9"/>
      <c r="O286" s="107"/>
      <c r="P286" s="107"/>
      <c r="Q286" s="107"/>
      <c r="R286" s="9"/>
      <c r="S286" s="9"/>
      <c r="T286" s="9"/>
      <c r="U286" s="6"/>
      <c r="V286" s="9"/>
      <c r="W286" s="9"/>
      <c r="X286" s="107"/>
      <c r="Y286" s="9"/>
      <c r="Z286" s="9"/>
      <c r="AA286" s="9"/>
      <c r="AB286" s="9"/>
      <c r="AC286" s="9"/>
      <c r="AD286" s="9"/>
      <c r="AE286" s="108"/>
      <c r="AF286" s="9"/>
      <c r="AG286" s="9"/>
      <c r="AH286" s="9"/>
      <c r="AI286" s="9"/>
      <c r="AJ286" s="9"/>
      <c r="AK286" s="98"/>
      <c r="AL286" s="99">
        <v>30</v>
      </c>
      <c r="AM286" s="99"/>
    </row>
    <row r="287" spans="1:39" ht="15" customHeight="1" x14ac:dyDescent="0.25">
      <c r="A287" s="85">
        <v>287</v>
      </c>
      <c r="B287" s="93"/>
      <c r="C287" s="11"/>
      <c r="D287" s="8" t="s">
        <v>899</v>
      </c>
      <c r="E287" s="8" t="s">
        <v>839</v>
      </c>
      <c r="F287" s="8"/>
      <c r="G287" s="8" t="s">
        <v>921</v>
      </c>
      <c r="H287" s="8"/>
      <c r="I287" s="101"/>
      <c r="J287" s="8" t="s">
        <v>839</v>
      </c>
      <c r="K287" s="8"/>
      <c r="L287" s="8"/>
      <c r="M287" s="106"/>
      <c r="N287" s="105" t="s">
        <v>3</v>
      </c>
      <c r="O287" s="102" t="s">
        <v>1261</v>
      </c>
      <c r="P287" s="102" t="s">
        <v>84</v>
      </c>
      <c r="Q287" s="102" t="s">
        <v>83</v>
      </c>
      <c r="R287" s="8" t="s">
        <v>79</v>
      </c>
      <c r="S287" s="8" t="s">
        <v>82</v>
      </c>
      <c r="T287" s="8" t="s">
        <v>753</v>
      </c>
      <c r="U287" s="4">
        <v>20906</v>
      </c>
      <c r="V287" s="10">
        <f t="shared" ref="V287:V288" ca="1" si="102">YEAR($V$1)-YEAR(U287)</f>
        <v>61</v>
      </c>
      <c r="W287" s="8"/>
      <c r="X287" s="102" t="s">
        <v>81</v>
      </c>
      <c r="Y287" s="8" t="s">
        <v>80</v>
      </c>
      <c r="Z287" s="8" t="s">
        <v>1210</v>
      </c>
      <c r="AA287" s="8" t="s">
        <v>0</v>
      </c>
      <c r="AB287" s="8" t="s">
        <v>35</v>
      </c>
      <c r="AC287" s="8">
        <v>33209</v>
      </c>
      <c r="AD287" s="8">
        <v>699725110</v>
      </c>
      <c r="AE287" s="103" t="s">
        <v>1211</v>
      </c>
      <c r="AF287" s="8" t="s">
        <v>245</v>
      </c>
      <c r="AG287" s="8" t="s">
        <v>19</v>
      </c>
      <c r="AH287" s="8">
        <v>5664</v>
      </c>
      <c r="AI287" s="8">
        <v>31</v>
      </c>
      <c r="AJ287" s="8">
        <v>2795030235</v>
      </c>
      <c r="AK287" s="98"/>
      <c r="AL287" s="11"/>
      <c r="AM287" s="104">
        <v>10</v>
      </c>
    </row>
    <row r="288" spans="1:39" ht="15" customHeight="1" x14ac:dyDescent="0.25">
      <c r="A288" s="85">
        <v>288</v>
      </c>
      <c r="B288" s="129"/>
      <c r="C288" s="11"/>
      <c r="D288" s="8" t="s">
        <v>900</v>
      </c>
      <c r="E288" s="8" t="s">
        <v>839</v>
      </c>
      <c r="F288" s="8"/>
      <c r="G288" s="8" t="s">
        <v>921</v>
      </c>
      <c r="H288" s="8"/>
      <c r="I288" s="101"/>
      <c r="J288" s="8" t="s">
        <v>684</v>
      </c>
      <c r="K288" s="8" t="s">
        <v>1352</v>
      </c>
      <c r="L288" s="8" t="s">
        <v>1353</v>
      </c>
      <c r="M288" s="8" t="str">
        <f>CONCATENATE(K288," ",L288)</f>
        <v>ASCAZ AMBULATORIA</v>
      </c>
      <c r="N288" s="105" t="s">
        <v>932</v>
      </c>
      <c r="O288" s="102" t="s">
        <v>512</v>
      </c>
      <c r="P288" s="102" t="s">
        <v>73</v>
      </c>
      <c r="Q288" s="102" t="s">
        <v>1212</v>
      </c>
      <c r="R288" s="8" t="s">
        <v>79</v>
      </c>
      <c r="S288" s="8" t="s">
        <v>78</v>
      </c>
      <c r="T288" s="8" t="s">
        <v>753</v>
      </c>
      <c r="U288" s="4">
        <v>35338</v>
      </c>
      <c r="V288" s="10">
        <f t="shared" ca="1" si="102"/>
        <v>22</v>
      </c>
      <c r="W288" s="8"/>
      <c r="X288" s="102"/>
      <c r="Y288" s="8"/>
      <c r="Z288" s="8"/>
      <c r="AA288" s="8"/>
      <c r="AB288" s="8"/>
      <c r="AC288" s="8"/>
      <c r="AD288" s="8"/>
      <c r="AE288" s="103"/>
      <c r="AF288" s="8"/>
      <c r="AG288" s="8"/>
      <c r="AH288" s="8"/>
      <c r="AI288" s="8"/>
      <c r="AJ288" s="8"/>
      <c r="AK288" s="98"/>
      <c r="AL288" s="11"/>
      <c r="AM288" s="104">
        <v>10</v>
      </c>
    </row>
    <row r="289" spans="1:39" ht="15" customHeight="1" x14ac:dyDescent="0.25">
      <c r="A289" s="85">
        <v>289</v>
      </c>
      <c r="B289" s="93"/>
      <c r="C289" s="94">
        <v>103</v>
      </c>
      <c r="D289" s="95"/>
      <c r="E289" s="9"/>
      <c r="F289" s="9"/>
      <c r="G289" s="9"/>
      <c r="H289" s="9"/>
      <c r="I289" s="9"/>
      <c r="J289" s="9"/>
      <c r="K289" s="9"/>
      <c r="L289" s="9"/>
      <c r="M289" s="106"/>
      <c r="N289" s="9"/>
      <c r="O289" s="107"/>
      <c r="P289" s="107"/>
      <c r="Q289" s="107"/>
      <c r="R289" s="9"/>
      <c r="S289" s="9"/>
      <c r="T289" s="9"/>
      <c r="U289" s="6"/>
      <c r="V289" s="9"/>
      <c r="W289" s="9"/>
      <c r="X289" s="107"/>
      <c r="Y289" s="9"/>
      <c r="Z289" s="9"/>
      <c r="AA289" s="9"/>
      <c r="AB289" s="9"/>
      <c r="AC289" s="9"/>
      <c r="AD289" s="9"/>
      <c r="AE289" s="108"/>
      <c r="AF289" s="9"/>
      <c r="AG289" s="9"/>
      <c r="AH289" s="9"/>
      <c r="AI289" s="9"/>
      <c r="AJ289" s="9"/>
      <c r="AK289" s="98"/>
      <c r="AL289" s="99">
        <v>30</v>
      </c>
      <c r="AM289" s="99"/>
    </row>
    <row r="290" spans="1:39" ht="15" customHeight="1" x14ac:dyDescent="0.25">
      <c r="A290" s="85">
        <v>290</v>
      </c>
      <c r="B290" s="93"/>
      <c r="C290" s="11"/>
      <c r="D290" s="8" t="s">
        <v>901</v>
      </c>
      <c r="E290" s="8" t="s">
        <v>839</v>
      </c>
      <c r="F290" s="8" t="s">
        <v>843</v>
      </c>
      <c r="G290" s="8" t="s">
        <v>921</v>
      </c>
      <c r="H290" s="8"/>
      <c r="I290" s="174"/>
      <c r="J290" s="8" t="s">
        <v>684</v>
      </c>
      <c r="K290" s="8" t="s">
        <v>1352</v>
      </c>
      <c r="L290" s="8" t="s">
        <v>1353</v>
      </c>
      <c r="M290" s="8" t="str">
        <f t="shared" ref="M290:M291" si="103">CONCATENATE(K290," ",L290)</f>
        <v>ASCAZ AMBULATORIA</v>
      </c>
      <c r="N290" s="105" t="s">
        <v>3</v>
      </c>
      <c r="O290" s="102" t="s">
        <v>1213</v>
      </c>
      <c r="P290" s="102" t="s">
        <v>1214</v>
      </c>
      <c r="Q290" s="102" t="s">
        <v>73</v>
      </c>
      <c r="R290" s="8" t="s">
        <v>2</v>
      </c>
      <c r="S290" s="8" t="s">
        <v>77</v>
      </c>
      <c r="T290" s="8" t="s">
        <v>753</v>
      </c>
      <c r="U290" s="4">
        <v>31456</v>
      </c>
      <c r="V290" s="10">
        <f t="shared" ref="V290:V291" ca="1" si="104">YEAR($V$1)-YEAR(U290)</f>
        <v>32</v>
      </c>
      <c r="W290" s="8" t="s">
        <v>1</v>
      </c>
      <c r="X290" s="102" t="s">
        <v>1215</v>
      </c>
      <c r="Y290" s="8">
        <v>4</v>
      </c>
      <c r="Z290" s="8" t="s">
        <v>1216</v>
      </c>
      <c r="AA290" s="8" t="s">
        <v>0</v>
      </c>
      <c r="AB290" s="8" t="s">
        <v>35</v>
      </c>
      <c r="AC290" s="8">
        <v>33209</v>
      </c>
      <c r="AD290" s="8">
        <v>671166240</v>
      </c>
      <c r="AE290" s="103" t="s">
        <v>1217</v>
      </c>
      <c r="AF290" s="8" t="s">
        <v>67</v>
      </c>
      <c r="AG290" s="8">
        <v>3035</v>
      </c>
      <c r="AH290" s="8" t="s">
        <v>76</v>
      </c>
      <c r="AI290" s="8">
        <v>66</v>
      </c>
      <c r="AJ290" s="8">
        <v>3730001910</v>
      </c>
      <c r="AK290" s="98"/>
      <c r="AL290" s="11"/>
      <c r="AM290" s="104">
        <v>10</v>
      </c>
    </row>
    <row r="291" spans="1:39" ht="15" customHeight="1" x14ac:dyDescent="0.25">
      <c r="A291" s="85">
        <v>291</v>
      </c>
      <c r="B291" s="93"/>
      <c r="C291" s="11"/>
      <c r="D291" s="8" t="s">
        <v>902</v>
      </c>
      <c r="E291" s="8" t="s">
        <v>839</v>
      </c>
      <c r="F291" s="8" t="s">
        <v>843</v>
      </c>
      <c r="G291" s="8" t="s">
        <v>921</v>
      </c>
      <c r="H291" s="8"/>
      <c r="I291" s="174"/>
      <c r="J291" s="8" t="s">
        <v>684</v>
      </c>
      <c r="K291" s="8" t="s">
        <v>1352</v>
      </c>
      <c r="L291" s="8" t="s">
        <v>1354</v>
      </c>
      <c r="M291" s="8" t="str">
        <f t="shared" si="103"/>
        <v>ASCAZ HOSPITALARIA</v>
      </c>
      <c r="N291" s="8" t="s">
        <v>48</v>
      </c>
      <c r="O291" s="102" t="s">
        <v>262</v>
      </c>
      <c r="P291" s="102" t="s">
        <v>1267</v>
      </c>
      <c r="Q291" s="102" t="s">
        <v>1218</v>
      </c>
      <c r="R291" s="8" t="s">
        <v>2</v>
      </c>
      <c r="S291" s="8" t="s">
        <v>75</v>
      </c>
      <c r="T291" s="8" t="s">
        <v>772</v>
      </c>
      <c r="U291" s="4">
        <v>29838</v>
      </c>
      <c r="V291" s="10">
        <f t="shared" ca="1" si="104"/>
        <v>37</v>
      </c>
      <c r="W291" s="8"/>
      <c r="X291" s="102"/>
      <c r="Y291" s="8"/>
      <c r="Z291" s="8"/>
      <c r="AA291" s="8"/>
      <c r="AB291" s="8"/>
      <c r="AC291" s="8"/>
      <c r="AD291" s="8"/>
      <c r="AE291" s="103"/>
      <c r="AF291" s="8"/>
      <c r="AG291" s="8"/>
      <c r="AH291" s="8"/>
      <c r="AI291" s="8"/>
      <c r="AJ291" s="8"/>
      <c r="AK291" s="98"/>
      <c r="AL291" s="11"/>
      <c r="AM291" s="104">
        <v>10</v>
      </c>
    </row>
    <row r="292" spans="1:39" ht="15" customHeight="1" x14ac:dyDescent="0.25">
      <c r="A292" s="85">
        <v>292</v>
      </c>
      <c r="B292" s="93"/>
      <c r="C292" s="94">
        <v>104</v>
      </c>
      <c r="D292" s="95"/>
      <c r="E292" s="9"/>
      <c r="F292" s="9"/>
      <c r="G292" s="9"/>
      <c r="H292" s="9"/>
      <c r="I292" s="9"/>
      <c r="J292" s="9"/>
      <c r="K292" s="9"/>
      <c r="L292" s="9"/>
      <c r="M292" s="106"/>
      <c r="N292" s="9"/>
      <c r="O292" s="107"/>
      <c r="P292" s="107"/>
      <c r="Q292" s="107"/>
      <c r="R292" s="9"/>
      <c r="S292" s="9"/>
      <c r="T292" s="9"/>
      <c r="U292" s="6"/>
      <c r="V292" s="9"/>
      <c r="W292" s="9"/>
      <c r="X292" s="107"/>
      <c r="Y292" s="9"/>
      <c r="Z292" s="9"/>
      <c r="AA292" s="9"/>
      <c r="AB292" s="9"/>
      <c r="AC292" s="9"/>
      <c r="AD292" s="9"/>
      <c r="AE292" s="108"/>
      <c r="AF292" s="9"/>
      <c r="AG292" s="9"/>
      <c r="AH292" s="9"/>
      <c r="AI292" s="9"/>
      <c r="AJ292" s="9"/>
      <c r="AK292" s="98"/>
      <c r="AL292" s="99">
        <v>30</v>
      </c>
      <c r="AM292" s="99"/>
    </row>
    <row r="293" spans="1:39" ht="15" customHeight="1" x14ac:dyDescent="0.25">
      <c r="A293" s="85">
        <v>293</v>
      </c>
      <c r="B293" s="93"/>
      <c r="C293" s="11"/>
      <c r="D293" s="8" t="s">
        <v>903</v>
      </c>
      <c r="E293" s="8" t="s">
        <v>839</v>
      </c>
      <c r="F293" s="8"/>
      <c r="G293" s="8" t="s">
        <v>921</v>
      </c>
      <c r="H293" s="8"/>
      <c r="I293" s="174"/>
      <c r="J293" s="8" t="s">
        <v>684</v>
      </c>
      <c r="K293" s="8" t="s">
        <v>1352</v>
      </c>
      <c r="L293" s="8" t="s">
        <v>1353</v>
      </c>
      <c r="M293" s="8" t="str">
        <f t="shared" ref="M293:M294" si="105">CONCATENATE(K293," ",L293)</f>
        <v>ASCAZ AMBULATORIA</v>
      </c>
      <c r="N293" s="105" t="s">
        <v>3</v>
      </c>
      <c r="O293" s="102" t="s">
        <v>74</v>
      </c>
      <c r="P293" s="102" t="s">
        <v>73</v>
      </c>
      <c r="Q293" s="102" t="s">
        <v>72</v>
      </c>
      <c r="R293" s="8" t="s">
        <v>2</v>
      </c>
      <c r="S293" s="8" t="s">
        <v>71</v>
      </c>
      <c r="T293" s="8" t="s">
        <v>772</v>
      </c>
      <c r="U293" s="4">
        <v>23131</v>
      </c>
      <c r="V293" s="10">
        <f t="shared" ref="V293:V294" ca="1" si="106">YEAR($V$1)-YEAR(U293)</f>
        <v>55</v>
      </c>
      <c r="W293" s="8" t="s">
        <v>1</v>
      </c>
      <c r="X293" s="102" t="s">
        <v>70</v>
      </c>
      <c r="Y293" s="8">
        <v>25</v>
      </c>
      <c r="Z293" s="8" t="s">
        <v>69</v>
      </c>
      <c r="AA293" s="8" t="s">
        <v>0</v>
      </c>
      <c r="AB293" s="8" t="s">
        <v>35</v>
      </c>
      <c r="AC293" s="8">
        <v>33207</v>
      </c>
      <c r="AD293" s="8">
        <v>649267152</v>
      </c>
      <c r="AE293" s="103" t="s">
        <v>1219</v>
      </c>
      <c r="AF293" s="8" t="s">
        <v>67</v>
      </c>
      <c r="AG293" s="8" t="s">
        <v>14</v>
      </c>
      <c r="AH293" s="8">
        <v>5664</v>
      </c>
      <c r="AI293" s="8">
        <v>82</v>
      </c>
      <c r="AJ293" s="8" t="s">
        <v>66</v>
      </c>
      <c r="AK293" s="98"/>
      <c r="AL293" s="11"/>
      <c r="AM293" s="104">
        <v>10</v>
      </c>
    </row>
    <row r="294" spans="1:39" ht="15" customHeight="1" x14ac:dyDescent="0.25">
      <c r="A294" s="85">
        <v>294</v>
      </c>
      <c r="B294" s="93"/>
      <c r="C294" s="11"/>
      <c r="D294" s="8" t="s">
        <v>904</v>
      </c>
      <c r="E294" s="8" t="s">
        <v>839</v>
      </c>
      <c r="F294" s="8"/>
      <c r="G294" s="8" t="s">
        <v>921</v>
      </c>
      <c r="H294" s="8"/>
      <c r="I294" s="174"/>
      <c r="J294" s="8" t="s">
        <v>684</v>
      </c>
      <c r="K294" s="8" t="s">
        <v>1352</v>
      </c>
      <c r="L294" s="8" t="s">
        <v>1353</v>
      </c>
      <c r="M294" s="8" t="str">
        <f t="shared" si="105"/>
        <v>ASCAZ AMBULATORIA</v>
      </c>
      <c r="N294" s="8" t="s">
        <v>48</v>
      </c>
      <c r="O294" s="102" t="s">
        <v>65</v>
      </c>
      <c r="P294" s="102" t="s">
        <v>64</v>
      </c>
      <c r="Q294" s="102" t="s">
        <v>63</v>
      </c>
      <c r="R294" s="8" t="s">
        <v>2</v>
      </c>
      <c r="S294" s="8" t="s">
        <v>62</v>
      </c>
      <c r="T294" s="8" t="s">
        <v>753</v>
      </c>
      <c r="U294" s="4">
        <v>23116</v>
      </c>
      <c r="V294" s="10">
        <f t="shared" ca="1" si="106"/>
        <v>55</v>
      </c>
      <c r="W294" s="8"/>
      <c r="X294" s="102"/>
      <c r="Y294" s="8"/>
      <c r="Z294" s="8"/>
      <c r="AA294" s="8"/>
      <c r="AB294" s="8"/>
      <c r="AC294" s="8"/>
      <c r="AD294" s="8">
        <v>645907273</v>
      </c>
      <c r="AE294" s="103" t="s">
        <v>1220</v>
      </c>
      <c r="AF294" s="8"/>
      <c r="AG294" s="8"/>
      <c r="AH294" s="8"/>
      <c r="AI294" s="8"/>
      <c r="AJ294" s="8"/>
      <c r="AK294" s="98"/>
      <c r="AL294" s="11"/>
      <c r="AM294" s="104">
        <v>10</v>
      </c>
    </row>
    <row r="295" spans="1:39" ht="15" customHeight="1" x14ac:dyDescent="0.25">
      <c r="A295" s="85">
        <v>295</v>
      </c>
      <c r="B295" s="93"/>
      <c r="C295" s="94">
        <v>105</v>
      </c>
      <c r="D295" s="95"/>
      <c r="E295" s="9"/>
      <c r="F295" s="9"/>
      <c r="G295" s="9"/>
      <c r="H295" s="9"/>
      <c r="I295" s="9"/>
      <c r="J295" s="9"/>
      <c r="K295" s="9"/>
      <c r="L295" s="9"/>
      <c r="M295" s="106"/>
      <c r="N295" s="9"/>
      <c r="O295" s="107"/>
      <c r="P295" s="107"/>
      <c r="Q295" s="107"/>
      <c r="R295" s="9"/>
      <c r="S295" s="9"/>
      <c r="T295" s="9"/>
      <c r="U295" s="6"/>
      <c r="V295" s="9"/>
      <c r="W295" s="9"/>
      <c r="X295" s="107"/>
      <c r="Y295" s="9"/>
      <c r="Z295" s="9"/>
      <c r="AA295" s="9"/>
      <c r="AB295" s="9"/>
      <c r="AC295" s="9"/>
      <c r="AD295" s="9"/>
      <c r="AE295" s="108"/>
      <c r="AF295" s="9"/>
      <c r="AG295" s="9"/>
      <c r="AH295" s="9"/>
      <c r="AI295" s="9"/>
      <c r="AJ295" s="9"/>
      <c r="AK295" s="98"/>
      <c r="AL295" s="99">
        <v>30</v>
      </c>
      <c r="AM295" s="99"/>
    </row>
    <row r="296" spans="1:39" ht="15" customHeight="1" x14ac:dyDescent="0.25">
      <c r="A296" s="85">
        <v>296</v>
      </c>
      <c r="B296" s="129"/>
      <c r="C296" s="11"/>
      <c r="D296" s="8" t="s">
        <v>905</v>
      </c>
      <c r="E296" s="8" t="s">
        <v>839</v>
      </c>
      <c r="F296" s="8"/>
      <c r="G296" s="8" t="s">
        <v>921</v>
      </c>
      <c r="H296" s="8"/>
      <c r="I296" s="101"/>
      <c r="J296" s="8" t="s">
        <v>684</v>
      </c>
      <c r="K296" s="8" t="s">
        <v>1352</v>
      </c>
      <c r="L296" s="8" t="s">
        <v>1353</v>
      </c>
      <c r="M296" s="8" t="str">
        <f t="shared" ref="M296:M297" si="107">CONCATENATE(K296," ",L296)</f>
        <v>ASCAZ AMBULATORIA</v>
      </c>
      <c r="N296" s="105" t="s">
        <v>3</v>
      </c>
      <c r="O296" s="102" t="s">
        <v>605</v>
      </c>
      <c r="P296" s="102" t="s">
        <v>153</v>
      </c>
      <c r="Q296" s="102" t="s">
        <v>1221</v>
      </c>
      <c r="R296" s="8" t="s">
        <v>2</v>
      </c>
      <c r="S296" s="8" t="s">
        <v>60</v>
      </c>
      <c r="T296" s="8" t="s">
        <v>772</v>
      </c>
      <c r="U296" s="4">
        <v>30117</v>
      </c>
      <c r="V296" s="10">
        <f t="shared" ref="V296:V297" ca="1" si="108">YEAR($V$1)-YEAR(U296)</f>
        <v>36</v>
      </c>
      <c r="W296" s="8" t="s">
        <v>1</v>
      </c>
      <c r="X296" s="102" t="s">
        <v>1222</v>
      </c>
      <c r="Y296" s="8">
        <v>15</v>
      </c>
      <c r="Z296" s="8" t="s">
        <v>59</v>
      </c>
      <c r="AA296" s="8" t="s">
        <v>0</v>
      </c>
      <c r="AB296" s="8" t="s">
        <v>35</v>
      </c>
      <c r="AC296" s="8">
        <v>33211</v>
      </c>
      <c r="AD296" s="8">
        <v>658984717</v>
      </c>
      <c r="AE296" s="103" t="s">
        <v>1223</v>
      </c>
      <c r="AF296" s="8" t="s">
        <v>57</v>
      </c>
      <c r="AG296" s="8">
        <v>2080</v>
      </c>
      <c r="AH296" s="8" t="s">
        <v>56</v>
      </c>
      <c r="AI296" s="8">
        <v>78</v>
      </c>
      <c r="AJ296" s="8">
        <v>3040006094</v>
      </c>
      <c r="AK296" s="98"/>
      <c r="AL296" s="11"/>
      <c r="AM296" s="104">
        <v>10</v>
      </c>
    </row>
    <row r="297" spans="1:39" ht="15" customHeight="1" x14ac:dyDescent="0.25">
      <c r="A297" s="85">
        <v>297</v>
      </c>
      <c r="B297" s="129"/>
      <c r="C297" s="11"/>
      <c r="D297" s="8" t="s">
        <v>906</v>
      </c>
      <c r="E297" s="8" t="s">
        <v>839</v>
      </c>
      <c r="F297" s="8"/>
      <c r="G297" s="8" t="s">
        <v>921</v>
      </c>
      <c r="H297" s="8"/>
      <c r="I297" s="101"/>
      <c r="J297" s="8" t="s">
        <v>684</v>
      </c>
      <c r="K297" s="8" t="s">
        <v>1352</v>
      </c>
      <c r="L297" s="8" t="s">
        <v>1353</v>
      </c>
      <c r="M297" s="8" t="str">
        <f t="shared" si="107"/>
        <v>ASCAZ AMBULATORIA</v>
      </c>
      <c r="N297" s="8" t="s">
        <v>48</v>
      </c>
      <c r="O297" s="102" t="s">
        <v>1224</v>
      </c>
      <c r="P297" s="102" t="s">
        <v>1225</v>
      </c>
      <c r="Q297" s="102" t="s">
        <v>153</v>
      </c>
      <c r="R297" s="8" t="s">
        <v>2</v>
      </c>
      <c r="S297" s="8" t="s">
        <v>55</v>
      </c>
      <c r="T297" s="8" t="s">
        <v>753</v>
      </c>
      <c r="U297" s="4">
        <v>29976</v>
      </c>
      <c r="V297" s="10">
        <f t="shared" ca="1" si="108"/>
        <v>36</v>
      </c>
      <c r="W297" s="8"/>
      <c r="X297" s="102"/>
      <c r="Y297" s="8"/>
      <c r="Z297" s="8"/>
      <c r="AA297" s="8"/>
      <c r="AB297" s="8"/>
      <c r="AC297" s="8"/>
      <c r="AD297" s="8">
        <v>658661847</v>
      </c>
      <c r="AE297" s="103" t="s">
        <v>1226</v>
      </c>
      <c r="AF297" s="8"/>
      <c r="AG297" s="8"/>
      <c r="AH297" s="8"/>
      <c r="AI297" s="8"/>
      <c r="AJ297" s="8"/>
      <c r="AK297" s="98"/>
      <c r="AL297" s="11"/>
      <c r="AM297" s="104">
        <v>10</v>
      </c>
    </row>
    <row r="298" spans="1:39" ht="15" customHeight="1" x14ac:dyDescent="0.25">
      <c r="A298" s="85">
        <v>298</v>
      </c>
      <c r="B298" s="93"/>
      <c r="C298" s="94">
        <v>106</v>
      </c>
      <c r="D298" s="95"/>
      <c r="E298" s="9"/>
      <c r="F298" s="9"/>
      <c r="G298" s="9"/>
      <c r="H298" s="9"/>
      <c r="I298" s="9"/>
      <c r="J298" s="9"/>
      <c r="K298" s="9"/>
      <c r="L298" s="9"/>
      <c r="M298" s="106"/>
      <c r="N298" s="9"/>
      <c r="O298" s="107"/>
      <c r="P298" s="107"/>
      <c r="Q298" s="107"/>
      <c r="R298" s="9"/>
      <c r="S298" s="9"/>
      <c r="T298" s="9"/>
      <c r="U298" s="6"/>
      <c r="V298" s="9"/>
      <c r="W298" s="9"/>
      <c r="X298" s="107"/>
      <c r="Y298" s="9"/>
      <c r="Z298" s="9"/>
      <c r="AA298" s="9"/>
      <c r="AB298" s="9"/>
      <c r="AC298" s="9"/>
      <c r="AD298" s="9"/>
      <c r="AE298" s="108"/>
      <c r="AF298" s="9"/>
      <c r="AG298" s="9"/>
      <c r="AH298" s="9"/>
      <c r="AI298" s="9"/>
      <c r="AJ298" s="9"/>
      <c r="AK298" s="98"/>
      <c r="AL298" s="99">
        <v>30</v>
      </c>
      <c r="AM298" s="99"/>
    </row>
    <row r="299" spans="1:39" ht="15" customHeight="1" x14ac:dyDescent="0.25">
      <c r="A299" s="85">
        <v>299</v>
      </c>
      <c r="B299" s="93"/>
      <c r="C299" s="11"/>
      <c r="D299" s="8" t="s">
        <v>907</v>
      </c>
      <c r="E299" s="8" t="s">
        <v>839</v>
      </c>
      <c r="F299" s="8"/>
      <c r="G299" s="8" t="s">
        <v>921</v>
      </c>
      <c r="H299" s="8"/>
      <c r="I299" s="174"/>
      <c r="J299" s="8" t="s">
        <v>684</v>
      </c>
      <c r="K299" s="8" t="s">
        <v>1352</v>
      </c>
      <c r="L299" s="8" t="s">
        <v>1353</v>
      </c>
      <c r="M299" s="8" t="str">
        <f t="shared" ref="M299:M300" si="109">CONCATENATE(K299," ",L299)</f>
        <v>ASCAZ AMBULATORIA</v>
      </c>
      <c r="N299" s="105" t="s">
        <v>3</v>
      </c>
      <c r="O299" s="102" t="s">
        <v>53</v>
      </c>
      <c r="P299" s="102" t="s">
        <v>153</v>
      </c>
      <c r="Q299" s="102" t="s">
        <v>153</v>
      </c>
      <c r="R299" s="8" t="s">
        <v>2</v>
      </c>
      <c r="S299" s="8" t="s">
        <v>52</v>
      </c>
      <c r="T299" s="8" t="s">
        <v>772</v>
      </c>
      <c r="U299" s="4">
        <v>15641</v>
      </c>
      <c r="V299" s="10">
        <f t="shared" ref="V299:V300" ca="1" si="110">YEAR($V$1)-YEAR(U299)</f>
        <v>76</v>
      </c>
      <c r="W299" s="8" t="s">
        <v>974</v>
      </c>
      <c r="X299" s="102" t="s">
        <v>1227</v>
      </c>
      <c r="Y299" s="8">
        <v>264</v>
      </c>
      <c r="Z299" s="8"/>
      <c r="AA299" s="8" t="s">
        <v>51</v>
      </c>
      <c r="AB299" s="8" t="s">
        <v>35</v>
      </c>
      <c r="AC299" s="8">
        <v>33391</v>
      </c>
      <c r="AD299" s="8">
        <v>670228420</v>
      </c>
      <c r="AE299" s="103" t="s">
        <v>1228</v>
      </c>
      <c r="AF299" s="8" t="s">
        <v>20</v>
      </c>
      <c r="AG299" s="8">
        <v>2048</v>
      </c>
      <c r="AH299" s="8" t="s">
        <v>49</v>
      </c>
      <c r="AI299" s="8">
        <v>67</v>
      </c>
      <c r="AJ299" s="8">
        <v>3400073282</v>
      </c>
      <c r="AK299" s="98"/>
      <c r="AL299" s="11"/>
      <c r="AM299" s="104">
        <v>10</v>
      </c>
    </row>
    <row r="300" spans="1:39" ht="15" customHeight="1" x14ac:dyDescent="0.25">
      <c r="A300" s="85">
        <v>300</v>
      </c>
      <c r="B300" s="93"/>
      <c r="C300" s="11"/>
      <c r="D300" s="8" t="s">
        <v>908</v>
      </c>
      <c r="E300" s="8" t="s">
        <v>839</v>
      </c>
      <c r="F300" s="8"/>
      <c r="G300" s="8" t="s">
        <v>921</v>
      </c>
      <c r="H300" s="8"/>
      <c r="I300" s="174"/>
      <c r="J300" s="8" t="s">
        <v>684</v>
      </c>
      <c r="K300" s="8" t="s">
        <v>1352</v>
      </c>
      <c r="L300" s="8" t="s">
        <v>1353</v>
      </c>
      <c r="M300" s="8" t="str">
        <f t="shared" si="109"/>
        <v>ASCAZ AMBULATORIA</v>
      </c>
      <c r="N300" s="8" t="s">
        <v>48</v>
      </c>
      <c r="O300" s="102" t="s">
        <v>1251</v>
      </c>
      <c r="P300" s="102" t="s">
        <v>1264</v>
      </c>
      <c r="Q300" s="102" t="s">
        <v>47</v>
      </c>
      <c r="R300" s="8" t="s">
        <v>2</v>
      </c>
      <c r="S300" s="8" t="s">
        <v>46</v>
      </c>
      <c r="T300" s="8" t="s">
        <v>753</v>
      </c>
      <c r="U300" s="4">
        <v>19945</v>
      </c>
      <c r="V300" s="10">
        <f t="shared" ca="1" si="110"/>
        <v>64</v>
      </c>
      <c r="W300" s="8"/>
      <c r="X300" s="102"/>
      <c r="Y300" s="8"/>
      <c r="Z300" s="8"/>
      <c r="AA300" s="8"/>
      <c r="AB300" s="8"/>
      <c r="AC300" s="8"/>
      <c r="AD300" s="8">
        <v>687720564</v>
      </c>
      <c r="AE300" s="103" t="s">
        <v>1229</v>
      </c>
      <c r="AF300" s="8"/>
      <c r="AG300" s="8"/>
      <c r="AH300" s="8"/>
      <c r="AI300" s="8"/>
      <c r="AJ300" s="8"/>
      <c r="AK300" s="98"/>
      <c r="AL300" s="11"/>
      <c r="AM300" s="104">
        <v>10</v>
      </c>
    </row>
    <row r="301" spans="1:39" ht="15" customHeight="1" x14ac:dyDescent="0.25">
      <c r="A301" s="85">
        <v>301</v>
      </c>
      <c r="B301" s="93"/>
      <c r="C301" s="94">
        <v>107</v>
      </c>
      <c r="D301" s="95"/>
      <c r="E301" s="9"/>
      <c r="F301" s="9"/>
      <c r="G301" s="9"/>
      <c r="H301" s="9"/>
      <c r="I301" s="9"/>
      <c r="J301" s="9"/>
      <c r="K301" s="9"/>
      <c r="L301" s="9"/>
      <c r="M301" s="106"/>
      <c r="N301" s="9"/>
      <c r="O301" s="107"/>
      <c r="P301" s="107"/>
      <c r="Q301" s="107"/>
      <c r="R301" s="9"/>
      <c r="S301" s="9"/>
      <c r="T301" s="9"/>
      <c r="U301" s="6"/>
      <c r="V301" s="9"/>
      <c r="W301" s="9"/>
      <c r="X301" s="107"/>
      <c r="Y301" s="9"/>
      <c r="Z301" s="9"/>
      <c r="AA301" s="9"/>
      <c r="AB301" s="9"/>
      <c r="AC301" s="9"/>
      <c r="AD301" s="9"/>
      <c r="AE301" s="108"/>
      <c r="AF301" s="9"/>
      <c r="AG301" s="9"/>
      <c r="AH301" s="9"/>
      <c r="AI301" s="9"/>
      <c r="AJ301" s="9"/>
      <c r="AK301" s="98"/>
      <c r="AL301" s="99">
        <v>30</v>
      </c>
      <c r="AM301" s="99"/>
    </row>
    <row r="302" spans="1:39" ht="15" customHeight="1" x14ac:dyDescent="0.25">
      <c r="A302" s="85">
        <v>302</v>
      </c>
      <c r="B302" s="93"/>
      <c r="C302" s="11"/>
      <c r="D302" s="8" t="s">
        <v>909</v>
      </c>
      <c r="E302" s="8" t="s">
        <v>839</v>
      </c>
      <c r="F302" s="8"/>
      <c r="G302" s="8" t="s">
        <v>921</v>
      </c>
      <c r="H302" s="8"/>
      <c r="I302" s="101"/>
      <c r="J302" s="8" t="s">
        <v>684</v>
      </c>
      <c r="K302" s="8" t="s">
        <v>1352</v>
      </c>
      <c r="L302" s="8" t="s">
        <v>1353</v>
      </c>
      <c r="M302" s="8" t="str">
        <f>CONCATENATE(K302," ",L302)</f>
        <v>ASCAZ AMBULATORIA</v>
      </c>
      <c r="N302" s="105" t="s">
        <v>3</v>
      </c>
      <c r="O302" s="102" t="s">
        <v>1250</v>
      </c>
      <c r="P302" s="102" t="s">
        <v>39</v>
      </c>
      <c r="Q302" s="102" t="s">
        <v>153</v>
      </c>
      <c r="R302" s="8" t="s">
        <v>2</v>
      </c>
      <c r="S302" s="8" t="s">
        <v>38</v>
      </c>
      <c r="T302" s="8" t="s">
        <v>753</v>
      </c>
      <c r="U302" s="4">
        <v>20781</v>
      </c>
      <c r="V302" s="10">
        <f ca="1">YEAR($V$1)-YEAR(U302)</f>
        <v>62</v>
      </c>
      <c r="W302" s="8" t="s">
        <v>1</v>
      </c>
      <c r="X302" s="102" t="s">
        <v>37</v>
      </c>
      <c r="Y302" s="8">
        <v>1</v>
      </c>
      <c r="Z302" s="8" t="s">
        <v>36</v>
      </c>
      <c r="AA302" s="8" t="s">
        <v>0</v>
      </c>
      <c r="AB302" s="8" t="s">
        <v>35</v>
      </c>
      <c r="AC302" s="8">
        <v>33208</v>
      </c>
      <c r="AD302" s="8">
        <v>638914688</v>
      </c>
      <c r="AE302" s="103" t="s">
        <v>34</v>
      </c>
      <c r="AF302" s="8" t="s">
        <v>33</v>
      </c>
      <c r="AG302" s="8" t="s">
        <v>32</v>
      </c>
      <c r="AH302" s="8" t="s">
        <v>31</v>
      </c>
      <c r="AI302" s="8">
        <v>18</v>
      </c>
      <c r="AJ302" s="8" t="s">
        <v>30</v>
      </c>
      <c r="AK302" s="98"/>
      <c r="AL302" s="11"/>
      <c r="AM302" s="104">
        <v>10</v>
      </c>
    </row>
    <row r="303" spans="1:39" ht="15" customHeight="1" x14ac:dyDescent="0.25">
      <c r="A303" s="85">
        <v>303</v>
      </c>
      <c r="B303" s="93"/>
      <c r="C303" s="94">
        <v>108</v>
      </c>
      <c r="D303" s="95"/>
      <c r="E303" s="9"/>
      <c r="F303" s="9"/>
      <c r="G303" s="9"/>
      <c r="H303" s="9"/>
      <c r="I303" s="9"/>
      <c r="J303" s="9"/>
      <c r="K303" s="9"/>
      <c r="L303" s="9"/>
      <c r="M303" s="106"/>
      <c r="N303" s="9"/>
      <c r="O303" s="107"/>
      <c r="P303" s="107"/>
      <c r="Q303" s="107"/>
      <c r="R303" s="9"/>
      <c r="S303" s="9"/>
      <c r="T303" s="9"/>
      <c r="U303" s="6"/>
      <c r="V303" s="9"/>
      <c r="W303" s="9"/>
      <c r="X303" s="107"/>
      <c r="Y303" s="9"/>
      <c r="Z303" s="9"/>
      <c r="AA303" s="9"/>
      <c r="AB303" s="9"/>
      <c r="AC303" s="9"/>
      <c r="AD303" s="9"/>
      <c r="AE303" s="108"/>
      <c r="AF303" s="9"/>
      <c r="AG303" s="9"/>
      <c r="AH303" s="9"/>
      <c r="AI303" s="9"/>
      <c r="AJ303" s="9"/>
      <c r="AK303" s="98"/>
      <c r="AL303" s="99">
        <v>30</v>
      </c>
      <c r="AM303" s="99"/>
    </row>
    <row r="304" spans="1:39" ht="15" customHeight="1" x14ac:dyDescent="0.25">
      <c r="A304" s="85">
        <v>304</v>
      </c>
      <c r="B304" s="93"/>
      <c r="C304" s="11"/>
      <c r="D304" s="8" t="s">
        <v>912</v>
      </c>
      <c r="E304" s="8" t="s">
        <v>839</v>
      </c>
      <c r="F304" s="8"/>
      <c r="G304" s="8" t="s">
        <v>921</v>
      </c>
      <c r="H304" s="8"/>
      <c r="I304" s="174"/>
      <c r="J304" s="8" t="s">
        <v>684</v>
      </c>
      <c r="K304" s="8" t="s">
        <v>1352</v>
      </c>
      <c r="L304" s="8" t="s">
        <v>1353</v>
      </c>
      <c r="M304" s="8" t="str">
        <f>CONCATENATE(K304," ",L304)</f>
        <v>ASCAZ AMBULATORIA</v>
      </c>
      <c r="N304" s="105" t="s">
        <v>3</v>
      </c>
      <c r="O304" s="102" t="s">
        <v>25</v>
      </c>
      <c r="P304" s="102" t="s">
        <v>1069</v>
      </c>
      <c r="Q304" s="102" t="s">
        <v>24</v>
      </c>
      <c r="R304" s="8" t="s">
        <v>2</v>
      </c>
      <c r="S304" s="8" t="s">
        <v>23</v>
      </c>
      <c r="T304" s="8" t="s">
        <v>772</v>
      </c>
      <c r="U304" s="4">
        <v>26821</v>
      </c>
      <c r="V304" s="10">
        <f ca="1">YEAR($V$1)-YEAR(U304)</f>
        <v>45</v>
      </c>
      <c r="W304" s="8" t="s">
        <v>1</v>
      </c>
      <c r="X304" s="102" t="s">
        <v>1230</v>
      </c>
      <c r="Y304" s="8">
        <v>53</v>
      </c>
      <c r="Z304" s="8" t="s">
        <v>22</v>
      </c>
      <c r="AA304" s="8" t="s">
        <v>0</v>
      </c>
      <c r="AB304" s="8" t="s">
        <v>35</v>
      </c>
      <c r="AC304" s="8">
        <v>33209</v>
      </c>
      <c r="AD304" s="8">
        <v>699386651</v>
      </c>
      <c r="AE304" s="103" t="s">
        <v>1231</v>
      </c>
      <c r="AF304" s="8" t="s">
        <v>20</v>
      </c>
      <c r="AG304" s="8" t="s">
        <v>19</v>
      </c>
      <c r="AH304" s="8">
        <v>6247</v>
      </c>
      <c r="AI304" s="8">
        <v>10</v>
      </c>
      <c r="AJ304" s="8">
        <v>2116062064</v>
      </c>
      <c r="AK304" s="98"/>
      <c r="AL304" s="11"/>
      <c r="AM304" s="104">
        <v>10</v>
      </c>
    </row>
    <row r="305" spans="1:41" ht="15" customHeight="1" x14ac:dyDescent="0.25">
      <c r="A305" s="85">
        <v>305</v>
      </c>
      <c r="B305" s="93"/>
      <c r="C305" s="94">
        <v>109</v>
      </c>
      <c r="D305" s="95"/>
      <c r="E305" s="9"/>
      <c r="F305" s="9"/>
      <c r="G305" s="9"/>
      <c r="H305" s="9"/>
      <c r="I305" s="9"/>
      <c r="J305" s="9"/>
      <c r="K305" s="9"/>
      <c r="L305" s="9"/>
      <c r="M305" s="106"/>
      <c r="N305" s="9"/>
      <c r="O305" s="107"/>
      <c r="P305" s="107"/>
      <c r="Q305" s="107"/>
      <c r="R305" s="9"/>
      <c r="S305" s="9"/>
      <c r="T305" s="9"/>
      <c r="U305" s="6"/>
      <c r="V305" s="9"/>
      <c r="W305" s="9"/>
      <c r="X305" s="107"/>
      <c r="Y305" s="9"/>
      <c r="Z305" s="9"/>
      <c r="AA305" s="9"/>
      <c r="AB305" s="9"/>
      <c r="AC305" s="9"/>
      <c r="AD305" s="9"/>
      <c r="AE305" s="108"/>
      <c r="AF305" s="9"/>
      <c r="AG305" s="9"/>
      <c r="AH305" s="9"/>
      <c r="AI305" s="9"/>
      <c r="AJ305" s="9"/>
      <c r="AK305" s="98"/>
      <c r="AL305" s="99">
        <v>30</v>
      </c>
      <c r="AM305" s="99"/>
    </row>
    <row r="306" spans="1:41" ht="15" customHeight="1" x14ac:dyDescent="0.25">
      <c r="A306" s="85">
        <v>306</v>
      </c>
      <c r="B306" s="93"/>
      <c r="C306" s="11"/>
      <c r="D306" s="8" t="s">
        <v>913</v>
      </c>
      <c r="E306" s="8" t="s">
        <v>839</v>
      </c>
      <c r="F306" s="8"/>
      <c r="G306" s="8" t="s">
        <v>921</v>
      </c>
      <c r="H306" s="8"/>
      <c r="I306" s="174"/>
      <c r="J306" s="8" t="s">
        <v>684</v>
      </c>
      <c r="K306" s="8" t="s">
        <v>1352</v>
      </c>
      <c r="L306" s="8" t="s">
        <v>1353</v>
      </c>
      <c r="M306" s="8" t="str">
        <f>CONCATENATE(K306," ",L306)</f>
        <v>ASCAZ AMBULATORIA</v>
      </c>
      <c r="N306" s="105" t="s">
        <v>3</v>
      </c>
      <c r="O306" s="102" t="s">
        <v>1253</v>
      </c>
      <c r="P306" s="102" t="s">
        <v>12</v>
      </c>
      <c r="Q306" s="102" t="s">
        <v>334</v>
      </c>
      <c r="R306" s="8" t="s">
        <v>2</v>
      </c>
      <c r="S306" s="8" t="s">
        <v>11</v>
      </c>
      <c r="T306" s="8" t="s">
        <v>753</v>
      </c>
      <c r="U306" s="4">
        <v>19286</v>
      </c>
      <c r="V306" s="10">
        <f ca="1">YEAR($V$1)-YEAR(U306)</f>
        <v>66</v>
      </c>
      <c r="W306" s="8" t="s">
        <v>1</v>
      </c>
      <c r="X306" s="102" t="s">
        <v>10</v>
      </c>
      <c r="Y306" s="8">
        <v>4</v>
      </c>
      <c r="Z306" s="8" t="s">
        <v>9</v>
      </c>
      <c r="AA306" s="8" t="s">
        <v>0</v>
      </c>
      <c r="AB306" s="8" t="s">
        <v>8</v>
      </c>
      <c r="AC306" s="8">
        <v>33008</v>
      </c>
      <c r="AD306" s="8">
        <v>696163029</v>
      </c>
      <c r="AE306" s="103" t="s">
        <v>1173</v>
      </c>
      <c r="AF306" s="8" t="s">
        <v>6</v>
      </c>
      <c r="AG306" s="8">
        <v>2048</v>
      </c>
      <c r="AH306" s="8" t="s">
        <v>5</v>
      </c>
      <c r="AI306" s="8" t="s">
        <v>4</v>
      </c>
      <c r="AJ306" s="8">
        <v>3000047252</v>
      </c>
      <c r="AK306" s="98"/>
      <c r="AL306" s="11"/>
      <c r="AM306" s="104">
        <v>10</v>
      </c>
    </row>
    <row r="307" spans="1:41" ht="15" customHeight="1" x14ac:dyDescent="0.25">
      <c r="A307" s="85">
        <v>307</v>
      </c>
      <c r="B307" s="93"/>
      <c r="C307" s="94" t="s">
        <v>1300</v>
      </c>
      <c r="D307" s="95"/>
      <c r="E307" s="9"/>
      <c r="F307" s="9"/>
      <c r="G307" s="9"/>
      <c r="H307" s="9"/>
      <c r="I307" s="9"/>
      <c r="J307" s="9"/>
      <c r="K307" s="9"/>
      <c r="L307" s="9"/>
      <c r="M307" s="106"/>
      <c r="N307" s="9"/>
      <c r="O307" s="107"/>
      <c r="P307" s="107"/>
      <c r="Q307" s="107"/>
      <c r="R307" s="9"/>
      <c r="S307" s="9"/>
      <c r="T307" s="9"/>
      <c r="U307" s="6"/>
      <c r="V307" s="9"/>
      <c r="W307" s="9"/>
      <c r="X307" s="107"/>
      <c r="Y307" s="9"/>
      <c r="Z307" s="9"/>
      <c r="AA307" s="9"/>
      <c r="AB307" s="9"/>
      <c r="AC307" s="9"/>
      <c r="AD307" s="9"/>
      <c r="AE307" s="108"/>
      <c r="AF307" s="9"/>
      <c r="AG307" s="9"/>
      <c r="AH307" s="9"/>
      <c r="AI307" s="9"/>
      <c r="AJ307" s="9"/>
      <c r="AK307" s="98"/>
      <c r="AL307" s="99">
        <v>30</v>
      </c>
      <c r="AM307" s="99"/>
    </row>
    <row r="308" spans="1:41" ht="15" customHeight="1" x14ac:dyDescent="0.25">
      <c r="A308" s="85">
        <v>308</v>
      </c>
      <c r="B308" s="93"/>
      <c r="C308" s="11"/>
      <c r="D308" s="8" t="s">
        <v>1303</v>
      </c>
      <c r="E308" s="8" t="s">
        <v>684</v>
      </c>
      <c r="F308" s="8" t="s">
        <v>683</v>
      </c>
      <c r="G308" s="8" t="s">
        <v>1301</v>
      </c>
      <c r="H308" s="8"/>
      <c r="I308" s="174"/>
      <c r="J308" s="8" t="s">
        <v>684</v>
      </c>
      <c r="K308" s="8" t="s">
        <v>1359</v>
      </c>
      <c r="L308" s="8" t="s">
        <v>1354</v>
      </c>
      <c r="M308" s="8" t="str">
        <f>CONCATENATE(K308," ",L308)</f>
        <v>ZITRON-ASCAZ HOSPITALARIA</v>
      </c>
      <c r="N308" s="105" t="s">
        <v>3</v>
      </c>
      <c r="O308" s="102" t="s">
        <v>1302</v>
      </c>
      <c r="P308" s="102" t="s">
        <v>334</v>
      </c>
      <c r="Q308" s="102" t="s">
        <v>462</v>
      </c>
      <c r="R308" s="8" t="s">
        <v>2</v>
      </c>
      <c r="S308" s="8" t="s">
        <v>1304</v>
      </c>
      <c r="T308" s="8" t="s">
        <v>753</v>
      </c>
      <c r="U308" s="4">
        <v>27499</v>
      </c>
      <c r="V308" s="10">
        <f ca="1">YEAR($V$1)-YEAR(U308)</f>
        <v>43</v>
      </c>
      <c r="W308" s="8" t="s">
        <v>196</v>
      </c>
      <c r="X308" s="102" t="s">
        <v>1305</v>
      </c>
      <c r="Y308" s="8" t="s">
        <v>1306</v>
      </c>
      <c r="Z308" s="8" t="s">
        <v>1307</v>
      </c>
      <c r="AA308" s="8" t="s">
        <v>0</v>
      </c>
      <c r="AB308" s="8" t="s">
        <v>8</v>
      </c>
      <c r="AC308" s="8" t="s">
        <v>1308</v>
      </c>
      <c r="AD308" s="8" t="s">
        <v>1309</v>
      </c>
      <c r="AE308" s="117" t="s">
        <v>1310</v>
      </c>
      <c r="AF308" s="8" t="s">
        <v>457</v>
      </c>
      <c r="AG308" s="8" t="s">
        <v>14</v>
      </c>
      <c r="AH308" s="8" t="s">
        <v>1311</v>
      </c>
      <c r="AI308" s="8" t="s">
        <v>1312</v>
      </c>
      <c r="AJ308" s="8" t="s">
        <v>1313</v>
      </c>
      <c r="AK308" s="98"/>
      <c r="AL308" s="11"/>
      <c r="AM308" s="104">
        <v>10</v>
      </c>
    </row>
    <row r="309" spans="1:41" ht="15" customHeight="1" x14ac:dyDescent="0.25">
      <c r="A309" s="85">
        <v>307</v>
      </c>
      <c r="B309" s="93"/>
      <c r="C309" s="94" t="s">
        <v>1319</v>
      </c>
      <c r="D309" s="95"/>
      <c r="E309" s="9"/>
      <c r="F309" s="9"/>
      <c r="G309" s="9"/>
      <c r="H309" s="9"/>
      <c r="I309" s="9"/>
      <c r="J309" s="9"/>
      <c r="K309" s="9"/>
      <c r="L309" s="9"/>
      <c r="M309" s="106"/>
      <c r="N309" s="9"/>
      <c r="O309" s="107"/>
      <c r="P309" s="107"/>
      <c r="Q309" s="107"/>
      <c r="R309" s="9"/>
      <c r="S309" s="9"/>
      <c r="T309" s="9"/>
      <c r="U309" s="6"/>
      <c r="V309" s="9"/>
      <c r="W309" s="9"/>
      <c r="X309" s="107"/>
      <c r="Y309" s="9"/>
      <c r="Z309" s="9"/>
      <c r="AA309" s="9"/>
      <c r="AB309" s="9"/>
      <c r="AC309" s="9"/>
      <c r="AD309" s="9"/>
      <c r="AE309" s="108"/>
      <c r="AF309" s="9"/>
      <c r="AG309" s="9"/>
      <c r="AH309" s="9"/>
      <c r="AI309" s="9"/>
      <c r="AJ309" s="9"/>
      <c r="AK309" s="98"/>
      <c r="AL309" s="99">
        <v>30</v>
      </c>
      <c r="AM309" s="99"/>
    </row>
    <row r="310" spans="1:41" ht="15" customHeight="1" x14ac:dyDescent="0.25">
      <c r="A310" s="85">
        <v>308</v>
      </c>
      <c r="B310" s="93"/>
      <c r="C310" s="11"/>
      <c r="D310" s="8" t="s">
        <v>1320</v>
      </c>
      <c r="E310" s="8" t="s">
        <v>839</v>
      </c>
      <c r="F310" s="8" t="s">
        <v>843</v>
      </c>
      <c r="G310" s="8" t="s">
        <v>1321</v>
      </c>
      <c r="H310" s="8"/>
      <c r="I310" s="174"/>
      <c r="J310" s="8" t="s">
        <v>684</v>
      </c>
      <c r="K310" s="8" t="s">
        <v>1352</v>
      </c>
      <c r="L310" s="8" t="s">
        <v>1354</v>
      </c>
      <c r="M310" s="8" t="str">
        <f>CONCATENATE(K310," ",L310)</f>
        <v>ASCAZ HOSPITALARIA</v>
      </c>
      <c r="N310" s="105" t="s">
        <v>3</v>
      </c>
      <c r="O310" s="102" t="s">
        <v>1322</v>
      </c>
      <c r="P310" s="102" t="s">
        <v>1323</v>
      </c>
      <c r="Q310" s="102" t="s">
        <v>199</v>
      </c>
      <c r="R310" s="8" t="s">
        <v>2</v>
      </c>
      <c r="S310" s="8" t="s">
        <v>1324</v>
      </c>
      <c r="T310" s="8" t="s">
        <v>772</v>
      </c>
      <c r="U310" s="4">
        <v>27749</v>
      </c>
      <c r="V310" s="10">
        <f ca="1">YEAR($V$1)-YEAR(U310)</f>
        <v>43</v>
      </c>
      <c r="W310" s="8" t="s">
        <v>1</v>
      </c>
      <c r="X310" s="102" t="s">
        <v>1325</v>
      </c>
      <c r="Y310" s="8" t="s">
        <v>1306</v>
      </c>
      <c r="Z310" s="8" t="s">
        <v>296</v>
      </c>
      <c r="AA310" s="8" t="s">
        <v>0</v>
      </c>
      <c r="AB310" s="8" t="s">
        <v>35</v>
      </c>
      <c r="AC310" s="8" t="s">
        <v>1326</v>
      </c>
      <c r="AD310" s="8" t="s">
        <v>1327</v>
      </c>
      <c r="AE310" s="117" t="s">
        <v>1328</v>
      </c>
      <c r="AF310" s="8" t="s">
        <v>1329</v>
      </c>
      <c r="AG310" s="8" t="s">
        <v>32</v>
      </c>
      <c r="AH310" s="8" t="s">
        <v>1330</v>
      </c>
      <c r="AI310" s="8" t="s">
        <v>1332</v>
      </c>
      <c r="AJ310" s="8" t="s">
        <v>1331</v>
      </c>
      <c r="AK310" s="98"/>
      <c r="AL310" s="11"/>
      <c r="AM310" s="104">
        <v>10</v>
      </c>
    </row>
    <row r="311" spans="1:41" ht="15" customHeight="1" x14ac:dyDescent="0.25">
      <c r="B311" s="119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0"/>
      <c r="P311" s="120"/>
      <c r="Q311" s="120"/>
      <c r="R311" s="11"/>
      <c r="S311" s="11"/>
      <c r="T311" s="11"/>
      <c r="U311" s="7"/>
      <c r="V311" s="11"/>
      <c r="W311" s="11"/>
      <c r="X311" s="120"/>
      <c r="Y311" s="11"/>
      <c r="Z311" s="11"/>
      <c r="AA311" s="11"/>
      <c r="AB311" s="11"/>
      <c r="AC311" s="11"/>
      <c r="AD311" s="11"/>
      <c r="AF311" s="121"/>
      <c r="AG311" s="121"/>
      <c r="AH311" s="121"/>
      <c r="AI311" s="121"/>
      <c r="AJ311" s="121"/>
      <c r="AK311" s="98"/>
      <c r="AL311" s="11"/>
      <c r="AM311" s="11"/>
    </row>
    <row r="312" spans="1:41" ht="15" customHeight="1" x14ac:dyDescent="0.25">
      <c r="B312" s="119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0"/>
      <c r="P312" s="120"/>
      <c r="Q312" s="120"/>
      <c r="R312" s="11"/>
      <c r="S312" s="11"/>
      <c r="T312" s="11"/>
      <c r="U312" s="7"/>
      <c r="V312" s="11"/>
      <c r="W312" s="11"/>
      <c r="X312" s="120"/>
      <c r="Y312" s="11"/>
      <c r="Z312" s="11"/>
      <c r="AA312" s="11"/>
      <c r="AB312" s="11"/>
      <c r="AC312" s="11"/>
      <c r="AD312" s="11"/>
      <c r="AK312" s="98"/>
      <c r="AL312" s="11"/>
      <c r="AM312" s="11"/>
    </row>
    <row r="313" spans="1:41" ht="15" customHeight="1" x14ac:dyDescent="0.25">
      <c r="B313" s="119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0"/>
      <c r="P313" s="120"/>
      <c r="Q313" s="120"/>
      <c r="R313" s="11"/>
      <c r="S313" s="11"/>
      <c r="T313" s="11"/>
      <c r="U313" s="7"/>
      <c r="V313" s="11"/>
      <c r="W313" s="11"/>
      <c r="X313" s="120"/>
      <c r="Y313" s="11"/>
      <c r="Z313" s="11"/>
      <c r="AA313" s="11"/>
      <c r="AB313" s="11"/>
      <c r="AC313" s="11"/>
      <c r="AD313" s="11"/>
      <c r="AK313" s="98"/>
      <c r="AL313" s="11">
        <f>SUM(AL2:AL312)</f>
        <v>2580</v>
      </c>
      <c r="AM313" s="11">
        <f>SUM(AM2:AM310)</f>
        <v>1980</v>
      </c>
      <c r="AO313" s="12">
        <f>SUM(AL313:AN313)</f>
        <v>4560</v>
      </c>
    </row>
    <row r="314" spans="1:41" ht="15" customHeight="1" x14ac:dyDescent="0.25">
      <c r="B314" s="119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0"/>
      <c r="P314" s="120"/>
      <c r="Q314" s="120"/>
      <c r="R314" s="11"/>
      <c r="S314" s="11"/>
      <c r="T314" s="11"/>
      <c r="U314" s="7"/>
      <c r="V314" s="11"/>
      <c r="W314" s="11"/>
      <c r="X314" s="120"/>
      <c r="Y314" s="11"/>
      <c r="Z314" s="11"/>
      <c r="AA314" s="11"/>
      <c r="AB314" s="11"/>
      <c r="AC314" s="11"/>
      <c r="AD314" s="11"/>
      <c r="AK314" s="98"/>
      <c r="AL314" s="11"/>
      <c r="AM314" s="11"/>
    </row>
    <row r="315" spans="1:41" ht="15" customHeight="1" x14ac:dyDescent="0.25">
      <c r="B315" s="119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0"/>
      <c r="P315" s="120"/>
      <c r="Q315" s="120"/>
      <c r="R315" s="11"/>
      <c r="S315" s="11"/>
      <c r="T315" s="11"/>
      <c r="U315" s="7"/>
      <c r="V315" s="11"/>
      <c r="W315" s="11"/>
      <c r="X315" s="120"/>
      <c r="Y315" s="11"/>
      <c r="Z315" s="11"/>
      <c r="AA315" s="11"/>
      <c r="AB315" s="11"/>
      <c r="AC315" s="11"/>
      <c r="AD315" s="11"/>
      <c r="AK315" s="98"/>
      <c r="AL315" s="11"/>
      <c r="AM315" s="11"/>
    </row>
    <row r="316" spans="1:41" ht="15" customHeight="1" x14ac:dyDescent="0.25">
      <c r="B316" s="119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0"/>
      <c r="P316" s="120"/>
      <c r="Q316" s="120"/>
      <c r="R316" s="11"/>
      <c r="S316" s="11"/>
      <c r="T316" s="11"/>
      <c r="U316" s="7"/>
      <c r="V316" s="11"/>
      <c r="W316" s="11"/>
      <c r="X316" s="120"/>
      <c r="Y316" s="11"/>
      <c r="Z316" s="11"/>
      <c r="AA316" s="11"/>
      <c r="AB316" s="11"/>
      <c r="AC316" s="11"/>
      <c r="AD316" s="11"/>
      <c r="AK316" s="98"/>
      <c r="AL316" s="11"/>
      <c r="AM316" s="11"/>
    </row>
    <row r="317" spans="1:41" ht="15" customHeight="1" x14ac:dyDescent="0.25">
      <c r="B317" s="119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0"/>
      <c r="P317" s="120"/>
      <c r="Q317" s="120"/>
      <c r="R317" s="11"/>
      <c r="S317" s="11"/>
      <c r="T317" s="11"/>
      <c r="U317" s="7"/>
      <c r="V317" s="11"/>
      <c r="W317" s="11"/>
      <c r="X317" s="120"/>
      <c r="Y317" s="11"/>
      <c r="Z317" s="11"/>
      <c r="AA317" s="11"/>
      <c r="AB317" s="11"/>
      <c r="AC317" s="11"/>
      <c r="AD317" s="11"/>
      <c r="AK317" s="98"/>
      <c r="AL317" s="11"/>
      <c r="AM317" s="11"/>
    </row>
  </sheetData>
  <autoFilter ref="A1:AJ310"/>
  <mergeCells count="2">
    <mergeCell ref="Q101:R101"/>
    <mergeCell ref="K1:M1"/>
  </mergeCells>
  <hyperlinks>
    <hyperlink ref="AE197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s="1" t="s">
        <v>211</v>
      </c>
    </row>
    <row r="2" spans="1:1" x14ac:dyDescent="0.25">
      <c r="A2" s="1" t="s">
        <v>204</v>
      </c>
    </row>
    <row r="3" spans="1:1" x14ac:dyDescent="0.25">
      <c r="A3" s="1" t="s">
        <v>506</v>
      </c>
    </row>
    <row r="4" spans="1:1" x14ac:dyDescent="0.25">
      <c r="A4" s="1" t="s">
        <v>674</v>
      </c>
    </row>
    <row r="5" spans="1:1" x14ac:dyDescent="0.25">
      <c r="A5" s="1" t="s">
        <v>670</v>
      </c>
    </row>
    <row r="6" spans="1:1" x14ac:dyDescent="0.25">
      <c r="A6" s="1" t="s">
        <v>665</v>
      </c>
    </row>
    <row r="7" spans="1:1" x14ac:dyDescent="0.25">
      <c r="A7" s="1" t="s">
        <v>654</v>
      </c>
    </row>
    <row r="8" spans="1:1" x14ac:dyDescent="0.25">
      <c r="A8" s="1" t="s">
        <v>650</v>
      </c>
    </row>
    <row r="9" spans="1:1" x14ac:dyDescent="0.25">
      <c r="A9" s="1" t="s">
        <v>640</v>
      </c>
    </row>
    <row r="10" spans="1:1" x14ac:dyDescent="0.25">
      <c r="A10" s="1" t="s">
        <v>633</v>
      </c>
    </row>
    <row r="11" spans="1:1" x14ac:dyDescent="0.25">
      <c r="A11" s="1" t="s">
        <v>629</v>
      </c>
    </row>
    <row r="12" spans="1:1" x14ac:dyDescent="0.25">
      <c r="A12" s="1" t="s">
        <v>928</v>
      </c>
    </row>
    <row r="13" spans="1:1" x14ac:dyDescent="0.25">
      <c r="A13" s="1" t="s">
        <v>406</v>
      </c>
    </row>
    <row r="14" spans="1:1" x14ac:dyDescent="0.25">
      <c r="A14" s="1" t="s">
        <v>619</v>
      </c>
    </row>
    <row r="15" spans="1:1" x14ac:dyDescent="0.25">
      <c r="A15" s="1" t="s">
        <v>364</v>
      </c>
    </row>
    <row r="16" spans="1:1" x14ac:dyDescent="0.25">
      <c r="A16" s="1" t="s">
        <v>610</v>
      </c>
    </row>
    <row r="17" spans="1:1" x14ac:dyDescent="0.25">
      <c r="A17" s="1" t="s">
        <v>796</v>
      </c>
    </row>
    <row r="18" spans="1:1" x14ac:dyDescent="0.25">
      <c r="A18" s="1" t="s">
        <v>601</v>
      </c>
    </row>
    <row r="19" spans="1:1" x14ac:dyDescent="0.25">
      <c r="A19" s="1" t="s">
        <v>513</v>
      </c>
    </row>
    <row r="20" spans="1:1" x14ac:dyDescent="0.25">
      <c r="A20" s="1" t="s">
        <v>598</v>
      </c>
    </row>
    <row r="21" spans="1:1" x14ac:dyDescent="0.25">
      <c r="A21" s="1" t="s">
        <v>595</v>
      </c>
    </row>
    <row r="22" spans="1:1" x14ac:dyDescent="0.25">
      <c r="A22" s="1" t="s">
        <v>592</v>
      </c>
    </row>
    <row r="23" spans="1:1" x14ac:dyDescent="0.25">
      <c r="A23" s="1" t="s">
        <v>92</v>
      </c>
    </row>
    <row r="24" spans="1:1" x14ac:dyDescent="0.25">
      <c r="A24" s="1" t="s">
        <v>697</v>
      </c>
    </row>
    <row r="25" spans="1:1" x14ac:dyDescent="0.25">
      <c r="A25" s="1" t="s">
        <v>739</v>
      </c>
    </row>
    <row r="26" spans="1:1" x14ac:dyDescent="0.25">
      <c r="A26" s="1" t="s">
        <v>581</v>
      </c>
    </row>
    <row r="27" spans="1:1" x14ac:dyDescent="0.25">
      <c r="A27" s="1" t="s">
        <v>263</v>
      </c>
    </row>
    <row r="28" spans="1:1" x14ac:dyDescent="0.25">
      <c r="A28" s="1" t="s">
        <v>265</v>
      </c>
    </row>
    <row r="29" spans="1:1" x14ac:dyDescent="0.25">
      <c r="A29" s="1" t="s">
        <v>578</v>
      </c>
    </row>
    <row r="30" spans="1:1" x14ac:dyDescent="0.25">
      <c r="A30" s="1" t="s">
        <v>576</v>
      </c>
    </row>
    <row r="31" spans="1:1" x14ac:dyDescent="0.25">
      <c r="A31" s="1" t="s">
        <v>254</v>
      </c>
    </row>
    <row r="32" spans="1:1" x14ac:dyDescent="0.25">
      <c r="A32" s="1" t="s">
        <v>251</v>
      </c>
    </row>
    <row r="33" spans="1:1" x14ac:dyDescent="0.25">
      <c r="A33" s="1" t="s">
        <v>499</v>
      </c>
    </row>
    <row r="34" spans="1:1" x14ac:dyDescent="0.25">
      <c r="A34" s="1" t="s">
        <v>572</v>
      </c>
    </row>
    <row r="35" spans="1:1" x14ac:dyDescent="0.25">
      <c r="A35" s="1" t="s">
        <v>497</v>
      </c>
    </row>
    <row r="36" spans="1:1" x14ac:dyDescent="0.25">
      <c r="A36" s="1" t="s">
        <v>523</v>
      </c>
    </row>
    <row r="37" spans="1:1" x14ac:dyDescent="0.25">
      <c r="A37" s="1" t="s">
        <v>566</v>
      </c>
    </row>
    <row r="38" spans="1:1" x14ac:dyDescent="0.25">
      <c r="A38" s="1" t="s">
        <v>561</v>
      </c>
    </row>
    <row r="39" spans="1:1" x14ac:dyDescent="0.25">
      <c r="A39" s="1" t="s">
        <v>556</v>
      </c>
    </row>
    <row r="40" spans="1:1" x14ac:dyDescent="0.25">
      <c r="A40" s="1" t="s">
        <v>551</v>
      </c>
    </row>
    <row r="41" spans="1:1" x14ac:dyDescent="0.25">
      <c r="A41" s="1" t="s">
        <v>549</v>
      </c>
    </row>
    <row r="42" spans="1:1" x14ac:dyDescent="0.25">
      <c r="A42" s="1" t="s">
        <v>547</v>
      </c>
    </row>
    <row r="43" spans="1:1" x14ac:dyDescent="0.25">
      <c r="A43" s="1" t="s">
        <v>545</v>
      </c>
    </row>
    <row r="44" spans="1:1" x14ac:dyDescent="0.25">
      <c r="A44" s="1" t="s">
        <v>543</v>
      </c>
    </row>
    <row r="45" spans="1:1" x14ac:dyDescent="0.25">
      <c r="A45" s="1" t="s">
        <v>541</v>
      </c>
    </row>
    <row r="46" spans="1:1" x14ac:dyDescent="0.25">
      <c r="A46" s="1" t="s">
        <v>492</v>
      </c>
    </row>
    <row r="47" spans="1:1" x14ac:dyDescent="0.25">
      <c r="A47" s="1" t="s">
        <v>537</v>
      </c>
    </row>
    <row r="48" spans="1:1" x14ac:dyDescent="0.25">
      <c r="A48" s="1" t="s">
        <v>495</v>
      </c>
    </row>
    <row r="49" spans="1:1" x14ac:dyDescent="0.25">
      <c r="A49" s="1" t="s">
        <v>347</v>
      </c>
    </row>
    <row r="50" spans="1:1" x14ac:dyDescent="0.25">
      <c r="A50" s="1" t="s">
        <v>774</v>
      </c>
    </row>
    <row r="51" spans="1:1" x14ac:dyDescent="0.25">
      <c r="A51" s="1" t="s">
        <v>778</v>
      </c>
    </row>
    <row r="52" spans="1:1" x14ac:dyDescent="0.25">
      <c r="A52" s="1" t="s">
        <v>786</v>
      </c>
    </row>
    <row r="53" spans="1:1" x14ac:dyDescent="0.25">
      <c r="A53" s="1" t="s">
        <v>792</v>
      </c>
    </row>
    <row r="54" spans="1:1" x14ac:dyDescent="0.25">
      <c r="A54" s="1" t="s">
        <v>693</v>
      </c>
    </row>
    <row r="55" spans="1:1" x14ac:dyDescent="0.25">
      <c r="A55" s="1" t="s">
        <v>483</v>
      </c>
    </row>
    <row r="56" spans="1:1" x14ac:dyDescent="0.25">
      <c r="A56" s="1" t="s">
        <v>477</v>
      </c>
    </row>
    <row r="57" spans="1:1" x14ac:dyDescent="0.25">
      <c r="A57" t="s">
        <v>927</v>
      </c>
    </row>
    <row r="58" spans="1:1" x14ac:dyDescent="0.25">
      <c r="A58" s="1" t="s">
        <v>466</v>
      </c>
    </row>
    <row r="59" spans="1:1" x14ac:dyDescent="0.25">
      <c r="A59" s="1" t="s">
        <v>458</v>
      </c>
    </row>
    <row r="60" spans="1:1" x14ac:dyDescent="0.25">
      <c r="A60" s="1" t="s">
        <v>451</v>
      </c>
    </row>
    <row r="61" spans="1:1" x14ac:dyDescent="0.25">
      <c r="A61" s="1" t="s">
        <v>929</v>
      </c>
    </row>
    <row r="62" spans="1:1" x14ac:dyDescent="0.25">
      <c r="A62" s="1" t="s">
        <v>439</v>
      </c>
    </row>
    <row r="63" spans="1:1" x14ac:dyDescent="0.25">
      <c r="A63" s="1" t="s">
        <v>432</v>
      </c>
    </row>
    <row r="64" spans="1:1" x14ac:dyDescent="0.25">
      <c r="A64" s="1" t="s">
        <v>428</v>
      </c>
    </row>
    <row r="65" spans="1:1" x14ac:dyDescent="0.25">
      <c r="A65" s="1" t="s">
        <v>420</v>
      </c>
    </row>
    <row r="66" spans="1:1" x14ac:dyDescent="0.25">
      <c r="A66" s="1" t="s">
        <v>415</v>
      </c>
    </row>
    <row r="67" spans="1:1" x14ac:dyDescent="0.25">
      <c r="A67" s="1" t="s">
        <v>403</v>
      </c>
    </row>
    <row r="68" spans="1:1" x14ac:dyDescent="0.25">
      <c r="A68" s="1" t="s">
        <v>400</v>
      </c>
    </row>
    <row r="69" spans="1:1" x14ac:dyDescent="0.25">
      <c r="A69" s="1" t="s">
        <v>398</v>
      </c>
    </row>
    <row r="70" spans="1:1" x14ac:dyDescent="0.25">
      <c r="A70" s="1" t="s">
        <v>395</v>
      </c>
    </row>
    <row r="71" spans="1:1" x14ac:dyDescent="0.25">
      <c r="A71" s="1" t="s">
        <v>390</v>
      </c>
    </row>
    <row r="72" spans="1:1" x14ac:dyDescent="0.25">
      <c r="A72" s="1" t="s">
        <v>384</v>
      </c>
    </row>
    <row r="73" spans="1:1" x14ac:dyDescent="0.25">
      <c r="A73" s="1" t="s">
        <v>358</v>
      </c>
    </row>
    <row r="74" spans="1:1" x14ac:dyDescent="0.25">
      <c r="A74" s="1" t="s">
        <v>355</v>
      </c>
    </row>
    <row r="75" spans="1:1" x14ac:dyDescent="0.25">
      <c r="A75" s="1" t="s">
        <v>350</v>
      </c>
    </row>
    <row r="76" spans="1:1" x14ac:dyDescent="0.25">
      <c r="A76" s="1" t="s">
        <v>924</v>
      </c>
    </row>
    <row r="77" spans="1:1" x14ac:dyDescent="0.25">
      <c r="A77" s="1" t="s">
        <v>344</v>
      </c>
    </row>
    <row r="78" spans="1:1" x14ac:dyDescent="0.25">
      <c r="A78" s="1" t="s">
        <v>330</v>
      </c>
    </row>
    <row r="79" spans="1:1" x14ac:dyDescent="0.25">
      <c r="A79" s="1" t="s">
        <v>324</v>
      </c>
    </row>
    <row r="80" spans="1:1" x14ac:dyDescent="0.25">
      <c r="A80" s="1" t="s">
        <v>305</v>
      </c>
    </row>
    <row r="81" spans="1:1" x14ac:dyDescent="0.25">
      <c r="A81" s="1" t="s">
        <v>300</v>
      </c>
    </row>
    <row r="82" spans="1:1" x14ac:dyDescent="0.25">
      <c r="A82" s="1" t="s">
        <v>295</v>
      </c>
    </row>
    <row r="83" spans="1:1" x14ac:dyDescent="0.25">
      <c r="A83" s="1" t="s">
        <v>287</v>
      </c>
    </row>
    <row r="84" spans="1:1" x14ac:dyDescent="0.25">
      <c r="A84" s="1" t="s">
        <v>279</v>
      </c>
    </row>
    <row r="85" spans="1:1" x14ac:dyDescent="0.25">
      <c r="A85" s="1" t="s">
        <v>273</v>
      </c>
    </row>
    <row r="86" spans="1:1" x14ac:dyDescent="0.25">
      <c r="A86" s="1" t="s">
        <v>249</v>
      </c>
    </row>
    <row r="87" spans="1:1" x14ac:dyDescent="0.25">
      <c r="A87" s="1" t="s">
        <v>930</v>
      </c>
    </row>
    <row r="88" spans="1:1" x14ac:dyDescent="0.25">
      <c r="A88" s="1" t="s">
        <v>27</v>
      </c>
    </row>
    <row r="89" spans="1:1" x14ac:dyDescent="0.25">
      <c r="A89" s="1" t="s">
        <v>238</v>
      </c>
    </row>
    <row r="90" spans="1:1" x14ac:dyDescent="0.25">
      <c r="A90" s="1" t="s">
        <v>227</v>
      </c>
    </row>
    <row r="91" spans="1:1" x14ac:dyDescent="0.25">
      <c r="A91" s="1" t="s">
        <v>220</v>
      </c>
    </row>
    <row r="92" spans="1:1" x14ac:dyDescent="0.25">
      <c r="A92" s="1" t="s">
        <v>7</v>
      </c>
    </row>
    <row r="93" spans="1:1" x14ac:dyDescent="0.25">
      <c r="A93" s="1" t="s">
        <v>193</v>
      </c>
    </row>
    <row r="94" spans="1:1" x14ac:dyDescent="0.25">
      <c r="A94" s="1" t="s">
        <v>185</v>
      </c>
    </row>
    <row r="95" spans="1:1" x14ac:dyDescent="0.25">
      <c r="A95" s="1" t="s">
        <v>179</v>
      </c>
    </row>
    <row r="96" spans="1:1" x14ac:dyDescent="0.25">
      <c r="A96" s="1" t="s">
        <v>16</v>
      </c>
    </row>
    <row r="97" spans="1:1" x14ac:dyDescent="0.25">
      <c r="A97" s="1" t="s">
        <v>171</v>
      </c>
    </row>
    <row r="98" spans="1:1" x14ac:dyDescent="0.25">
      <c r="A98" s="1" t="s">
        <v>164</v>
      </c>
    </row>
    <row r="99" spans="1:1" x14ac:dyDescent="0.25">
      <c r="A99" s="1" t="s">
        <v>157</v>
      </c>
    </row>
    <row r="100" spans="1:1" x14ac:dyDescent="0.25">
      <c r="A100" s="1" t="s">
        <v>148</v>
      </c>
    </row>
    <row r="101" spans="1:1" x14ac:dyDescent="0.25">
      <c r="A101" s="1" t="s">
        <v>143</v>
      </c>
    </row>
    <row r="102" spans="1:1" x14ac:dyDescent="0.25">
      <c r="A102" s="1" t="s">
        <v>138</v>
      </c>
    </row>
    <row r="103" spans="1:1" x14ac:dyDescent="0.25">
      <c r="A103" s="1" t="s">
        <v>128</v>
      </c>
    </row>
    <row r="104" spans="1:1" x14ac:dyDescent="0.25">
      <c r="A104" s="1" t="s">
        <v>119</v>
      </c>
    </row>
    <row r="105" spans="1:1" x14ac:dyDescent="0.25">
      <c r="A105" s="1" t="s">
        <v>112</v>
      </c>
    </row>
    <row r="106" spans="1:1" x14ac:dyDescent="0.25">
      <c r="A106" s="1" t="s">
        <v>103</v>
      </c>
    </row>
    <row r="107" spans="1:1" x14ac:dyDescent="0.25">
      <c r="A107" s="1" t="s">
        <v>98</v>
      </c>
    </row>
    <row r="108" spans="1:1" x14ac:dyDescent="0.25">
      <c r="A108" s="1" t="s">
        <v>698</v>
      </c>
    </row>
    <row r="109" spans="1:1" x14ac:dyDescent="0.25">
      <c r="A109" s="1" t="s">
        <v>89</v>
      </c>
    </row>
    <row r="110" spans="1:1" x14ac:dyDescent="0.25">
      <c r="A110" s="2" t="s">
        <v>926</v>
      </c>
    </row>
    <row r="111" spans="1:1" x14ac:dyDescent="0.25">
      <c r="A111" s="1" t="s">
        <v>925</v>
      </c>
    </row>
    <row r="112" spans="1:1" x14ac:dyDescent="0.25">
      <c r="A112" s="1" t="s">
        <v>68</v>
      </c>
    </row>
    <row r="113" spans="1:1" x14ac:dyDescent="0.25">
      <c r="A113" s="1" t="s">
        <v>61</v>
      </c>
    </row>
    <row r="114" spans="1:1" x14ac:dyDescent="0.25">
      <c r="A114" s="1" t="s">
        <v>58</v>
      </c>
    </row>
    <row r="115" spans="1:1" x14ac:dyDescent="0.25">
      <c r="A115" s="1" t="s">
        <v>54</v>
      </c>
    </row>
    <row r="116" spans="1:1" x14ac:dyDescent="0.25">
      <c r="A116" s="1" t="s">
        <v>50</v>
      </c>
    </row>
    <row r="117" spans="1:1" x14ac:dyDescent="0.25">
      <c r="A117" s="1" t="s">
        <v>45</v>
      </c>
    </row>
    <row r="118" spans="1:1" x14ac:dyDescent="0.25">
      <c r="A118" s="1" t="s">
        <v>34</v>
      </c>
    </row>
    <row r="119" spans="1:1" x14ac:dyDescent="0.25">
      <c r="A119" s="1" t="s">
        <v>21</v>
      </c>
    </row>
    <row r="120" spans="1:1" x14ac:dyDescent="0.25">
      <c r="A120" t="s">
        <v>1310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233" zoomScaleNormal="233" workbookViewId="0">
      <selection activeCell="G11" sqref="G11"/>
    </sheetView>
  </sheetViews>
  <sheetFormatPr baseColWidth="10" defaultRowHeight="15" x14ac:dyDescent="0.25"/>
  <cols>
    <col min="1" max="1" width="32.7109375" style="13" bestFit="1" customWidth="1"/>
    <col min="2" max="2" width="17.28515625" style="13" customWidth="1"/>
    <col min="3" max="3" width="14.5703125" style="13" customWidth="1"/>
    <col min="4" max="4" width="12" style="13" bestFit="1" customWidth="1"/>
    <col min="5" max="5" width="2.140625" style="13" customWidth="1"/>
    <col min="6" max="6" width="7.7109375" style="13" bestFit="1" customWidth="1"/>
    <col min="7" max="7" width="8.28515625" style="13" bestFit="1" customWidth="1"/>
    <col min="8" max="8" width="2.140625" style="13" customWidth="1"/>
    <col min="9" max="10" width="7.7109375" style="13" customWidth="1"/>
    <col min="11" max="16384" width="11.42578125" style="13"/>
  </cols>
  <sheetData>
    <row r="1" spans="1:10" ht="20.25" thickBot="1" x14ac:dyDescent="0.3">
      <c r="A1" s="135" t="s">
        <v>1342</v>
      </c>
      <c r="B1" s="135"/>
      <c r="C1" s="135"/>
      <c r="D1" s="135"/>
      <c r="E1" s="75"/>
    </row>
    <row r="2" spans="1:10" ht="16.5" thickTop="1" thickBot="1" x14ac:dyDescent="0.3"/>
    <row r="3" spans="1:10" ht="18.75" thickTop="1" thickBot="1" x14ac:dyDescent="0.3">
      <c r="B3" s="14" t="s">
        <v>1343</v>
      </c>
      <c r="C3" s="15" t="s">
        <v>1344</v>
      </c>
      <c r="D3" s="16"/>
      <c r="E3" s="72"/>
    </row>
    <row r="4" spans="1:10" ht="18.75" thickTop="1" thickBot="1" x14ac:dyDescent="0.3">
      <c r="A4" s="17" t="s">
        <v>1294</v>
      </c>
      <c r="B4" s="18">
        <f>COUNTIFS(LIBRO_SOCIOS!M:M,"ZITRON-ASCAZ HOSPITALARIA")</f>
        <v>71</v>
      </c>
      <c r="C4" s="19">
        <v>36.5</v>
      </c>
      <c r="D4" s="20">
        <f>B4*C4</f>
        <v>2591.5</v>
      </c>
      <c r="E4" s="74"/>
      <c r="F4" s="70">
        <f>B4/B10</f>
        <v>0.36224489795918369</v>
      </c>
      <c r="G4" s="136">
        <f>(B4+B5)/B10</f>
        <v>0.43367346938775508</v>
      </c>
      <c r="J4" s="141">
        <f>(B4+B7)/B10</f>
        <v>0.83163265306122447</v>
      </c>
    </row>
    <row r="5" spans="1:10" ht="18.75" thickTop="1" thickBot="1" x14ac:dyDescent="0.3">
      <c r="A5" s="21" t="s">
        <v>1295</v>
      </c>
      <c r="B5" s="22">
        <f>COUNTIFS(LIBRO_SOCIOS!M:M,"ZITRON-ASCAZ AMBULATORIA")</f>
        <v>14</v>
      </c>
      <c r="C5" s="23">
        <v>23.5</v>
      </c>
      <c r="D5" s="24">
        <f>B5*C5</f>
        <v>329</v>
      </c>
      <c r="E5" s="74"/>
      <c r="F5" s="71">
        <f>B5/B10</f>
        <v>7.1428571428571425E-2</v>
      </c>
      <c r="G5" s="137"/>
      <c r="I5" s="138">
        <f>(B5+B8)/B10</f>
        <v>0.1683673469387755</v>
      </c>
      <c r="J5" s="142"/>
    </row>
    <row r="6" spans="1:10" ht="18.75" thickTop="1" thickBot="1" x14ac:dyDescent="0.3">
      <c r="A6" s="21"/>
      <c r="B6" s="22"/>
      <c r="C6" s="23"/>
      <c r="D6" s="24"/>
      <c r="E6" s="74"/>
      <c r="F6" s="69"/>
      <c r="G6" s="69"/>
      <c r="I6" s="139"/>
      <c r="J6" s="142"/>
    </row>
    <row r="7" spans="1:10" ht="18.75" thickTop="1" thickBot="1" x14ac:dyDescent="0.3">
      <c r="A7" s="21" t="s">
        <v>914</v>
      </c>
      <c r="B7" s="22">
        <f>COUNTIFS(LIBRO_SOCIOS!M:M,"ASCAZ HOSPITALARIA")</f>
        <v>92</v>
      </c>
      <c r="C7" s="23">
        <v>36.5</v>
      </c>
      <c r="D7" s="24">
        <f t="shared" ref="D7:D8" si="0">B7*C7</f>
        <v>3358</v>
      </c>
      <c r="E7" s="74"/>
      <c r="F7" s="70">
        <f>B7/B10</f>
        <v>0.46938775510204084</v>
      </c>
      <c r="G7" s="136">
        <f>(B7+B8)/B10</f>
        <v>0.56632653061224492</v>
      </c>
      <c r="I7" s="139"/>
      <c r="J7" s="143"/>
    </row>
    <row r="8" spans="1:10" ht="18.75" thickTop="1" thickBot="1" x14ac:dyDescent="0.3">
      <c r="A8" s="25" t="s">
        <v>915</v>
      </c>
      <c r="B8" s="26">
        <f>COUNTIFS(LIBRO_SOCIOS!M:M,"ASCAZ AMBULATORIA")</f>
        <v>19</v>
      </c>
      <c r="C8" s="27">
        <v>23.5</v>
      </c>
      <c r="D8" s="28">
        <f t="shared" si="0"/>
        <v>446.5</v>
      </c>
      <c r="E8" s="74"/>
      <c r="F8" s="71">
        <f>B8/B10</f>
        <v>9.6938775510204078E-2</v>
      </c>
      <c r="G8" s="137"/>
      <c r="I8" s="140"/>
    </row>
    <row r="9" spans="1:10" ht="15.75" thickTop="1" x14ac:dyDescent="0.25">
      <c r="D9" s="29"/>
      <c r="E9" s="29"/>
    </row>
    <row r="10" spans="1:10" ht="15.75" thickBot="1" x14ac:dyDescent="0.3">
      <c r="B10" s="30">
        <f>SUM(B4:B8)</f>
        <v>196</v>
      </c>
      <c r="D10" s="31">
        <f>SUM(D4:D8)</f>
        <v>6725</v>
      </c>
      <c r="E10" s="73"/>
    </row>
    <row r="11" spans="1:10" ht="15.75" thickTop="1" x14ac:dyDescent="0.25"/>
    <row r="12" spans="1:10" ht="15.75" thickBot="1" x14ac:dyDescent="0.3">
      <c r="D12" s="31">
        <f>D10*12</f>
        <v>80700</v>
      </c>
    </row>
    <row r="13" spans="1:10" ht="15.75" thickTop="1" x14ac:dyDescent="0.25"/>
  </sheetData>
  <sheetProtection sheet="1" objects="1" scenarios="1"/>
  <mergeCells count="5">
    <mergeCell ref="A1:D1"/>
    <mergeCell ref="G4:G5"/>
    <mergeCell ref="G7:G8"/>
    <mergeCell ref="I5:I8"/>
    <mergeCell ref="J4:J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71" zoomScaleNormal="171" workbookViewId="0">
      <selection activeCell="D18" sqref="D18"/>
    </sheetView>
  </sheetViews>
  <sheetFormatPr baseColWidth="10" defaultRowHeight="15" x14ac:dyDescent="0.25"/>
  <cols>
    <col min="1" max="1" width="3.5703125" style="32" customWidth="1"/>
    <col min="2" max="5" width="11.42578125" style="32"/>
    <col min="6" max="6" width="4" style="32" customWidth="1"/>
    <col min="7" max="10" width="11.42578125" style="32"/>
    <col min="11" max="11" width="4.140625" style="32" customWidth="1"/>
    <col min="12" max="15" width="11.42578125" style="32"/>
    <col min="16" max="16" width="4.5703125" style="32" customWidth="1"/>
    <col min="17" max="16384" width="11.42578125" style="32"/>
  </cols>
  <sheetData>
    <row r="1" spans="1:16" ht="15" customHeight="1" x14ac:dyDescent="0.25">
      <c r="A1" s="144" t="s">
        <v>1360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6"/>
    </row>
    <row r="2" spans="1:16" ht="15.75" customHeight="1" x14ac:dyDescent="0.2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1:16" ht="15.75" thickBot="1" x14ac:dyDescent="0.3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2"/>
    </row>
    <row r="4" spans="1:16" ht="8.25" customHeight="1" x14ac:dyDescent="0.25"/>
    <row r="5" spans="1:16" ht="8.25" customHeight="1" thickBot="1" x14ac:dyDescent="0.3"/>
    <row r="6" spans="1:16" x14ac:dyDescent="0.25">
      <c r="A6" s="33"/>
      <c r="B6" s="145" t="s">
        <v>1353</v>
      </c>
      <c r="C6" s="145"/>
      <c r="D6" s="153">
        <f ca="1">C18/M18</f>
        <v>0.1683673469387755</v>
      </c>
      <c r="E6" s="153"/>
      <c r="F6" s="34"/>
      <c r="G6" s="145" t="s">
        <v>1354</v>
      </c>
      <c r="H6" s="145"/>
      <c r="I6" s="153">
        <f ca="1">H18/M18</f>
        <v>0.83163265306122447</v>
      </c>
      <c r="J6" s="153"/>
      <c r="K6" s="34"/>
      <c r="L6" s="145" t="s">
        <v>1355</v>
      </c>
      <c r="M6" s="145"/>
      <c r="N6" s="155">
        <f ca="1">I6+D6</f>
        <v>1</v>
      </c>
      <c r="O6" s="155"/>
      <c r="P6" s="35"/>
    </row>
    <row r="7" spans="1:16" x14ac:dyDescent="0.25">
      <c r="A7" s="36"/>
      <c r="B7" s="148"/>
      <c r="C7" s="148"/>
      <c r="D7" s="154"/>
      <c r="E7" s="154"/>
      <c r="F7" s="37"/>
      <c r="G7" s="148"/>
      <c r="H7" s="148"/>
      <c r="I7" s="154"/>
      <c r="J7" s="154"/>
      <c r="K7" s="37"/>
      <c r="L7" s="148"/>
      <c r="M7" s="148"/>
      <c r="N7" s="156"/>
      <c r="O7" s="156"/>
      <c r="P7" s="38"/>
    </row>
    <row r="8" spans="1:16" ht="21" x14ac:dyDescent="0.25">
      <c r="A8" s="36"/>
      <c r="B8" s="76"/>
      <c r="C8" s="76"/>
      <c r="D8" s="77"/>
      <c r="E8" s="77"/>
      <c r="F8" s="37"/>
      <c r="G8" s="76"/>
      <c r="H8" s="76"/>
      <c r="I8" s="77"/>
      <c r="J8" s="77"/>
      <c r="K8" s="37"/>
      <c r="L8" s="76"/>
      <c r="M8" s="76"/>
      <c r="N8" s="78"/>
      <c r="O8" s="78"/>
      <c r="P8" s="38"/>
    </row>
    <row r="9" spans="1:16" x14ac:dyDescent="0.25">
      <c r="A9" s="39"/>
      <c r="B9" s="40" t="s">
        <v>1361</v>
      </c>
      <c r="C9" s="40">
        <f ca="1">COUNTIFS(LIBRO_SOCIOS!V:V,"&gt;65",LIBRO_SOCIOS!L:L,"ambulatoria")</f>
        <v>3</v>
      </c>
      <c r="D9" s="41">
        <f t="shared" ref="D9:D14" ca="1" si="0">(C9/$C$18)</f>
        <v>9.0909090909090912E-2</v>
      </c>
      <c r="E9" s="41">
        <f t="shared" ref="E9:E12" ca="1" si="1">E10+D9</f>
        <v>1</v>
      </c>
      <c r="F9" s="37"/>
      <c r="G9" s="40" t="s">
        <v>1361</v>
      </c>
      <c r="H9" s="40">
        <f ca="1">COUNTIFS(LIBRO_SOCIOS!V:V,"&gt;65",LIBRO_SOCIOS!L:L,"HOSPITALARIA")</f>
        <v>9</v>
      </c>
      <c r="I9" s="41">
        <f t="shared" ref="I9:I14" ca="1" si="2">(H9/$H$18)</f>
        <v>5.5214723926380369E-2</v>
      </c>
      <c r="J9" s="41">
        <f ca="1">J10+I9</f>
        <v>1</v>
      </c>
      <c r="K9" s="37"/>
      <c r="L9" s="40" t="s">
        <v>1361</v>
      </c>
      <c r="M9" s="40">
        <f ca="1">C9+H9</f>
        <v>12</v>
      </c>
      <c r="N9" s="41">
        <f t="shared" ref="N9:N14" ca="1" si="3">(M9/$M$18)</f>
        <v>6.1224489795918366E-2</v>
      </c>
      <c r="O9" s="41">
        <f ca="1">O10+N9</f>
        <v>1</v>
      </c>
      <c r="P9" s="38"/>
    </row>
    <row r="10" spans="1:16" x14ac:dyDescent="0.25">
      <c r="A10" s="39"/>
      <c r="B10" s="40" t="s">
        <v>1362</v>
      </c>
      <c r="C10" s="40">
        <f ca="1">COUNTIFS(LIBRO_SOCIOS!V:V,"&gt;50",LIBRO_SOCIOS!V:V,"&lt;66",LIBRO_SOCIOS!L:L,"ambulatoria")</f>
        <v>6</v>
      </c>
      <c r="D10" s="41">
        <f t="shared" ca="1" si="0"/>
        <v>0.18181818181818182</v>
      </c>
      <c r="E10" s="41">
        <f t="shared" ca="1" si="1"/>
        <v>0.90909090909090917</v>
      </c>
      <c r="F10" s="37"/>
      <c r="G10" s="40" t="s">
        <v>1362</v>
      </c>
      <c r="H10" s="40">
        <f ca="1">COUNTIFS(LIBRO_SOCIOS!V:V,"&gt;50",LIBRO_SOCIOS!V:V,"&lt;66",LIBRO_SOCIOS!L:L,"HOSPITALARIA")</f>
        <v>36</v>
      </c>
      <c r="I10" s="41">
        <f t="shared" ca="1" si="2"/>
        <v>0.22085889570552147</v>
      </c>
      <c r="J10" s="41">
        <f t="shared" ref="J10:J12" ca="1" si="4">J11+I10</f>
        <v>0.94478527607361973</v>
      </c>
      <c r="K10" s="37"/>
      <c r="L10" s="40" t="s">
        <v>1362</v>
      </c>
      <c r="M10" s="40">
        <f t="shared" ref="M10:M14" ca="1" si="5">C10+H10</f>
        <v>42</v>
      </c>
      <c r="N10" s="41">
        <f t="shared" ca="1" si="3"/>
        <v>0.21428571428571427</v>
      </c>
      <c r="O10" s="41">
        <f t="shared" ref="O10:O12" ca="1" si="6">O11+N10</f>
        <v>0.93877551020408168</v>
      </c>
      <c r="P10" s="38"/>
    </row>
    <row r="11" spans="1:16" x14ac:dyDescent="0.25">
      <c r="A11" s="39"/>
      <c r="B11" s="40" t="s">
        <v>1346</v>
      </c>
      <c r="C11" s="40">
        <f ca="1">COUNTIFS(LIBRO_SOCIOS!V:V,"&gt;40",LIBRO_SOCIOS!V:V,"&lt;51",LIBRO_SOCIOS!L:L,"ambulatoria")</f>
        <v>4</v>
      </c>
      <c r="D11" s="41">
        <f t="shared" ca="1" si="0"/>
        <v>0.12121212121212122</v>
      </c>
      <c r="E11" s="41">
        <f t="shared" ca="1" si="1"/>
        <v>0.72727272727272729</v>
      </c>
      <c r="F11" s="37"/>
      <c r="G11" s="40" t="s">
        <v>1346</v>
      </c>
      <c r="H11" s="40">
        <f ca="1">COUNTIFS(LIBRO_SOCIOS!V:V,"&gt;40",LIBRO_SOCIOS!V:V,"&lt;51",LIBRO_SOCIOS!L:L,"HOSPITALARIA")</f>
        <v>48</v>
      </c>
      <c r="I11" s="41">
        <f t="shared" ca="1" si="2"/>
        <v>0.29447852760736198</v>
      </c>
      <c r="J11" s="41">
        <f t="shared" ca="1" si="4"/>
        <v>0.7239263803680982</v>
      </c>
      <c r="K11" s="37"/>
      <c r="L11" s="40" t="s">
        <v>1346</v>
      </c>
      <c r="M11" s="40">
        <f t="shared" ca="1" si="5"/>
        <v>52</v>
      </c>
      <c r="N11" s="41">
        <f t="shared" ca="1" si="3"/>
        <v>0.26530612244897961</v>
      </c>
      <c r="O11" s="41">
        <f t="shared" ca="1" si="6"/>
        <v>0.72448979591836737</v>
      </c>
      <c r="P11" s="38"/>
    </row>
    <row r="12" spans="1:16" x14ac:dyDescent="0.25">
      <c r="A12" s="39"/>
      <c r="B12" s="40" t="s">
        <v>1347</v>
      </c>
      <c r="C12" s="40">
        <f ca="1">COUNTIFS(LIBRO_SOCIOS!V:V,"&gt;30",LIBRO_SOCIOS!V:V,"&lt;41",LIBRO_SOCIOS!L:L,"ambulatoria")</f>
        <v>5</v>
      </c>
      <c r="D12" s="41">
        <f t="shared" ca="1" si="0"/>
        <v>0.15151515151515152</v>
      </c>
      <c r="E12" s="41">
        <f t="shared" ca="1" si="1"/>
        <v>0.60606060606060608</v>
      </c>
      <c r="F12" s="37"/>
      <c r="G12" s="40" t="s">
        <v>1347</v>
      </c>
      <c r="H12" s="40">
        <f ca="1">COUNTIFS(LIBRO_SOCIOS!V:V,"&gt;30",LIBRO_SOCIOS!V:V,"&lt;41",LIBRO_SOCIOS!L:L,"HOSPITALARIA")</f>
        <v>52</v>
      </c>
      <c r="I12" s="41">
        <f t="shared" ca="1" si="2"/>
        <v>0.31901840490797545</v>
      </c>
      <c r="J12" s="41">
        <f t="shared" ca="1" si="4"/>
        <v>0.42944785276073616</v>
      </c>
      <c r="K12" s="37"/>
      <c r="L12" s="40" t="s">
        <v>1347</v>
      </c>
      <c r="M12" s="40">
        <f t="shared" ca="1" si="5"/>
        <v>57</v>
      </c>
      <c r="N12" s="41">
        <f t="shared" ca="1" si="3"/>
        <v>0.29081632653061223</v>
      </c>
      <c r="O12" s="41">
        <f t="shared" ca="1" si="6"/>
        <v>0.45918367346938771</v>
      </c>
      <c r="P12" s="38"/>
    </row>
    <row r="13" spans="1:16" x14ac:dyDescent="0.25">
      <c r="A13" s="39"/>
      <c r="B13" s="40" t="s">
        <v>1348</v>
      </c>
      <c r="C13" s="40">
        <f ca="1">COUNTIFS(LIBRO_SOCIOS!V:V,"&gt;20",LIBRO_SOCIOS!V:V,"&lt;31",LIBRO_SOCIOS!L:L,"ambulatoria")</f>
        <v>2</v>
      </c>
      <c r="D13" s="41">
        <f t="shared" ca="1" si="0"/>
        <v>6.0606060606060608E-2</v>
      </c>
      <c r="E13" s="41">
        <f ca="1">E14+D13</f>
        <v>0.45454545454545453</v>
      </c>
      <c r="F13" s="37"/>
      <c r="G13" s="40" t="s">
        <v>1348</v>
      </c>
      <c r="H13" s="40">
        <f ca="1">COUNTIFS(LIBRO_SOCIOS!V:V,"&gt;20",LIBRO_SOCIOS!V:V,"&lt;31",LIBRO_SOCIOS!L:L,"HOSPITALARIA")</f>
        <v>5</v>
      </c>
      <c r="I13" s="41">
        <f t="shared" ca="1" si="2"/>
        <v>3.0674846625766871E-2</v>
      </c>
      <c r="J13" s="41">
        <f ca="1">J14+I13</f>
        <v>0.11042944785276074</v>
      </c>
      <c r="K13" s="37"/>
      <c r="L13" s="40" t="s">
        <v>1348</v>
      </c>
      <c r="M13" s="40">
        <f t="shared" ca="1" si="5"/>
        <v>7</v>
      </c>
      <c r="N13" s="41">
        <f t="shared" ca="1" si="3"/>
        <v>3.5714285714285712E-2</v>
      </c>
      <c r="O13" s="41">
        <f ca="1">O14+N13</f>
        <v>0.16836734693877548</v>
      </c>
      <c r="P13" s="38"/>
    </row>
    <row r="14" spans="1:16" x14ac:dyDescent="0.25">
      <c r="A14" s="39"/>
      <c r="B14" s="42" t="s">
        <v>1349</v>
      </c>
      <c r="C14" s="40">
        <f ca="1">COUNTIFS(LIBRO_SOCIOS!V:V,"&gt;10",LIBRO_SOCIOS!V:V,"&lt;21",LIBRO_SOCIOS!L:L,"ambulatoria")</f>
        <v>3</v>
      </c>
      <c r="D14" s="41">
        <f t="shared" ca="1" si="0"/>
        <v>9.0909090909090912E-2</v>
      </c>
      <c r="E14" s="41">
        <f ca="1">D15+D14</f>
        <v>0.39393939393939392</v>
      </c>
      <c r="F14" s="37"/>
      <c r="G14" s="42" t="s">
        <v>1349</v>
      </c>
      <c r="H14" s="40">
        <f ca="1">COUNTIFS(LIBRO_SOCIOS!V:V,"&gt;10",LIBRO_SOCIOS!V:V,"&lt;21",LIBRO_SOCIOS!L:L,"HOSPITALARIA")</f>
        <v>4</v>
      </c>
      <c r="I14" s="41">
        <f t="shared" ca="1" si="2"/>
        <v>2.4539877300613498E-2</v>
      </c>
      <c r="J14" s="41">
        <f ca="1">I15+I14</f>
        <v>7.9754601226993863E-2</v>
      </c>
      <c r="K14" s="37"/>
      <c r="L14" s="42" t="s">
        <v>1349</v>
      </c>
      <c r="M14" s="40">
        <f t="shared" ca="1" si="5"/>
        <v>7</v>
      </c>
      <c r="N14" s="41">
        <f t="shared" ca="1" si="3"/>
        <v>3.5714285714285712E-2</v>
      </c>
      <c r="O14" s="41">
        <f ca="1">N15+N14</f>
        <v>0.13265306122448978</v>
      </c>
      <c r="P14" s="38"/>
    </row>
    <row r="15" spans="1:16" x14ac:dyDescent="0.25">
      <c r="A15" s="39"/>
      <c r="B15" s="43" t="s">
        <v>1350</v>
      </c>
      <c r="C15" s="40">
        <f ca="1">COUNTIFS(LIBRO_SOCIOS!V:V,"&gt;0",LIBRO_SOCIOS!V:V,"&lt;11",LIBRO_SOCIOS!L:L,"ambulatoria")</f>
        <v>10</v>
      </c>
      <c r="D15" s="41">
        <f ca="1">(C15/$C$18)</f>
        <v>0.30303030303030304</v>
      </c>
      <c r="F15" s="37"/>
      <c r="G15" s="43" t="s">
        <v>1350</v>
      </c>
      <c r="H15" s="40">
        <f ca="1">COUNTIFS(LIBRO_SOCIOS!V:V,"&gt;0",LIBRO_SOCIOS!V:V,"&lt;11",LIBRO_SOCIOS!L:L,"HOSPITALARIA")</f>
        <v>9</v>
      </c>
      <c r="I15" s="41">
        <f ca="1">(H15/$H$18)</f>
        <v>5.5214723926380369E-2</v>
      </c>
      <c r="K15" s="37"/>
      <c r="L15" s="43" t="s">
        <v>1350</v>
      </c>
      <c r="M15" s="40">
        <f ca="1">C15+H15</f>
        <v>19</v>
      </c>
      <c r="N15" s="41">
        <f ca="1">(M15/$M$18)</f>
        <v>9.6938775510204078E-2</v>
      </c>
      <c r="P15" s="38"/>
    </row>
    <row r="16" spans="1:16" x14ac:dyDescent="0.25">
      <c r="A16" s="39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25">
      <c r="A17" s="39"/>
      <c r="B17" s="40"/>
      <c r="C17" s="40"/>
      <c r="D17" s="41"/>
      <c r="E17" s="41"/>
      <c r="F17" s="37"/>
      <c r="G17" s="40"/>
      <c r="H17" s="40"/>
      <c r="I17" s="45"/>
      <c r="J17" s="41"/>
      <c r="K17" s="37"/>
      <c r="L17" s="40"/>
      <c r="M17" s="40"/>
      <c r="N17" s="41"/>
      <c r="O17" s="41"/>
      <c r="P17" s="38"/>
    </row>
    <row r="18" spans="1:16" ht="15.75" x14ac:dyDescent="0.25">
      <c r="A18" s="39"/>
      <c r="B18" s="124" t="s">
        <v>1355</v>
      </c>
      <c r="C18" s="125">
        <f ca="1">SUM(C9:C15)</f>
        <v>33</v>
      </c>
      <c r="D18" s="126" t="s">
        <v>1363</v>
      </c>
      <c r="E18" s="127">
        <f ca="1">((5*C15)+(15*C14)+(25*C13)+(35*C12)+(45*C11)+(60*C10)+(70*C9))/C18</f>
        <v>32.424242424242422</v>
      </c>
      <c r="F18" s="37"/>
      <c r="G18" s="124" t="s">
        <v>1355</v>
      </c>
      <c r="H18" s="125">
        <f ca="1">SUM(H9:H15)</f>
        <v>163</v>
      </c>
      <c r="I18" s="126" t="s">
        <v>1363</v>
      </c>
      <c r="J18" s="127">
        <f ca="1">((5*H15)+(15*H14)+(25*H13)+(35*H12)+(45*H11)+(60*H10)+(70*H9))/H18</f>
        <v>42.944785276073617</v>
      </c>
      <c r="K18" s="37"/>
      <c r="L18" s="124" t="s">
        <v>1355</v>
      </c>
      <c r="M18" s="125">
        <f ca="1">SUM(M9:M15)</f>
        <v>196</v>
      </c>
      <c r="N18" s="126" t="s">
        <v>1363</v>
      </c>
      <c r="O18" s="127">
        <f ca="1">((5*M15)+(15*M14)+(25*M13)+(35*M12)+(45*M11)+(60*M10)+(70*M9))/M18</f>
        <v>41.173469387755105</v>
      </c>
      <c r="P18" s="38"/>
    </row>
    <row r="19" spans="1:16" x14ac:dyDescent="0.25">
      <c r="A19" s="39"/>
      <c r="B19" s="40"/>
      <c r="C19" s="46"/>
      <c r="D19" s="45"/>
      <c r="E19" s="45"/>
      <c r="F19" s="37"/>
      <c r="G19" s="40"/>
      <c r="H19" s="40"/>
      <c r="I19" s="45"/>
      <c r="J19" s="45"/>
      <c r="K19" s="37"/>
      <c r="L19" s="40"/>
      <c r="M19" s="46"/>
      <c r="N19" s="45"/>
      <c r="O19" s="45"/>
      <c r="P19" s="38"/>
    </row>
    <row r="20" spans="1:16" ht="15.75" thickBot="1" x14ac:dyDescent="0.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</row>
  </sheetData>
  <sheetProtection sheet="1" objects="1" scenarios="1"/>
  <mergeCells count="7">
    <mergeCell ref="A1:P3"/>
    <mergeCell ref="B6:C7"/>
    <mergeCell ref="D6:E7"/>
    <mergeCell ref="G6:H7"/>
    <mergeCell ref="I6:J7"/>
    <mergeCell ref="L6:M7"/>
    <mergeCell ref="N6:O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zoomScale="59" zoomScaleNormal="59" workbookViewId="0">
      <selection activeCell="AE19" sqref="AE19"/>
    </sheetView>
  </sheetViews>
  <sheetFormatPr baseColWidth="10" defaultRowHeight="15" x14ac:dyDescent="0.25"/>
  <cols>
    <col min="1" max="1" width="4.85546875" style="32" customWidth="1"/>
    <col min="2" max="3" width="12.85546875" style="32" customWidth="1"/>
    <col min="4" max="4" width="11.85546875" style="32" bestFit="1" customWidth="1"/>
    <col min="5" max="5" width="8.7109375" style="32" customWidth="1"/>
    <col min="6" max="6" width="4.85546875" style="32" customWidth="1"/>
    <col min="7" max="8" width="12.85546875" style="32" customWidth="1"/>
    <col min="9" max="10" width="8.7109375" style="32" customWidth="1"/>
    <col min="11" max="11" width="4.85546875" style="32" customWidth="1"/>
    <col min="12" max="15" width="8.7109375" style="32" customWidth="1"/>
    <col min="16" max="16" width="4.85546875" style="32" customWidth="1"/>
    <col min="17" max="18" width="2.5703125" style="32" customWidth="1"/>
    <col min="19" max="19" width="4.7109375" style="32" customWidth="1"/>
    <col min="20" max="21" width="12.85546875" style="32" customWidth="1"/>
    <col min="22" max="23" width="8.7109375" style="32" customWidth="1"/>
    <col min="24" max="24" width="4.7109375" style="32" customWidth="1"/>
    <col min="25" max="26" width="12.85546875" style="32" customWidth="1"/>
    <col min="27" max="28" width="8.7109375" style="32" customWidth="1"/>
    <col min="29" max="29" width="4.7109375" style="32" customWidth="1"/>
    <col min="30" max="33" width="8.7109375" style="32" customWidth="1"/>
    <col min="34" max="34" width="4.7109375" style="32" customWidth="1"/>
    <col min="35" max="36" width="2.5703125" style="32" customWidth="1"/>
    <col min="37" max="37" width="4.7109375" style="32" customWidth="1"/>
    <col min="38" max="39" width="12.85546875" style="32" customWidth="1"/>
    <col min="40" max="41" width="8.7109375" style="32" customWidth="1"/>
    <col min="42" max="42" width="4.7109375" style="32" customWidth="1"/>
    <col min="43" max="44" width="12.85546875" style="32" customWidth="1"/>
    <col min="45" max="46" width="8.7109375" style="32" customWidth="1"/>
    <col min="47" max="47" width="4.7109375" style="32" customWidth="1"/>
    <col min="48" max="51" width="8.7109375" style="32" customWidth="1"/>
    <col min="52" max="53" width="4.7109375" style="32" customWidth="1"/>
    <col min="54" max="16384" width="11.42578125" style="32"/>
  </cols>
  <sheetData>
    <row r="1" spans="1:52" ht="18.75" x14ac:dyDescent="0.3">
      <c r="A1" s="172" t="s">
        <v>683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S1" s="173" t="s">
        <v>1352</v>
      </c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K1" s="171" t="s">
        <v>1355</v>
      </c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52" ht="15.75" thickBot="1" x14ac:dyDescent="0.3"/>
    <row r="3" spans="1:52" ht="15" customHeight="1" x14ac:dyDescent="0.25">
      <c r="A3" s="33"/>
      <c r="B3" s="145" t="s">
        <v>1353</v>
      </c>
      <c r="C3" s="145"/>
      <c r="D3" s="153">
        <f ca="1">C16/M16</f>
        <v>0.16470588235294117</v>
      </c>
      <c r="E3" s="153"/>
      <c r="F3" s="34"/>
      <c r="G3" s="145" t="s">
        <v>1354</v>
      </c>
      <c r="H3" s="145"/>
      <c r="I3" s="153">
        <f ca="1">H16/M16</f>
        <v>0.83529411764705885</v>
      </c>
      <c r="J3" s="153"/>
      <c r="K3" s="34"/>
      <c r="L3" s="145" t="s">
        <v>1355</v>
      </c>
      <c r="M3" s="145"/>
      <c r="N3" s="155">
        <f ca="1">I3+D3</f>
        <v>1</v>
      </c>
      <c r="O3" s="155"/>
      <c r="P3" s="35"/>
      <c r="S3" s="33"/>
      <c r="T3" s="145" t="s">
        <v>1353</v>
      </c>
      <c r="U3" s="145"/>
      <c r="V3" s="153">
        <f ca="1">U16/AE16</f>
        <v>0.17117117117117117</v>
      </c>
      <c r="W3" s="153"/>
      <c r="X3" s="34"/>
      <c r="Y3" s="145" t="s">
        <v>1354</v>
      </c>
      <c r="Z3" s="145"/>
      <c r="AA3" s="153">
        <f ca="1">Z16/AE16</f>
        <v>0.8288288288288288</v>
      </c>
      <c r="AB3" s="153"/>
      <c r="AC3" s="34"/>
      <c r="AD3" s="145" t="s">
        <v>1355</v>
      </c>
      <c r="AE3" s="145"/>
      <c r="AF3" s="155">
        <f ca="1">AA3+V3</f>
        <v>1</v>
      </c>
      <c r="AG3" s="155"/>
      <c r="AH3" s="35"/>
      <c r="AK3" s="33"/>
      <c r="AL3" s="145" t="s">
        <v>1353</v>
      </c>
      <c r="AM3" s="145"/>
      <c r="AN3" s="153">
        <f ca="1">AM16/AW16</f>
        <v>0.1683673469387755</v>
      </c>
      <c r="AO3" s="153"/>
      <c r="AP3" s="34"/>
      <c r="AQ3" s="145" t="s">
        <v>1354</v>
      </c>
      <c r="AR3" s="145"/>
      <c r="AS3" s="153">
        <f ca="1">AR16/AW16</f>
        <v>0.83163265306122447</v>
      </c>
      <c r="AT3" s="153"/>
      <c r="AU3" s="34"/>
      <c r="AV3" s="145" t="s">
        <v>1355</v>
      </c>
      <c r="AW3" s="145"/>
      <c r="AX3" s="155">
        <f ca="1">AS3+AN3</f>
        <v>1</v>
      </c>
      <c r="AY3" s="155"/>
      <c r="AZ3" s="35"/>
    </row>
    <row r="4" spans="1:52" ht="15" customHeight="1" x14ac:dyDescent="0.25">
      <c r="A4" s="36"/>
      <c r="B4" s="148"/>
      <c r="C4" s="148"/>
      <c r="D4" s="154"/>
      <c r="E4" s="154"/>
      <c r="F4" s="37"/>
      <c r="G4" s="148"/>
      <c r="H4" s="148"/>
      <c r="I4" s="154"/>
      <c r="J4" s="154"/>
      <c r="K4" s="37"/>
      <c r="L4" s="148"/>
      <c r="M4" s="148"/>
      <c r="N4" s="156"/>
      <c r="O4" s="156"/>
      <c r="P4" s="38"/>
      <c r="S4" s="36"/>
      <c r="T4" s="148"/>
      <c r="U4" s="148"/>
      <c r="V4" s="154"/>
      <c r="W4" s="154"/>
      <c r="X4" s="37"/>
      <c r="Y4" s="148"/>
      <c r="Z4" s="148"/>
      <c r="AA4" s="154"/>
      <c r="AB4" s="154"/>
      <c r="AC4" s="37"/>
      <c r="AD4" s="148"/>
      <c r="AE4" s="148"/>
      <c r="AF4" s="156"/>
      <c r="AG4" s="156"/>
      <c r="AH4" s="38"/>
      <c r="AK4" s="36"/>
      <c r="AL4" s="148"/>
      <c r="AM4" s="148"/>
      <c r="AN4" s="154"/>
      <c r="AO4" s="154"/>
      <c r="AP4" s="37"/>
      <c r="AQ4" s="148"/>
      <c r="AR4" s="148"/>
      <c r="AS4" s="154"/>
      <c r="AT4" s="154"/>
      <c r="AU4" s="37"/>
      <c r="AV4" s="148"/>
      <c r="AW4" s="148"/>
      <c r="AX4" s="156"/>
      <c r="AY4" s="156"/>
      <c r="AZ4" s="38"/>
    </row>
    <row r="5" spans="1:52" ht="15.75" customHeight="1" x14ac:dyDescent="0.25">
      <c r="A5" s="39"/>
      <c r="B5" s="40" t="s">
        <v>1358</v>
      </c>
      <c r="C5" s="40">
        <f ca="1">COUNTIFS(LIBRO_SOCIOS!V:V,"&gt;80",LIBRO_SOCIOS!M:M,"ZITRON-ASCAZ ambulatoria")</f>
        <v>0</v>
      </c>
      <c r="D5" s="41">
        <f t="shared" ref="D5:D6" ca="1" si="0">(C5/$C$16)</f>
        <v>0</v>
      </c>
      <c r="E5" s="41">
        <f t="shared" ref="E5:E6" ca="1" si="1">E6+D5</f>
        <v>1</v>
      </c>
      <c r="F5" s="37"/>
      <c r="G5" s="40" t="s">
        <v>1358</v>
      </c>
      <c r="H5" s="40">
        <f ca="1">COUNTIFS(LIBRO_SOCIOS!V:V,"&gt;80",LIBRO_SOCIOS!M:M,"ZITRON-ASCAZ HOSPITALARIA")</f>
        <v>0</v>
      </c>
      <c r="I5" s="41">
        <f ca="1">(H5/$H$16)</f>
        <v>0</v>
      </c>
      <c r="J5" s="41">
        <f t="shared" ref="J5:J10" ca="1" si="2">J6+I5</f>
        <v>0.99999999999999989</v>
      </c>
      <c r="K5" s="37"/>
      <c r="L5" s="40" t="s">
        <v>1358</v>
      </c>
      <c r="M5" s="40">
        <f ca="1">C5+H5</f>
        <v>0</v>
      </c>
      <c r="N5" s="41">
        <f t="shared" ref="N5:N6" ca="1" si="3">(M5/$M$16)</f>
        <v>0</v>
      </c>
      <c r="O5" s="41">
        <f t="shared" ref="O5:O10" ca="1" si="4">O6+N5</f>
        <v>1.0000000000000002</v>
      </c>
      <c r="P5" s="38"/>
      <c r="S5" s="39"/>
      <c r="T5" s="40" t="s">
        <v>1358</v>
      </c>
      <c r="U5" s="40">
        <f ca="1">COUNTIFS(LIBRO_SOCIOS!V:V,"&gt;80",LIBRO_SOCIOS!M:M,"ASCAZ ambulatoria")</f>
        <v>0</v>
      </c>
      <c r="V5" s="41">
        <f t="shared" ref="V5:V12" ca="1" si="5">(U5/$U$16)</f>
        <v>0</v>
      </c>
      <c r="W5" s="41">
        <f t="shared" ref="W5:W10" ca="1" si="6">W6+V5</f>
        <v>1</v>
      </c>
      <c r="X5" s="37"/>
      <c r="Y5" s="40" t="s">
        <v>1358</v>
      </c>
      <c r="Z5" s="40">
        <f ca="1">COUNTIFS(LIBRO_SOCIOS!V:V,"&gt;80",LIBRO_SOCIOS!M:M,"ASCAZ HOSPITALARIA")</f>
        <v>1</v>
      </c>
      <c r="AA5" s="41">
        <f t="shared" ref="AA5:AA6" ca="1" si="7">(Z5/$Z$16)</f>
        <v>1.0869565217391304E-2</v>
      </c>
      <c r="AB5" s="41">
        <f t="shared" ref="AB5:AB10" ca="1" si="8">AB6+AA5</f>
        <v>1</v>
      </c>
      <c r="AC5" s="37"/>
      <c r="AD5" s="40" t="s">
        <v>1358</v>
      </c>
      <c r="AE5" s="40">
        <f t="shared" ref="AE5:AE6" ca="1" si="9">U5+Z5</f>
        <v>1</v>
      </c>
      <c r="AF5" s="41">
        <f t="shared" ref="AF5:AF6" ca="1" si="10">(AE5/$AE$16)</f>
        <v>9.0090090090090089E-3</v>
      </c>
      <c r="AG5" s="41">
        <f t="shared" ref="AG5:AG10" ca="1" si="11">AG6+AF5</f>
        <v>1</v>
      </c>
      <c r="AH5" s="38"/>
      <c r="AK5" s="39"/>
      <c r="AL5" s="40" t="s">
        <v>1358</v>
      </c>
      <c r="AM5" s="40">
        <f t="shared" ref="AM5:AM6" ca="1" si="12">C5+U5</f>
        <v>0</v>
      </c>
      <c r="AN5" s="41">
        <f t="shared" ref="AN5:AN6" ca="1" si="13">(AM5/$AM$16)</f>
        <v>0</v>
      </c>
      <c r="AO5" s="41">
        <f t="shared" ref="AO5:AO10" ca="1" si="14">AO6+AN5</f>
        <v>1</v>
      </c>
      <c r="AP5" s="37"/>
      <c r="AQ5" s="40" t="s">
        <v>1358</v>
      </c>
      <c r="AR5" s="40">
        <f t="shared" ref="AR5:AR6" ca="1" si="15">Z5+H5</f>
        <v>1</v>
      </c>
      <c r="AS5" s="41">
        <f t="shared" ref="AS5:AS6" ca="1" si="16">(AR5/$AR$16)</f>
        <v>6.1349693251533744E-3</v>
      </c>
      <c r="AT5" s="41">
        <f t="shared" ref="AT5:AT10" ca="1" si="17">AT6+AS5</f>
        <v>1.0000000000000002</v>
      </c>
      <c r="AU5" s="37"/>
      <c r="AV5" s="40" t="s">
        <v>1358</v>
      </c>
      <c r="AW5" s="40">
        <f t="shared" ref="AW5:AW6" ca="1" si="18">AM5+AR5</f>
        <v>1</v>
      </c>
      <c r="AX5" s="41">
        <f t="shared" ref="AX5:AX6" ca="1" si="19">(AW5/$AW$16)</f>
        <v>5.1020408163265302E-3</v>
      </c>
      <c r="AY5" s="41">
        <f t="shared" ref="AY5:AY10" ca="1" si="20">AY6+AX5</f>
        <v>1</v>
      </c>
      <c r="AZ5" s="38"/>
    </row>
    <row r="6" spans="1:52" ht="15.75" customHeight="1" x14ac:dyDescent="0.25">
      <c r="A6" s="39"/>
      <c r="B6" s="40" t="s">
        <v>1357</v>
      </c>
      <c r="C6" s="40">
        <f ca="1">COUNTIFS(LIBRO_SOCIOS!V:V,"&gt;70",LIBRO_SOCIOS!V:V,"&lt;81",LIBRO_SOCIOS!M:M,"ZITRON-ASCAZ ambulatoria")</f>
        <v>0</v>
      </c>
      <c r="D6" s="41">
        <f t="shared" ca="1" si="0"/>
        <v>0</v>
      </c>
      <c r="E6" s="41">
        <f t="shared" ca="1" si="1"/>
        <v>1</v>
      </c>
      <c r="F6" s="37"/>
      <c r="G6" s="40" t="s">
        <v>1357</v>
      </c>
      <c r="H6" s="40">
        <f ca="1">COUNTIFS(LIBRO_SOCIOS!V:V,"&gt;70",LIBRO_SOCIOS!V:V,"&lt;81",LIBRO_SOCIOS!M:M,"ZITRON-ASCAZ HOSPITALARIA")</f>
        <v>0</v>
      </c>
      <c r="I6" s="41">
        <f t="shared" ref="I6" ca="1" si="21">(H6/$H$16)</f>
        <v>0</v>
      </c>
      <c r="J6" s="41">
        <f t="shared" ca="1" si="2"/>
        <v>0.99999999999999989</v>
      </c>
      <c r="K6" s="37"/>
      <c r="L6" s="40" t="s">
        <v>1357</v>
      </c>
      <c r="M6" s="40">
        <f ca="1">C6+H6</f>
        <v>0</v>
      </c>
      <c r="N6" s="41">
        <f t="shared" ca="1" si="3"/>
        <v>0</v>
      </c>
      <c r="O6" s="41">
        <f t="shared" ca="1" si="4"/>
        <v>1.0000000000000002</v>
      </c>
      <c r="P6" s="38"/>
      <c r="S6" s="39"/>
      <c r="T6" s="40" t="s">
        <v>1357</v>
      </c>
      <c r="U6" s="40">
        <f ca="1">COUNTIFS(LIBRO_SOCIOS!V:V,"&gt;70",LIBRO_SOCIOS!V:V,"&lt;81",LIBRO_SOCIOS!M:M,"ASCAZ ambulatoria")</f>
        <v>1</v>
      </c>
      <c r="V6" s="41">
        <f t="shared" ca="1" si="5"/>
        <v>5.2631578947368418E-2</v>
      </c>
      <c r="W6" s="41">
        <f t="shared" ca="1" si="6"/>
        <v>1</v>
      </c>
      <c r="X6" s="37"/>
      <c r="Y6" s="40" t="s">
        <v>1357</v>
      </c>
      <c r="Z6" s="40">
        <f ca="1">COUNTIFS(LIBRO_SOCIOS!V:V,"&gt;70",LIBRO_SOCIOS!V:V,"&lt;81",LIBRO_SOCIOS!M:M,"ASCAZ HOSPITALARIA")</f>
        <v>5</v>
      </c>
      <c r="AA6" s="41">
        <f t="shared" ca="1" si="7"/>
        <v>5.434782608695652E-2</v>
      </c>
      <c r="AB6" s="41">
        <f t="shared" ca="1" si="8"/>
        <v>0.98913043478260865</v>
      </c>
      <c r="AC6" s="37"/>
      <c r="AD6" s="40" t="s">
        <v>1357</v>
      </c>
      <c r="AE6" s="40">
        <f t="shared" ca="1" si="9"/>
        <v>6</v>
      </c>
      <c r="AF6" s="41">
        <f t="shared" ca="1" si="10"/>
        <v>5.4054054054054057E-2</v>
      </c>
      <c r="AG6" s="41">
        <f t="shared" ca="1" si="11"/>
        <v>0.99099099099099097</v>
      </c>
      <c r="AH6" s="38"/>
      <c r="AK6" s="39"/>
      <c r="AL6" s="40" t="s">
        <v>1357</v>
      </c>
      <c r="AM6" s="40">
        <f t="shared" ca="1" si="12"/>
        <v>1</v>
      </c>
      <c r="AN6" s="41">
        <f t="shared" ca="1" si="13"/>
        <v>3.0303030303030304E-2</v>
      </c>
      <c r="AO6" s="41">
        <f t="shared" ca="1" si="14"/>
        <v>1</v>
      </c>
      <c r="AP6" s="37"/>
      <c r="AQ6" s="40" t="s">
        <v>1357</v>
      </c>
      <c r="AR6" s="40">
        <f t="shared" ca="1" si="15"/>
        <v>5</v>
      </c>
      <c r="AS6" s="41">
        <f t="shared" ca="1" si="16"/>
        <v>3.0674846625766871E-2</v>
      </c>
      <c r="AT6" s="41">
        <f t="shared" ca="1" si="17"/>
        <v>0.99386503067484677</v>
      </c>
      <c r="AU6" s="37"/>
      <c r="AV6" s="40" t="s">
        <v>1357</v>
      </c>
      <c r="AW6" s="40">
        <f t="shared" ca="1" si="18"/>
        <v>6</v>
      </c>
      <c r="AX6" s="41">
        <f t="shared" ca="1" si="19"/>
        <v>3.0612244897959183E-2</v>
      </c>
      <c r="AY6" s="41">
        <f t="shared" ca="1" si="20"/>
        <v>0.99489795918367352</v>
      </c>
      <c r="AZ6" s="38"/>
    </row>
    <row r="7" spans="1:52" ht="15.75" customHeight="1" x14ac:dyDescent="0.25">
      <c r="A7" s="39"/>
      <c r="B7" s="40" t="s">
        <v>1356</v>
      </c>
      <c r="C7" s="40">
        <f ca="1">COUNTIFS(LIBRO_SOCIOS!V:V,"&gt;60",LIBRO_SOCIOS!V:V,"&lt;71",LIBRO_SOCIOS!M:M,"ZITRON-ASCAZ ambulatoria")</f>
        <v>0</v>
      </c>
      <c r="D7" s="41">
        <f ca="1">(C7/$C$16)</f>
        <v>0</v>
      </c>
      <c r="E7" s="41">
        <f ca="1">E8+D7</f>
        <v>1</v>
      </c>
      <c r="F7" s="37"/>
      <c r="G7" s="40" t="s">
        <v>1356</v>
      </c>
      <c r="H7" s="40">
        <f ca="1">COUNTIFS(LIBRO_SOCIOS!V:V,"&gt;60",LIBRO_SOCIOS!V:V,"&lt;71",LIBRO_SOCIOS!M:M,"ZITRON-ASCAZ HOSPITALARIA")</f>
        <v>6</v>
      </c>
      <c r="I7" s="41">
        <f ca="1">(H7/$H$16)</f>
        <v>8.4507042253521125E-2</v>
      </c>
      <c r="J7" s="41">
        <f t="shared" ca="1" si="2"/>
        <v>0.99999999999999989</v>
      </c>
      <c r="K7" s="37"/>
      <c r="L7" s="40" t="s">
        <v>1356</v>
      </c>
      <c r="M7" s="40">
        <f ca="1">C7+H7</f>
        <v>6</v>
      </c>
      <c r="N7" s="41">
        <f ca="1">(M7/$M$16)</f>
        <v>7.0588235294117646E-2</v>
      </c>
      <c r="O7" s="41">
        <f t="shared" ca="1" si="4"/>
        <v>1.0000000000000002</v>
      </c>
      <c r="P7" s="38"/>
      <c r="S7" s="39"/>
      <c r="T7" s="40" t="s">
        <v>1356</v>
      </c>
      <c r="U7" s="40">
        <f ca="1">COUNTIFS(LIBRO_SOCIOS!V:V,"&gt;60",LIBRO_SOCIOS!V:V,"&lt;71",LIBRO_SOCIOS!M:M,"ASCAZ ambulatoria")</f>
        <v>6</v>
      </c>
      <c r="V7" s="41">
        <f t="shared" ca="1" si="5"/>
        <v>0.31578947368421051</v>
      </c>
      <c r="W7" s="41">
        <f t="shared" ca="1" si="6"/>
        <v>0.94736842105263153</v>
      </c>
      <c r="X7" s="37"/>
      <c r="Y7" s="40" t="s">
        <v>1356</v>
      </c>
      <c r="Z7" s="40">
        <f ca="1">COUNTIFS(LIBRO_SOCIOS!V:V,"&gt;60",LIBRO_SOCIOS!V:V,"&lt;71",LIBRO_SOCIOS!M:M,"ASCAZ HOSPITALARIA")</f>
        <v>15</v>
      </c>
      <c r="AA7" s="41">
        <f ca="1">(Z7/$Z$16)</f>
        <v>0.16304347826086957</v>
      </c>
      <c r="AB7" s="41">
        <f t="shared" ca="1" si="8"/>
        <v>0.93478260869565211</v>
      </c>
      <c r="AC7" s="37"/>
      <c r="AD7" s="40" t="s">
        <v>1356</v>
      </c>
      <c r="AE7" s="40">
        <f ca="1">U7+Z7</f>
        <v>21</v>
      </c>
      <c r="AF7" s="41">
        <f t="shared" ref="AF7:AF13" ca="1" si="22">(AE7/$AE$16)</f>
        <v>0.1891891891891892</v>
      </c>
      <c r="AG7" s="41">
        <f t="shared" ca="1" si="11"/>
        <v>0.93693693693693691</v>
      </c>
      <c r="AH7" s="38"/>
      <c r="AK7" s="39"/>
      <c r="AL7" s="40" t="s">
        <v>1356</v>
      </c>
      <c r="AM7" s="40">
        <f ca="1">C7+U7</f>
        <v>6</v>
      </c>
      <c r="AN7" s="41">
        <f ca="1">(AM7/$AM$16)</f>
        <v>0.18181818181818182</v>
      </c>
      <c r="AO7" s="41">
        <f t="shared" ca="1" si="14"/>
        <v>0.96969696969696972</v>
      </c>
      <c r="AP7" s="37"/>
      <c r="AQ7" s="40" t="s">
        <v>1356</v>
      </c>
      <c r="AR7" s="40">
        <f ca="1">Z7+H7</f>
        <v>21</v>
      </c>
      <c r="AS7" s="41">
        <f ca="1">(AR7/$AR$16)</f>
        <v>0.12883435582822086</v>
      </c>
      <c r="AT7" s="41">
        <f t="shared" ca="1" si="17"/>
        <v>0.96319018404907986</v>
      </c>
      <c r="AU7" s="37"/>
      <c r="AV7" s="40" t="s">
        <v>1356</v>
      </c>
      <c r="AW7" s="40">
        <f ca="1">AM7+AR7</f>
        <v>27</v>
      </c>
      <c r="AX7" s="41">
        <f ca="1">(AW7/$AW$16)</f>
        <v>0.13775510204081631</v>
      </c>
      <c r="AY7" s="41">
        <f t="shared" ca="1" si="20"/>
        <v>0.9642857142857143</v>
      </c>
      <c r="AZ7" s="38"/>
    </row>
    <row r="8" spans="1:52" ht="15.75" customHeight="1" x14ac:dyDescent="0.25">
      <c r="A8" s="39"/>
      <c r="B8" s="40" t="s">
        <v>1345</v>
      </c>
      <c r="C8" s="40">
        <f ca="1">COUNTIFS(LIBRO_SOCIOS!V:V,"&gt;50",LIBRO_SOCIOS!V:V,"&lt;61",LIBRO_SOCIOS!M:M,"ZITRON-ASCAZ ambulatoria")</f>
        <v>0</v>
      </c>
      <c r="D8" s="41">
        <f t="shared" ref="D8:D13" ca="1" si="23">(C8/$C$16)</f>
        <v>0</v>
      </c>
      <c r="E8" s="41">
        <f t="shared" ref="E8:E10" ca="1" si="24">E9+D8</f>
        <v>1</v>
      </c>
      <c r="F8" s="37"/>
      <c r="G8" s="40" t="s">
        <v>1345</v>
      </c>
      <c r="H8" s="40">
        <f ca="1">COUNTIFS(LIBRO_SOCIOS!V:V,"&gt;50",LIBRO_SOCIOS!V:V,"&lt;61",LIBRO_SOCIOS!M:M,"ZITRON-ASCAZ HOSPITALARIA")</f>
        <v>7</v>
      </c>
      <c r="I8" s="41">
        <f t="shared" ref="I8:I13" ca="1" si="25">(H8/$H$16)</f>
        <v>9.8591549295774641E-2</v>
      </c>
      <c r="J8" s="41">
        <f t="shared" ca="1" si="2"/>
        <v>0.91549295774647876</v>
      </c>
      <c r="K8" s="37"/>
      <c r="L8" s="40" t="s">
        <v>1345</v>
      </c>
      <c r="M8" s="40">
        <f t="shared" ref="M8:M13" ca="1" si="26">C8+H8</f>
        <v>7</v>
      </c>
      <c r="N8" s="41">
        <f t="shared" ref="N8:N13" ca="1" si="27">(M8/$M$16)</f>
        <v>8.2352941176470587E-2</v>
      </c>
      <c r="O8" s="41">
        <f t="shared" ca="1" si="4"/>
        <v>0.92941176470588249</v>
      </c>
      <c r="P8" s="38"/>
      <c r="S8" s="39"/>
      <c r="T8" s="40" t="s">
        <v>1345</v>
      </c>
      <c r="U8" s="40">
        <f ca="1">COUNTIFS(LIBRO_SOCIOS!V:V,"&gt;50",LIBRO_SOCIOS!V:V,"&lt;61",LIBRO_SOCIOS!M:M,"ASCAZ ambulatoria")</f>
        <v>2</v>
      </c>
      <c r="V8" s="41">
        <f t="shared" ca="1" si="5"/>
        <v>0.10526315789473684</v>
      </c>
      <c r="W8" s="41">
        <f t="shared" ca="1" si="6"/>
        <v>0.63157894736842102</v>
      </c>
      <c r="X8" s="37"/>
      <c r="Y8" s="40" t="s">
        <v>1345</v>
      </c>
      <c r="Z8" s="40">
        <f ca="1">COUNTIFS(LIBRO_SOCIOS!V:V,"&gt;50",LIBRO_SOCIOS!V:V,"&lt;61",LIBRO_SOCIOS!M:M,"ASCAZ HOSPITALARIA")</f>
        <v>11</v>
      </c>
      <c r="AA8" s="41">
        <f t="shared" ref="AA8:AA13" ca="1" si="28">(Z8/$Z$16)</f>
        <v>0.11956521739130435</v>
      </c>
      <c r="AB8" s="41">
        <f t="shared" ca="1" si="8"/>
        <v>0.77173913043478259</v>
      </c>
      <c r="AC8" s="37"/>
      <c r="AD8" s="40" t="s">
        <v>1345</v>
      </c>
      <c r="AE8" s="40">
        <f t="shared" ref="AE8:AE13" ca="1" si="29">U8+Z8</f>
        <v>13</v>
      </c>
      <c r="AF8" s="41">
        <f t="shared" ca="1" si="22"/>
        <v>0.11711711711711711</v>
      </c>
      <c r="AG8" s="41">
        <f t="shared" ca="1" si="11"/>
        <v>0.74774774774774777</v>
      </c>
      <c r="AH8" s="38"/>
      <c r="AK8" s="39"/>
      <c r="AL8" s="40" t="s">
        <v>1345</v>
      </c>
      <c r="AM8" s="40">
        <f t="shared" ref="AM8:AM13" ca="1" si="30">C8+U8</f>
        <v>2</v>
      </c>
      <c r="AN8" s="41">
        <f t="shared" ref="AN8:AN13" ca="1" si="31">(AM8/$AM$16)</f>
        <v>6.0606060606060608E-2</v>
      </c>
      <c r="AO8" s="41">
        <f t="shared" ca="1" si="14"/>
        <v>0.78787878787878785</v>
      </c>
      <c r="AP8" s="37"/>
      <c r="AQ8" s="40" t="s">
        <v>1345</v>
      </c>
      <c r="AR8" s="40">
        <f t="shared" ref="AR8:AR13" ca="1" si="32">Z8+H8</f>
        <v>18</v>
      </c>
      <c r="AS8" s="41">
        <f t="shared" ref="AS8:AS13" ca="1" si="33">(AR8/$AR$16)</f>
        <v>0.11042944785276074</v>
      </c>
      <c r="AT8" s="41">
        <f t="shared" ca="1" si="17"/>
        <v>0.83435582822085896</v>
      </c>
      <c r="AU8" s="37"/>
      <c r="AV8" s="40" t="s">
        <v>1345</v>
      </c>
      <c r="AW8" s="40">
        <f ca="1">AM8+AR8</f>
        <v>20</v>
      </c>
      <c r="AX8" s="41">
        <f t="shared" ref="AX8:AX13" ca="1" si="34">(AW8/$AW$16)</f>
        <v>0.10204081632653061</v>
      </c>
      <c r="AY8" s="41">
        <f t="shared" ca="1" si="20"/>
        <v>0.82653061224489799</v>
      </c>
      <c r="AZ8" s="38"/>
    </row>
    <row r="9" spans="1:52" ht="15.75" customHeight="1" x14ac:dyDescent="0.25">
      <c r="A9" s="39"/>
      <c r="B9" s="40" t="s">
        <v>1346</v>
      </c>
      <c r="C9" s="40">
        <f ca="1">COUNTIFS(LIBRO_SOCIOS!V:V,"&gt;40",LIBRO_SOCIOS!V:V,"&lt;51",LIBRO_SOCIOS!M:M,"ZITRON-ASCAZ ambulatoria")</f>
        <v>2</v>
      </c>
      <c r="D9" s="41">
        <f t="shared" ca="1" si="23"/>
        <v>0.14285714285714285</v>
      </c>
      <c r="E9" s="41">
        <f t="shared" ca="1" si="24"/>
        <v>1</v>
      </c>
      <c r="F9" s="37"/>
      <c r="G9" s="40" t="s">
        <v>1346</v>
      </c>
      <c r="H9" s="40">
        <f ca="1">COUNTIFS(LIBRO_SOCIOS!V:V,"&gt;40",LIBRO_SOCIOS!V:V,"&lt;51",LIBRO_SOCIOS!M:M,"ZITRON-ASCAZ HOSPITALARIA")</f>
        <v>19</v>
      </c>
      <c r="I9" s="41">
        <f t="shared" ca="1" si="25"/>
        <v>0.26760563380281688</v>
      </c>
      <c r="J9" s="41">
        <f t="shared" ca="1" si="2"/>
        <v>0.81690140845070414</v>
      </c>
      <c r="K9" s="37"/>
      <c r="L9" s="40" t="s">
        <v>1346</v>
      </c>
      <c r="M9" s="40">
        <f t="shared" ca="1" si="26"/>
        <v>21</v>
      </c>
      <c r="N9" s="41">
        <f t="shared" ca="1" si="27"/>
        <v>0.24705882352941178</v>
      </c>
      <c r="O9" s="41">
        <f t="shared" ca="1" si="4"/>
        <v>0.84705882352941186</v>
      </c>
      <c r="P9" s="38"/>
      <c r="S9" s="39"/>
      <c r="T9" s="40" t="s">
        <v>1346</v>
      </c>
      <c r="U9" s="40">
        <f ca="1">COUNTIFS(LIBRO_SOCIOS!V:V,"&gt;40",LIBRO_SOCIOS!V:V,"&lt;51",LIBRO_SOCIOS!M:M,"ASCAZ ambulatoria")</f>
        <v>2</v>
      </c>
      <c r="V9" s="41">
        <f t="shared" ca="1" si="5"/>
        <v>0.10526315789473684</v>
      </c>
      <c r="W9" s="41">
        <f t="shared" ca="1" si="6"/>
        <v>0.52631578947368418</v>
      </c>
      <c r="X9" s="37"/>
      <c r="Y9" s="40" t="s">
        <v>1346</v>
      </c>
      <c r="Z9" s="40">
        <f ca="1">COUNTIFS(LIBRO_SOCIOS!V:V,"&gt;40",LIBRO_SOCIOS!V:V,"&lt;51",LIBRO_SOCIOS!M:M,"ASCAZ HOSPITALARIA")</f>
        <v>29</v>
      </c>
      <c r="AA9" s="41">
        <f t="shared" ca="1" si="28"/>
        <v>0.31521739130434784</v>
      </c>
      <c r="AB9" s="41">
        <f t="shared" ca="1" si="8"/>
        <v>0.65217391304347827</v>
      </c>
      <c r="AC9" s="37"/>
      <c r="AD9" s="40" t="s">
        <v>1346</v>
      </c>
      <c r="AE9" s="40">
        <f t="shared" ca="1" si="29"/>
        <v>31</v>
      </c>
      <c r="AF9" s="41">
        <f t="shared" ca="1" si="22"/>
        <v>0.27927927927927926</v>
      </c>
      <c r="AG9" s="41">
        <f t="shared" ca="1" si="11"/>
        <v>0.63063063063063063</v>
      </c>
      <c r="AH9" s="38"/>
      <c r="AK9" s="39"/>
      <c r="AL9" s="40" t="s">
        <v>1346</v>
      </c>
      <c r="AM9" s="40">
        <f t="shared" ca="1" si="30"/>
        <v>4</v>
      </c>
      <c r="AN9" s="41">
        <f t="shared" ca="1" si="31"/>
        <v>0.12121212121212122</v>
      </c>
      <c r="AO9" s="41">
        <f t="shared" ca="1" si="14"/>
        <v>0.72727272727272729</v>
      </c>
      <c r="AP9" s="37"/>
      <c r="AQ9" s="40" t="s">
        <v>1346</v>
      </c>
      <c r="AR9" s="40">
        <f t="shared" ca="1" si="32"/>
        <v>48</v>
      </c>
      <c r="AS9" s="41">
        <f t="shared" ca="1" si="33"/>
        <v>0.29447852760736198</v>
      </c>
      <c r="AT9" s="41">
        <f t="shared" ca="1" si="17"/>
        <v>0.7239263803680982</v>
      </c>
      <c r="AU9" s="37"/>
      <c r="AV9" s="40" t="s">
        <v>1346</v>
      </c>
      <c r="AW9" s="40">
        <f ca="1">AM9+AR9</f>
        <v>52</v>
      </c>
      <c r="AX9" s="41">
        <f t="shared" ca="1" si="34"/>
        <v>0.26530612244897961</v>
      </c>
      <c r="AY9" s="41">
        <f t="shared" ca="1" si="20"/>
        <v>0.72448979591836737</v>
      </c>
      <c r="AZ9" s="38"/>
    </row>
    <row r="10" spans="1:52" ht="15" customHeight="1" x14ac:dyDescent="0.25">
      <c r="A10" s="39"/>
      <c r="B10" s="40" t="s">
        <v>1347</v>
      </c>
      <c r="C10" s="40">
        <f ca="1">COUNTIFS(LIBRO_SOCIOS!V:V,"&gt;30",LIBRO_SOCIOS!V:V,"&lt;41",LIBRO_SOCIOS!M:M,"ZITRON-ASCAZ ambulatoria")</f>
        <v>1</v>
      </c>
      <c r="D10" s="41">
        <f t="shared" ca="1" si="23"/>
        <v>7.1428571428571425E-2</v>
      </c>
      <c r="E10" s="41">
        <f t="shared" ca="1" si="24"/>
        <v>0.8571428571428571</v>
      </c>
      <c r="F10" s="37"/>
      <c r="G10" s="40" t="s">
        <v>1347</v>
      </c>
      <c r="H10" s="40">
        <f ca="1">COUNTIFS(LIBRO_SOCIOS!V:V,"&gt;30",LIBRO_SOCIOS!V:V,"&lt;41",LIBRO_SOCIOS!M:M,"ZITRON-ASCAZ HOSPITALARIA")</f>
        <v>28</v>
      </c>
      <c r="I10" s="41">
        <f t="shared" ca="1" si="25"/>
        <v>0.39436619718309857</v>
      </c>
      <c r="J10" s="41">
        <f t="shared" ca="1" si="2"/>
        <v>0.54929577464788726</v>
      </c>
      <c r="K10" s="37"/>
      <c r="L10" s="40" t="s">
        <v>1347</v>
      </c>
      <c r="M10" s="40">
        <f t="shared" ca="1" si="26"/>
        <v>29</v>
      </c>
      <c r="N10" s="41">
        <f t="shared" ca="1" si="27"/>
        <v>0.3411764705882353</v>
      </c>
      <c r="O10" s="41">
        <f t="shared" ca="1" si="4"/>
        <v>0.60000000000000009</v>
      </c>
      <c r="P10" s="38"/>
      <c r="S10" s="39"/>
      <c r="T10" s="40" t="s">
        <v>1347</v>
      </c>
      <c r="U10" s="40">
        <f ca="1">COUNTIFS(LIBRO_SOCIOS!V:V,"&gt;30",LIBRO_SOCIOS!V:V,"&lt;41",LIBRO_SOCIOS!M:M,"ASCAZ ambulatoria")</f>
        <v>4</v>
      </c>
      <c r="V10" s="41">
        <f t="shared" ca="1" si="5"/>
        <v>0.21052631578947367</v>
      </c>
      <c r="W10" s="41">
        <f t="shared" ca="1" si="6"/>
        <v>0.42105263157894735</v>
      </c>
      <c r="X10" s="37"/>
      <c r="Y10" s="40" t="s">
        <v>1347</v>
      </c>
      <c r="Z10" s="40">
        <f ca="1">COUNTIFS(LIBRO_SOCIOS!V:V,"&gt;30",LIBRO_SOCIOS!V:V,"&lt;41",LIBRO_SOCIOS!M:M,"ASCAZ HOSPITALARIA")</f>
        <v>24</v>
      </c>
      <c r="AA10" s="41">
        <f t="shared" ca="1" si="28"/>
        <v>0.2608695652173913</v>
      </c>
      <c r="AB10" s="41">
        <f t="shared" ca="1" si="8"/>
        <v>0.33695652173913043</v>
      </c>
      <c r="AC10" s="37"/>
      <c r="AD10" s="40" t="s">
        <v>1347</v>
      </c>
      <c r="AE10" s="40">
        <f t="shared" ca="1" si="29"/>
        <v>28</v>
      </c>
      <c r="AF10" s="41">
        <f t="shared" ca="1" si="22"/>
        <v>0.25225225225225223</v>
      </c>
      <c r="AG10" s="41">
        <f t="shared" ca="1" si="11"/>
        <v>0.35135135135135132</v>
      </c>
      <c r="AH10" s="38"/>
      <c r="AK10" s="39"/>
      <c r="AL10" s="40" t="s">
        <v>1347</v>
      </c>
      <c r="AM10" s="40">
        <f t="shared" ca="1" si="30"/>
        <v>5</v>
      </c>
      <c r="AN10" s="41">
        <f t="shared" ca="1" si="31"/>
        <v>0.15151515151515152</v>
      </c>
      <c r="AO10" s="41">
        <f t="shared" ca="1" si="14"/>
        <v>0.60606060606060608</v>
      </c>
      <c r="AP10" s="37"/>
      <c r="AQ10" s="40" t="s">
        <v>1347</v>
      </c>
      <c r="AR10" s="40">
        <f t="shared" ca="1" si="32"/>
        <v>52</v>
      </c>
      <c r="AS10" s="41">
        <f t="shared" ca="1" si="33"/>
        <v>0.31901840490797545</v>
      </c>
      <c r="AT10" s="41">
        <f t="shared" ca="1" si="17"/>
        <v>0.42944785276073616</v>
      </c>
      <c r="AU10" s="37"/>
      <c r="AV10" s="40" t="s">
        <v>1347</v>
      </c>
      <c r="AW10" s="40">
        <f ca="1">AM10+AR10</f>
        <v>57</v>
      </c>
      <c r="AX10" s="41">
        <f t="shared" ca="1" si="34"/>
        <v>0.29081632653061223</v>
      </c>
      <c r="AY10" s="41">
        <f t="shared" ca="1" si="20"/>
        <v>0.45918367346938771</v>
      </c>
      <c r="AZ10" s="38"/>
    </row>
    <row r="11" spans="1:52" ht="15.75" customHeight="1" x14ac:dyDescent="0.25">
      <c r="A11" s="39"/>
      <c r="B11" s="40" t="s">
        <v>1348</v>
      </c>
      <c r="C11" s="40">
        <f ca="1">COUNTIFS(LIBRO_SOCIOS!V:V,"&gt;20",LIBRO_SOCIOS!V:V,"&lt;31",LIBRO_SOCIOS!M:M,"ZITRON-ASCAZ ambulatoria")</f>
        <v>1</v>
      </c>
      <c r="D11" s="41">
        <f t="shared" ca="1" si="23"/>
        <v>7.1428571428571425E-2</v>
      </c>
      <c r="E11" s="41">
        <f ca="1">E12+D11</f>
        <v>0.7857142857142857</v>
      </c>
      <c r="F11" s="37"/>
      <c r="G11" s="40" t="s">
        <v>1348</v>
      </c>
      <c r="H11" s="40">
        <f ca="1">COUNTIFS(LIBRO_SOCIOS!V:V,"&gt;20",LIBRO_SOCIOS!V:V,"&lt;31",LIBRO_SOCIOS!M:M,"ZITRON-ASCAZ HOSPITALARIA")</f>
        <v>4</v>
      </c>
      <c r="I11" s="41">
        <f t="shared" ca="1" si="25"/>
        <v>5.6338028169014086E-2</v>
      </c>
      <c r="J11" s="41">
        <f ca="1">J12+I11</f>
        <v>0.15492957746478875</v>
      </c>
      <c r="K11" s="37"/>
      <c r="L11" s="40" t="s">
        <v>1348</v>
      </c>
      <c r="M11" s="40">
        <f t="shared" ca="1" si="26"/>
        <v>5</v>
      </c>
      <c r="N11" s="41">
        <f t="shared" ca="1" si="27"/>
        <v>5.8823529411764705E-2</v>
      </c>
      <c r="O11" s="41">
        <f ca="1">O12+N11</f>
        <v>0.25882352941176473</v>
      </c>
      <c r="P11" s="38"/>
      <c r="S11" s="39"/>
      <c r="T11" s="40" t="s">
        <v>1348</v>
      </c>
      <c r="U11" s="40">
        <f ca="1">COUNTIFS(LIBRO_SOCIOS!V:V,"&gt;20",LIBRO_SOCIOS!V:V,"&lt;31",LIBRO_SOCIOS!M:M,"ASCAZ ambulatoria")</f>
        <v>1</v>
      </c>
      <c r="V11" s="41">
        <f t="shared" ca="1" si="5"/>
        <v>5.2631578947368418E-2</v>
      </c>
      <c r="W11" s="41">
        <f ca="1">W12+V11</f>
        <v>0.21052631578947367</v>
      </c>
      <c r="X11" s="37"/>
      <c r="Y11" s="40" t="s">
        <v>1348</v>
      </c>
      <c r="Z11" s="40">
        <f ca="1">COUNTIFS(LIBRO_SOCIOS!V:V,"&gt;20",LIBRO_SOCIOS!V:V,"&lt;31",LIBRO_SOCIOS!M:M,"ASCAZ HOSPITALARIA")</f>
        <v>1</v>
      </c>
      <c r="AA11" s="41">
        <f t="shared" ca="1" si="28"/>
        <v>1.0869565217391304E-2</v>
      </c>
      <c r="AB11" s="41">
        <f ca="1">AB12+AA11</f>
        <v>7.6086956521739135E-2</v>
      </c>
      <c r="AC11" s="37"/>
      <c r="AD11" s="40" t="s">
        <v>1348</v>
      </c>
      <c r="AE11" s="40">
        <f t="shared" ca="1" si="29"/>
        <v>2</v>
      </c>
      <c r="AF11" s="41">
        <f t="shared" ca="1" si="22"/>
        <v>1.8018018018018018E-2</v>
      </c>
      <c r="AG11" s="41">
        <f ca="1">AG12+AF11</f>
        <v>9.9099099099099086E-2</v>
      </c>
      <c r="AH11" s="38"/>
      <c r="AK11" s="39"/>
      <c r="AL11" s="40" t="s">
        <v>1348</v>
      </c>
      <c r="AM11" s="40">
        <f t="shared" ca="1" si="30"/>
        <v>2</v>
      </c>
      <c r="AN11" s="41">
        <f t="shared" ca="1" si="31"/>
        <v>6.0606060606060608E-2</v>
      </c>
      <c r="AO11" s="41">
        <f ca="1">AO12+AN11</f>
        <v>0.45454545454545453</v>
      </c>
      <c r="AP11" s="37"/>
      <c r="AQ11" s="40" t="s">
        <v>1348</v>
      </c>
      <c r="AR11" s="40">
        <f t="shared" ca="1" si="32"/>
        <v>5</v>
      </c>
      <c r="AS11" s="41">
        <f t="shared" ca="1" si="33"/>
        <v>3.0674846625766871E-2</v>
      </c>
      <c r="AT11" s="41">
        <f ca="1">AT12+AS11</f>
        <v>0.11042944785276074</v>
      </c>
      <c r="AU11" s="37"/>
      <c r="AV11" s="40" t="s">
        <v>1348</v>
      </c>
      <c r="AW11" s="40">
        <f ca="1">AM11+AR11</f>
        <v>7</v>
      </c>
      <c r="AX11" s="41">
        <f t="shared" ca="1" si="34"/>
        <v>3.5714285714285712E-2</v>
      </c>
      <c r="AY11" s="41">
        <f ca="1">AY12+AX11</f>
        <v>0.16836734693877548</v>
      </c>
      <c r="AZ11" s="38"/>
    </row>
    <row r="12" spans="1:52" ht="15.75" customHeight="1" x14ac:dyDescent="0.25">
      <c r="A12" s="39"/>
      <c r="B12" s="42" t="s">
        <v>1349</v>
      </c>
      <c r="C12" s="40">
        <f ca="1">COUNTIFS(LIBRO_SOCIOS!V:V,"&gt;10",LIBRO_SOCIOS!V:V,"&lt;21",LIBRO_SOCIOS!M:M,"ZITRON-ASCAZ ambulatoria")</f>
        <v>3</v>
      </c>
      <c r="D12" s="41">
        <f t="shared" ca="1" si="23"/>
        <v>0.21428571428571427</v>
      </c>
      <c r="E12" s="41">
        <f ca="1">D13+D12</f>
        <v>0.7142857142857143</v>
      </c>
      <c r="F12" s="37"/>
      <c r="G12" s="42" t="s">
        <v>1349</v>
      </c>
      <c r="H12" s="40">
        <f ca="1">COUNTIFS(LIBRO_SOCIOS!V:V,"&gt;10",LIBRO_SOCIOS!V:V,"&lt;21",LIBRO_SOCIOS!M:M,"ZITRON-ASCAZ HOSPITALARIA")</f>
        <v>2</v>
      </c>
      <c r="I12" s="41">
        <f t="shared" ca="1" si="25"/>
        <v>2.8169014084507043E-2</v>
      </c>
      <c r="J12" s="41">
        <f ca="1">I13+I12</f>
        <v>9.8591549295774655E-2</v>
      </c>
      <c r="K12" s="37"/>
      <c r="L12" s="42" t="s">
        <v>1349</v>
      </c>
      <c r="M12" s="40">
        <f t="shared" ca="1" si="26"/>
        <v>5</v>
      </c>
      <c r="N12" s="41">
        <f t="shared" ca="1" si="27"/>
        <v>5.8823529411764705E-2</v>
      </c>
      <c r="O12" s="41">
        <f ca="1">N13+N12</f>
        <v>0.2</v>
      </c>
      <c r="P12" s="38"/>
      <c r="S12" s="39"/>
      <c r="T12" s="42" t="s">
        <v>1349</v>
      </c>
      <c r="U12" s="40">
        <f ca="1">COUNTIFS(LIBRO_SOCIOS!V:V,"&gt;10",LIBRO_SOCIOS!V:V,"&lt;21",LIBRO_SOCIOS!M:M,"ASCAZ ambulatoria")</f>
        <v>0</v>
      </c>
      <c r="V12" s="41">
        <f t="shared" ca="1" si="5"/>
        <v>0</v>
      </c>
      <c r="W12" s="41">
        <f ca="1">V13+V12</f>
        <v>0.15789473684210525</v>
      </c>
      <c r="X12" s="37"/>
      <c r="Y12" s="42" t="s">
        <v>1349</v>
      </c>
      <c r="Z12" s="40">
        <f ca="1">COUNTIFS(LIBRO_SOCIOS!V:V,"&gt;10",LIBRO_SOCIOS!V:V,"&lt;21",LIBRO_SOCIOS!M:M,"ASCAZ HOSPITALARIA")</f>
        <v>2</v>
      </c>
      <c r="AA12" s="41">
        <f t="shared" ca="1" si="28"/>
        <v>2.1739130434782608E-2</v>
      </c>
      <c r="AB12" s="41">
        <f ca="1">AA13+AA12</f>
        <v>6.5217391304347824E-2</v>
      </c>
      <c r="AC12" s="37"/>
      <c r="AD12" s="42" t="s">
        <v>1349</v>
      </c>
      <c r="AE12" s="40">
        <f t="shared" ca="1" si="29"/>
        <v>2</v>
      </c>
      <c r="AF12" s="41">
        <f t="shared" ca="1" si="22"/>
        <v>1.8018018018018018E-2</v>
      </c>
      <c r="AG12" s="41">
        <f ca="1">AF13+AF12</f>
        <v>8.1081081081081072E-2</v>
      </c>
      <c r="AH12" s="38"/>
      <c r="AK12" s="39"/>
      <c r="AL12" s="42" t="s">
        <v>1349</v>
      </c>
      <c r="AM12" s="40">
        <f t="shared" ca="1" si="30"/>
        <v>3</v>
      </c>
      <c r="AN12" s="41">
        <f t="shared" ca="1" si="31"/>
        <v>9.0909090909090912E-2</v>
      </c>
      <c r="AO12" s="41">
        <f ca="1">AN13+AN12</f>
        <v>0.39393939393939392</v>
      </c>
      <c r="AP12" s="37"/>
      <c r="AQ12" s="42" t="s">
        <v>1349</v>
      </c>
      <c r="AR12" s="40">
        <f t="shared" ca="1" si="32"/>
        <v>4</v>
      </c>
      <c r="AS12" s="41">
        <f t="shared" ca="1" si="33"/>
        <v>2.4539877300613498E-2</v>
      </c>
      <c r="AT12" s="41">
        <f ca="1">AS13+AS12</f>
        <v>7.9754601226993863E-2</v>
      </c>
      <c r="AU12" s="37"/>
      <c r="AV12" s="42" t="s">
        <v>1349</v>
      </c>
      <c r="AW12" s="40">
        <f t="shared" ref="AW12:AW13" ca="1" si="35">AM12+AR12</f>
        <v>7</v>
      </c>
      <c r="AX12" s="41">
        <f t="shared" ca="1" si="34"/>
        <v>3.5714285714285712E-2</v>
      </c>
      <c r="AY12" s="41">
        <f ca="1">AX13+AX12</f>
        <v>0.13265306122448978</v>
      </c>
      <c r="AZ12" s="38"/>
    </row>
    <row r="13" spans="1:52" ht="15.75" customHeight="1" x14ac:dyDescent="0.25">
      <c r="A13" s="39"/>
      <c r="B13" s="43" t="s">
        <v>1350</v>
      </c>
      <c r="C13" s="40">
        <f ca="1">COUNTIFS(LIBRO_SOCIOS!V:V,"&gt;0",LIBRO_SOCIOS!V:V,"&lt;11",LIBRO_SOCIOS!M:M,"ZITRON-ASCAZ ambulatoria")</f>
        <v>7</v>
      </c>
      <c r="D13" s="41">
        <f t="shared" ca="1" si="23"/>
        <v>0.5</v>
      </c>
      <c r="F13" s="37"/>
      <c r="G13" s="43" t="s">
        <v>1350</v>
      </c>
      <c r="H13" s="40">
        <f ca="1">COUNTIFS(LIBRO_SOCIOS!V:V,"&gt;0",LIBRO_SOCIOS!V:V,"&lt;11",LIBRO_SOCIOS!M:M,"ZITRON-ASCAZ HOSPITALARIA")</f>
        <v>5</v>
      </c>
      <c r="I13" s="41">
        <f t="shared" ca="1" si="25"/>
        <v>7.0422535211267609E-2</v>
      </c>
      <c r="K13" s="37"/>
      <c r="L13" s="43" t="s">
        <v>1350</v>
      </c>
      <c r="M13" s="40">
        <f t="shared" ca="1" si="26"/>
        <v>12</v>
      </c>
      <c r="N13" s="41">
        <f t="shared" ca="1" si="27"/>
        <v>0.14117647058823529</v>
      </c>
      <c r="P13" s="38"/>
      <c r="S13" s="39"/>
      <c r="T13" s="43" t="s">
        <v>1350</v>
      </c>
      <c r="U13" s="40">
        <f ca="1">COUNTIFS(LIBRO_SOCIOS!V:V,"&gt;0",LIBRO_SOCIOS!V:V,"&lt;11",LIBRO_SOCIOS!M:M,"ASCAZ ambulatoria")</f>
        <v>3</v>
      </c>
      <c r="V13" s="41">
        <f ca="1">(U13/$U$16)</f>
        <v>0.15789473684210525</v>
      </c>
      <c r="X13" s="37"/>
      <c r="Y13" s="43" t="s">
        <v>1350</v>
      </c>
      <c r="Z13" s="40">
        <f ca="1">COUNTIFS(LIBRO_SOCIOS!V:V,"&gt;0",LIBRO_SOCIOS!V:V,"&lt;11",LIBRO_SOCIOS!M:M,"ASCAZ HOSPITALARIA")</f>
        <v>4</v>
      </c>
      <c r="AA13" s="41">
        <f t="shared" ca="1" si="28"/>
        <v>4.3478260869565216E-2</v>
      </c>
      <c r="AC13" s="37"/>
      <c r="AD13" s="43" t="s">
        <v>1350</v>
      </c>
      <c r="AE13" s="40">
        <f t="shared" ca="1" si="29"/>
        <v>7</v>
      </c>
      <c r="AF13" s="41">
        <f t="shared" ca="1" si="22"/>
        <v>6.3063063063063057E-2</v>
      </c>
      <c r="AH13" s="38"/>
      <c r="AK13" s="39"/>
      <c r="AL13" s="43" t="s">
        <v>1350</v>
      </c>
      <c r="AM13" s="40">
        <f t="shared" ca="1" si="30"/>
        <v>10</v>
      </c>
      <c r="AN13" s="41">
        <f t="shared" ca="1" si="31"/>
        <v>0.30303030303030304</v>
      </c>
      <c r="AP13" s="37"/>
      <c r="AQ13" s="43" t="s">
        <v>1350</v>
      </c>
      <c r="AR13" s="40">
        <f t="shared" ca="1" si="32"/>
        <v>9</v>
      </c>
      <c r="AS13" s="41">
        <f t="shared" ca="1" si="33"/>
        <v>5.5214723926380369E-2</v>
      </c>
      <c r="AU13" s="37"/>
      <c r="AV13" s="43" t="s">
        <v>1350</v>
      </c>
      <c r="AW13" s="40">
        <f t="shared" ca="1" si="35"/>
        <v>19</v>
      </c>
      <c r="AX13" s="41">
        <f t="shared" ca="1" si="34"/>
        <v>9.6938775510204078E-2</v>
      </c>
      <c r="AZ13" s="38"/>
    </row>
    <row r="14" spans="1:52" ht="15.75" customHeight="1" x14ac:dyDescent="0.25">
      <c r="A14" s="39"/>
      <c r="F14" s="37"/>
      <c r="I14" s="44"/>
      <c r="J14" s="44"/>
      <c r="K14" s="37"/>
      <c r="P14" s="38"/>
      <c r="S14" s="39"/>
      <c r="V14" s="44"/>
      <c r="X14" s="37"/>
      <c r="AC14" s="37"/>
      <c r="AH14" s="38"/>
      <c r="AK14" s="39"/>
      <c r="AP14" s="37"/>
      <c r="AU14" s="37"/>
      <c r="AZ14" s="38"/>
    </row>
    <row r="15" spans="1:52" x14ac:dyDescent="0.25">
      <c r="A15" s="39"/>
      <c r="B15" s="40"/>
      <c r="C15" s="40"/>
      <c r="D15" s="41"/>
      <c r="E15" s="41"/>
      <c r="F15" s="37"/>
      <c r="G15" s="40"/>
      <c r="H15" s="40"/>
      <c r="I15" s="45"/>
      <c r="J15" s="41"/>
      <c r="K15" s="37"/>
      <c r="L15" s="40"/>
      <c r="M15" s="40"/>
      <c r="N15" s="41"/>
      <c r="O15" s="41"/>
      <c r="P15" s="38"/>
      <c r="S15" s="39"/>
      <c r="T15" s="40"/>
      <c r="U15" s="40"/>
      <c r="V15" s="45"/>
      <c r="W15" s="41"/>
      <c r="X15" s="37"/>
      <c r="Y15" s="40"/>
      <c r="Z15" s="40"/>
      <c r="AA15" s="45"/>
      <c r="AB15" s="41"/>
      <c r="AC15" s="37"/>
      <c r="AD15" s="40"/>
      <c r="AE15" s="40"/>
      <c r="AF15" s="45"/>
      <c r="AG15" s="41"/>
      <c r="AH15" s="38"/>
      <c r="AK15" s="39"/>
      <c r="AL15" s="40"/>
      <c r="AM15" s="40"/>
      <c r="AN15" s="45"/>
      <c r="AO15" s="41"/>
      <c r="AP15" s="37"/>
      <c r="AQ15" s="40"/>
      <c r="AR15" s="40"/>
      <c r="AS15" s="45"/>
      <c r="AT15" s="41"/>
      <c r="AU15" s="37"/>
      <c r="AV15" s="40"/>
      <c r="AW15" s="40"/>
      <c r="AX15" s="45"/>
      <c r="AY15" s="41"/>
      <c r="AZ15" s="38"/>
    </row>
    <row r="16" spans="1:52" ht="15.75" customHeight="1" x14ac:dyDescent="0.25">
      <c r="A16" s="39"/>
      <c r="B16" s="40" t="s">
        <v>1355</v>
      </c>
      <c r="C16" s="40">
        <f ca="1">SUM(C5:C13)</f>
        <v>14</v>
      </c>
      <c r="D16" s="41"/>
      <c r="E16" s="45"/>
      <c r="F16" s="37"/>
      <c r="G16" s="40" t="s">
        <v>1355</v>
      </c>
      <c r="H16" s="40">
        <f ca="1">SUM(H5:H13)</f>
        <v>71</v>
      </c>
      <c r="I16" s="45"/>
      <c r="J16" s="45"/>
      <c r="K16" s="37"/>
      <c r="L16" s="40" t="s">
        <v>1355</v>
      </c>
      <c r="M16" s="40">
        <f ca="1">SUM(M5:M13)</f>
        <v>85</v>
      </c>
      <c r="N16" s="45"/>
      <c r="O16" s="45"/>
      <c r="P16" s="38"/>
      <c r="S16" s="39"/>
      <c r="T16" s="40" t="s">
        <v>1355</v>
      </c>
      <c r="U16" s="40">
        <f ca="1">SUM(U5:U13)</f>
        <v>19</v>
      </c>
      <c r="V16" s="41"/>
      <c r="W16" s="45"/>
      <c r="X16" s="37"/>
      <c r="Y16" s="40" t="s">
        <v>1355</v>
      </c>
      <c r="Z16" s="40">
        <f ca="1">SUM(Z5:Z13)</f>
        <v>92</v>
      </c>
      <c r="AA16" s="45"/>
      <c r="AB16" s="45"/>
      <c r="AC16" s="37"/>
      <c r="AD16" s="40" t="s">
        <v>1355</v>
      </c>
      <c r="AE16" s="40">
        <f ca="1">SUM(AE5:AE13)</f>
        <v>111</v>
      </c>
      <c r="AF16" s="45"/>
      <c r="AG16" s="45"/>
      <c r="AH16" s="38"/>
      <c r="AK16" s="39"/>
      <c r="AL16" s="40" t="s">
        <v>1355</v>
      </c>
      <c r="AM16" s="40">
        <f ca="1">SUM(AM5:AM13)</f>
        <v>33</v>
      </c>
      <c r="AN16" s="41"/>
      <c r="AO16" s="45"/>
      <c r="AP16" s="37"/>
      <c r="AQ16" s="40" t="s">
        <v>1355</v>
      </c>
      <c r="AR16" s="40">
        <f ca="1">SUM(AR5:AR13)</f>
        <v>163</v>
      </c>
      <c r="AS16" s="45"/>
      <c r="AT16" s="45"/>
      <c r="AU16" s="37"/>
      <c r="AV16" s="40" t="s">
        <v>1355</v>
      </c>
      <c r="AW16" s="40">
        <f ca="1">AM16+AR16</f>
        <v>196</v>
      </c>
      <c r="AX16" s="45"/>
      <c r="AY16" s="45"/>
      <c r="AZ16" s="38"/>
    </row>
    <row r="17" spans="1:54" ht="15.75" customHeight="1" x14ac:dyDescent="0.25">
      <c r="A17" s="39"/>
      <c r="B17" s="40"/>
      <c r="C17" s="46"/>
      <c r="D17" s="45"/>
      <c r="E17" s="45"/>
      <c r="F17" s="37"/>
      <c r="G17" s="40"/>
      <c r="H17" s="40"/>
      <c r="I17" s="45"/>
      <c r="J17" s="45"/>
      <c r="K17" s="37"/>
      <c r="L17" s="40"/>
      <c r="M17" s="46"/>
      <c r="N17" s="45"/>
      <c r="O17" s="45"/>
      <c r="P17" s="38"/>
      <c r="S17" s="39"/>
      <c r="T17" s="40"/>
      <c r="U17" s="46"/>
      <c r="V17" s="45"/>
      <c r="W17" s="45"/>
      <c r="X17" s="37"/>
      <c r="Y17" s="40"/>
      <c r="Z17" s="40"/>
      <c r="AA17" s="45"/>
      <c r="AB17" s="45"/>
      <c r="AC17" s="37"/>
      <c r="AD17" s="40"/>
      <c r="AE17" s="46"/>
      <c r="AF17" s="45"/>
      <c r="AG17" s="45"/>
      <c r="AH17" s="38"/>
      <c r="AK17" s="39"/>
      <c r="AL17" s="40"/>
      <c r="AM17" s="40"/>
      <c r="AN17" s="45"/>
      <c r="AO17" s="45"/>
      <c r="AP17" s="37"/>
      <c r="AQ17" s="40"/>
      <c r="AR17" s="40"/>
      <c r="AS17" s="45"/>
      <c r="AT17" s="45"/>
      <c r="AU17" s="37"/>
      <c r="AV17" s="40"/>
      <c r="AW17" s="40"/>
      <c r="AX17" s="45"/>
      <c r="AY17" s="45"/>
      <c r="AZ17" s="38"/>
    </row>
    <row r="18" spans="1:54" ht="15.75" customHeight="1" x14ac:dyDescent="0.25">
      <c r="A18" s="39"/>
      <c r="B18" s="40"/>
      <c r="C18" s="40" t="s">
        <v>1351</v>
      </c>
      <c r="D18" s="45"/>
      <c r="E18" s="45"/>
      <c r="F18" s="37"/>
      <c r="G18" s="40"/>
      <c r="H18" s="40" t="s">
        <v>1351</v>
      </c>
      <c r="I18" s="45"/>
      <c r="J18" s="45"/>
      <c r="K18" s="37"/>
      <c r="L18" s="40"/>
      <c r="M18" s="40" t="s">
        <v>1351</v>
      </c>
      <c r="N18" s="45"/>
      <c r="O18" s="45"/>
      <c r="P18" s="38"/>
      <c r="S18" s="39"/>
      <c r="T18" s="40"/>
      <c r="U18" s="40" t="s">
        <v>1351</v>
      </c>
      <c r="V18" s="45"/>
      <c r="W18" s="45"/>
      <c r="X18" s="37"/>
      <c r="Y18" s="40"/>
      <c r="Z18" s="40" t="s">
        <v>1351</v>
      </c>
      <c r="AA18" s="45"/>
      <c r="AB18" s="45"/>
      <c r="AC18" s="37"/>
      <c r="AD18" s="40"/>
      <c r="AE18" s="40" t="s">
        <v>1351</v>
      </c>
      <c r="AF18" s="45"/>
      <c r="AG18" s="45"/>
      <c r="AH18" s="38"/>
      <c r="AK18" s="39"/>
      <c r="AL18" s="40"/>
      <c r="AM18" s="40" t="s">
        <v>1351</v>
      </c>
      <c r="AN18" s="45"/>
      <c r="AO18" s="45"/>
      <c r="AP18" s="37"/>
      <c r="AQ18" s="40"/>
      <c r="AR18" s="40" t="s">
        <v>1351</v>
      </c>
      <c r="AS18" s="45"/>
      <c r="AT18" s="45"/>
      <c r="AU18" s="37"/>
      <c r="AV18" s="40"/>
      <c r="AW18" s="40" t="s">
        <v>1351</v>
      </c>
      <c r="AX18" s="45"/>
      <c r="AY18" s="45"/>
      <c r="AZ18" s="38"/>
    </row>
    <row r="19" spans="1:54" ht="15.75" customHeight="1" x14ac:dyDescent="0.25">
      <c r="A19" s="39"/>
      <c r="B19" s="40"/>
      <c r="C19" s="47">
        <f ca="1">((5*C13)+(15*C12)+(25*C11)+(35*C10)+(45*C9)+(55*C8)+(65*C7)+(75*C6)+(85*C5))/C16</f>
        <v>16.428571428571427</v>
      </c>
      <c r="D19" s="45"/>
      <c r="E19" s="45"/>
      <c r="F19" s="37"/>
      <c r="G19" s="40"/>
      <c r="H19" s="47">
        <f ca="1">((5*H13)+(15*H12)+(25*H11)+(35*H10)+(45*H9)+(55*H8)+(65*H7)+(75*H6)+(85*H5))/H16</f>
        <v>38.943661971830984</v>
      </c>
      <c r="I19" s="45"/>
      <c r="J19" s="45"/>
      <c r="K19" s="37"/>
      <c r="L19" s="40"/>
      <c r="M19" s="47">
        <f ca="1">((5*M13)+(15*M12)+(25*M11)+(35*M10)+(45*M9)+(55*M8)+(65*M7)+(75*M6)+(85*M5))/M16</f>
        <v>35.235294117647058</v>
      </c>
      <c r="N19" s="45"/>
      <c r="O19" s="45"/>
      <c r="P19" s="38"/>
      <c r="S19" s="39"/>
      <c r="T19" s="40"/>
      <c r="U19" s="47">
        <f ca="1">((5*U13)+(15*U12)+(25*U11)+(35*U10)+(45*U9)+(55*U8)+(65*U7)+(75*U6)+(85*U5))/U16</f>
        <v>44.473684210526315</v>
      </c>
      <c r="V19" s="45"/>
      <c r="W19" s="45"/>
      <c r="X19" s="37"/>
      <c r="Y19" s="40"/>
      <c r="Z19" s="47">
        <f ca="1">((5*Z13)+(15*Z12)+(25*Z11)+(35*Z10)+(45*Z9)+(55*Z8)+(65*Z7)+(75*Z6)+(85*Z5))/Z16</f>
        <v>46.304347826086953</v>
      </c>
      <c r="AA19" s="45"/>
      <c r="AB19" s="45"/>
      <c r="AC19" s="37"/>
      <c r="AD19" s="40"/>
      <c r="AE19" s="47">
        <f ca="1">((5*AE13)+(15*AE12)+(25*AE11)+(35*AE10)+(45*AE9)+(55*AE8)+(65*AE7)+(75*AE6)+(85*AE5))/AE16</f>
        <v>45.990990990990994</v>
      </c>
      <c r="AF19" s="45"/>
      <c r="AG19" s="45"/>
      <c r="AH19" s="38"/>
      <c r="AK19" s="39"/>
      <c r="AL19" s="40"/>
      <c r="AM19" s="47">
        <f ca="1">((5*AM13)+(15*AM12)+(25*AM11)+(35*AM10)+(45*AM9)+(55*AM8)+(65*AM7)+(75*AM6)+(85*AM5))/AM16</f>
        <v>32.575757575757578</v>
      </c>
      <c r="AN19" s="45"/>
      <c r="AO19" s="45"/>
      <c r="AP19" s="37"/>
      <c r="AQ19" s="40"/>
      <c r="AR19" s="46">
        <f ca="1">((5*AR13)+(15*AR12)+(25*AR11)+(35*AR10)+(45*AR9)+(55*AR8)+(65*AR7)+(75*AR6)+(85*AR5))/AR16</f>
        <v>43.098159509202453</v>
      </c>
      <c r="AS19" s="45"/>
      <c r="AT19" s="45"/>
      <c r="AU19" s="37"/>
      <c r="AV19" s="40"/>
      <c r="AW19" s="46">
        <f ca="1">((5*AW13)+(15*AW12)+(25*AW11)+(35*AW10)+(45*AW9)+(55*AW8)+(65*AW7)+(75*AW6)+(85*AW5))/AW16</f>
        <v>41.326530612244895</v>
      </c>
      <c r="AX19" s="45"/>
      <c r="AY19" s="45"/>
      <c r="AZ19" s="38"/>
    </row>
    <row r="20" spans="1:54" ht="15.75" thickBot="1" x14ac:dyDescent="0.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1"/>
      <c r="S20" s="48"/>
      <c r="T20" s="49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1"/>
      <c r="AK20" s="48"/>
      <c r="AL20" s="49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1"/>
    </row>
    <row r="21" spans="1:54" x14ac:dyDescent="0.25">
      <c r="A21" s="52"/>
      <c r="S21" s="52"/>
      <c r="AK21" s="52"/>
    </row>
    <row r="23" spans="1:54" ht="15.75" thickBot="1" x14ac:dyDescent="0.3"/>
    <row r="24" spans="1:54" ht="15" customHeight="1" x14ac:dyDescent="0.25">
      <c r="A24" s="79"/>
      <c r="B24" s="167" t="s">
        <v>1353</v>
      </c>
      <c r="C24" s="167"/>
      <c r="D24" s="165">
        <f ca="1">C37/M37</f>
        <v>0.17777777777777778</v>
      </c>
      <c r="E24" s="165"/>
      <c r="F24" s="53"/>
      <c r="G24" s="167" t="s">
        <v>1354</v>
      </c>
      <c r="H24" s="167"/>
      <c r="I24" s="165">
        <f ca="1">H37/M37</f>
        <v>0.82222222222222219</v>
      </c>
      <c r="J24" s="165"/>
      <c r="K24" s="53"/>
      <c r="L24" s="167" t="s">
        <v>1355</v>
      </c>
      <c r="M24" s="167"/>
      <c r="N24" s="169">
        <f ca="1">I24+D24</f>
        <v>1</v>
      </c>
      <c r="O24" s="169"/>
      <c r="P24" s="54"/>
      <c r="S24" s="79"/>
      <c r="T24" s="167" t="s">
        <v>1353</v>
      </c>
      <c r="U24" s="167"/>
      <c r="V24" s="165">
        <f ca="1">U37/AE37</f>
        <v>0.18367346938775511</v>
      </c>
      <c r="W24" s="165"/>
      <c r="X24" s="53"/>
      <c r="Y24" s="167" t="s">
        <v>1354</v>
      </c>
      <c r="Z24" s="167"/>
      <c r="AA24" s="165">
        <f ca="1">Z37/AE37</f>
        <v>0.81632653061224492</v>
      </c>
      <c r="AB24" s="165"/>
      <c r="AC24" s="53"/>
      <c r="AD24" s="167" t="s">
        <v>1355</v>
      </c>
      <c r="AE24" s="167"/>
      <c r="AF24" s="169">
        <f ca="1">AA24+V24</f>
        <v>1</v>
      </c>
      <c r="AG24" s="169"/>
      <c r="AH24" s="54"/>
      <c r="AK24" s="79"/>
      <c r="AL24" s="167" t="s">
        <v>1353</v>
      </c>
      <c r="AM24" s="167"/>
      <c r="AN24" s="165">
        <f ca="1">AM37/AW37</f>
        <v>0.18085106382978725</v>
      </c>
      <c r="AO24" s="165"/>
      <c r="AP24" s="53"/>
      <c r="AQ24" s="167" t="s">
        <v>1354</v>
      </c>
      <c r="AR24" s="167"/>
      <c r="AS24" s="165">
        <f ca="1">AR37/AW37</f>
        <v>0.81914893617021278</v>
      </c>
      <c r="AT24" s="165"/>
      <c r="AU24" s="53"/>
      <c r="AV24" s="167" t="s">
        <v>1355</v>
      </c>
      <c r="AW24" s="167"/>
      <c r="AX24" s="169">
        <f ca="1">AS24+AN24</f>
        <v>1</v>
      </c>
      <c r="AY24" s="169"/>
      <c r="AZ24" s="54"/>
      <c r="BB24" s="158">
        <f ca="1">AW37/AW16</f>
        <v>0.47959183673469385</v>
      </c>
    </row>
    <row r="25" spans="1:54" ht="15" customHeight="1" x14ac:dyDescent="0.25">
      <c r="A25" s="80"/>
      <c r="B25" s="168"/>
      <c r="C25" s="168"/>
      <c r="D25" s="166"/>
      <c r="E25" s="166"/>
      <c r="F25" s="55"/>
      <c r="G25" s="168"/>
      <c r="H25" s="168"/>
      <c r="I25" s="166"/>
      <c r="J25" s="166"/>
      <c r="K25" s="55"/>
      <c r="L25" s="168"/>
      <c r="M25" s="168"/>
      <c r="N25" s="170"/>
      <c r="O25" s="170"/>
      <c r="P25" s="56"/>
      <c r="S25" s="80"/>
      <c r="T25" s="168"/>
      <c r="U25" s="168"/>
      <c r="V25" s="166"/>
      <c r="W25" s="166"/>
      <c r="X25" s="55"/>
      <c r="Y25" s="168"/>
      <c r="Z25" s="168"/>
      <c r="AA25" s="166"/>
      <c r="AB25" s="166"/>
      <c r="AC25" s="55"/>
      <c r="AD25" s="168"/>
      <c r="AE25" s="168"/>
      <c r="AF25" s="170"/>
      <c r="AG25" s="170"/>
      <c r="AH25" s="56"/>
      <c r="AK25" s="80"/>
      <c r="AL25" s="168"/>
      <c r="AM25" s="168"/>
      <c r="AN25" s="166"/>
      <c r="AO25" s="166"/>
      <c r="AP25" s="55"/>
      <c r="AQ25" s="168"/>
      <c r="AR25" s="168"/>
      <c r="AS25" s="166"/>
      <c r="AT25" s="166"/>
      <c r="AU25" s="55"/>
      <c r="AV25" s="168"/>
      <c r="AW25" s="168"/>
      <c r="AX25" s="170"/>
      <c r="AY25" s="170"/>
      <c r="AZ25" s="56"/>
      <c r="BB25" s="158"/>
    </row>
    <row r="26" spans="1:54" ht="15" customHeight="1" x14ac:dyDescent="0.25">
      <c r="A26" s="57"/>
      <c r="B26" s="40" t="s">
        <v>1358</v>
      </c>
      <c r="C26" s="40">
        <f ca="1">COUNTIFS(LIBRO_SOCIOS!V:V,"&gt;80",LIBRO_SOCIOS!M:M,"ZITRON-ASCAZ ambulatoria",LIBRO_SOCIOS!T:T,"h")</f>
        <v>0</v>
      </c>
      <c r="D26" s="41">
        <f t="shared" ref="D26:D32" ca="1" si="36">(C26/$C$37)</f>
        <v>0</v>
      </c>
      <c r="E26" s="41">
        <f t="shared" ref="E26:E27" ca="1" si="37">E27+D26</f>
        <v>1</v>
      </c>
      <c r="F26" s="55"/>
      <c r="G26" s="40" t="s">
        <v>1358</v>
      </c>
      <c r="H26" s="40">
        <f ca="1">COUNTIFS(LIBRO_SOCIOS!V:V,"&gt;80",LIBRO_SOCIOS!M:M,"ZITRON-ASCAZ HOSPITALARIA",LIBRO_SOCIOS!T:T,"h")</f>
        <v>0</v>
      </c>
      <c r="I26" s="41">
        <f t="shared" ref="I26:I32" ca="1" si="38">(H26/$H$37)</f>
        <v>0</v>
      </c>
      <c r="J26" s="41">
        <f t="shared" ref="J26:J31" ca="1" si="39">J27+I26</f>
        <v>1.0000000000000002</v>
      </c>
      <c r="K26" s="55"/>
      <c r="L26" s="40" t="s">
        <v>1358</v>
      </c>
      <c r="M26" s="40">
        <f ca="1">C26+H26</f>
        <v>0</v>
      </c>
      <c r="N26" s="41">
        <f t="shared" ref="N26:N32" ca="1" si="40">(M26/$M$37)</f>
        <v>0</v>
      </c>
      <c r="O26" s="41">
        <f t="shared" ref="O26:O31" ca="1" si="41">O27+N26</f>
        <v>1</v>
      </c>
      <c r="P26" s="56"/>
      <c r="S26" s="57"/>
      <c r="T26" s="40" t="s">
        <v>1358</v>
      </c>
      <c r="U26" s="40">
        <f ca="1">COUNTIFS(LIBRO_SOCIOS!V:V,"&gt;80",LIBRO_SOCIOS!M:M,"ASCAZ ambulatoria",LIBRO_SOCIOS!T:T,"h")</f>
        <v>0</v>
      </c>
      <c r="V26" s="41">
        <f t="shared" ref="V26:V32" ca="1" si="42">(U26/$U$37)</f>
        <v>0</v>
      </c>
      <c r="W26" s="41">
        <f t="shared" ref="W26:W31" ca="1" si="43">W27+V26</f>
        <v>1</v>
      </c>
      <c r="X26" s="55"/>
      <c r="Y26" s="40" t="s">
        <v>1358</v>
      </c>
      <c r="Z26" s="40">
        <f ca="1">COUNTIFS(LIBRO_SOCIOS!V:V,"&gt;80",LIBRO_SOCIOS!M:M,"ASCAZ HOSPITALARIA",LIBRO_SOCIOS!T:T,"h")</f>
        <v>0</v>
      </c>
      <c r="AA26" s="41">
        <f t="shared" ref="AA26:AA32" ca="1" si="44">(Z26/$Z$37)</f>
        <v>0</v>
      </c>
      <c r="AB26" s="41">
        <f t="shared" ref="AB26:AB31" ca="1" si="45">AB27+AA26</f>
        <v>1</v>
      </c>
      <c r="AC26" s="55"/>
      <c r="AD26" s="40" t="s">
        <v>1358</v>
      </c>
      <c r="AE26" s="40">
        <f t="shared" ref="AE26:AE27" ca="1" si="46">U26+Z26</f>
        <v>0</v>
      </c>
      <c r="AF26" s="41">
        <f t="shared" ref="AF26:AF32" ca="1" si="47">(AE26/$AE$37)</f>
        <v>0</v>
      </c>
      <c r="AG26" s="41">
        <f ca="1">AG27+AF26</f>
        <v>0.99999999999999989</v>
      </c>
      <c r="AH26" s="56"/>
      <c r="AK26" s="57"/>
      <c r="AL26" s="40" t="s">
        <v>1358</v>
      </c>
      <c r="AM26" s="40">
        <f t="shared" ref="AM26" ca="1" si="48">C26+U26</f>
        <v>0</v>
      </c>
      <c r="AN26" s="41">
        <f t="shared" ref="AN26:AN32" ca="1" si="49">(AM26/$AM$37)</f>
        <v>0</v>
      </c>
      <c r="AO26" s="41">
        <f t="shared" ref="AO26:AO31" ca="1" si="50">AO27+AN26</f>
        <v>1</v>
      </c>
      <c r="AP26" s="55"/>
      <c r="AQ26" s="40" t="s">
        <v>1358</v>
      </c>
      <c r="AR26" s="40">
        <f ca="1">Z26+H26</f>
        <v>0</v>
      </c>
      <c r="AS26" s="41">
        <f t="shared" ref="AS26:AS32" ca="1" si="51">(AR26/$AR$37)</f>
        <v>0</v>
      </c>
      <c r="AT26" s="41">
        <f t="shared" ref="AT26:AT31" ca="1" si="52">AT27+AS26</f>
        <v>1</v>
      </c>
      <c r="AU26" s="55"/>
      <c r="AV26" s="40" t="s">
        <v>1358</v>
      </c>
      <c r="AW26" s="40">
        <f ca="1">AM26+AR26</f>
        <v>0</v>
      </c>
      <c r="AX26" s="41">
        <f t="shared" ref="AX26:AX32" ca="1" si="53">(AW26/$AW$37)</f>
        <v>0</v>
      </c>
      <c r="AY26" s="41">
        <f t="shared" ref="AY26:AY31" ca="1" si="54">AY27+AX26</f>
        <v>1.0000000000000002</v>
      </c>
      <c r="AZ26" s="56"/>
      <c r="BB26" s="158"/>
    </row>
    <row r="27" spans="1:54" ht="15" customHeight="1" x14ac:dyDescent="0.25">
      <c r="A27" s="57"/>
      <c r="B27" s="40" t="s">
        <v>1357</v>
      </c>
      <c r="C27" s="40">
        <f ca="1">COUNTIFS(LIBRO_SOCIOS!V:V,"&gt;70",LIBRO_SOCIOS!V:V,"&lt;81",LIBRO_SOCIOS!M:M,"ZITRON-ASCAZ ambulatoria",LIBRO_SOCIOS!T:T,"h")</f>
        <v>0</v>
      </c>
      <c r="D27" s="41">
        <f t="shared" ca="1" si="36"/>
        <v>0</v>
      </c>
      <c r="E27" s="41">
        <f t="shared" ca="1" si="37"/>
        <v>1</v>
      </c>
      <c r="F27" s="55"/>
      <c r="G27" s="40" t="s">
        <v>1357</v>
      </c>
      <c r="H27" s="40">
        <f ca="1">COUNTIFS(LIBRO_SOCIOS!V:V,"&gt;70",LIBRO_SOCIOS!V:V,"&lt;81",LIBRO_SOCIOS!M:M,"ZITRON-ASCAZ HOSPITALARIA",LIBRO_SOCIOS!T:T,"h")</f>
        <v>0</v>
      </c>
      <c r="I27" s="41">
        <f t="shared" ca="1" si="38"/>
        <v>0</v>
      </c>
      <c r="J27" s="41">
        <f t="shared" ca="1" si="39"/>
        <v>1.0000000000000002</v>
      </c>
      <c r="K27" s="55"/>
      <c r="L27" s="40" t="s">
        <v>1357</v>
      </c>
      <c r="M27" s="40">
        <f ca="1">C27+H27</f>
        <v>0</v>
      </c>
      <c r="N27" s="41">
        <f t="shared" ca="1" si="40"/>
        <v>0</v>
      </c>
      <c r="O27" s="41">
        <f t="shared" ca="1" si="41"/>
        <v>1</v>
      </c>
      <c r="P27" s="56"/>
      <c r="S27" s="57"/>
      <c r="T27" s="40" t="s">
        <v>1357</v>
      </c>
      <c r="U27" s="40">
        <f ca="1">COUNTIFS(LIBRO_SOCIOS!V:V,"&gt;70",LIBRO_SOCIOS!V:V,"&lt;81",LIBRO_SOCIOS!M:M,"ASCAZ ambulatoria",LIBRO_SOCIOS!T:T,"h")</f>
        <v>1</v>
      </c>
      <c r="V27" s="41">
        <f t="shared" ca="1" si="42"/>
        <v>0.1111111111111111</v>
      </c>
      <c r="W27" s="41">
        <f t="shared" ca="1" si="43"/>
        <v>1</v>
      </c>
      <c r="X27" s="55"/>
      <c r="Y27" s="40" t="s">
        <v>1357</v>
      </c>
      <c r="Z27" s="40">
        <f ca="1">COUNTIFS(LIBRO_SOCIOS!V:V,"&gt;70",LIBRO_SOCIOS!V:V,"&lt;81",LIBRO_SOCIOS!M:M,"ASCAZ HOSPITALARIA",LIBRO_SOCIOS!T:T,"h")</f>
        <v>3</v>
      </c>
      <c r="AA27" s="41">
        <f t="shared" ca="1" si="44"/>
        <v>7.4999999999999997E-2</v>
      </c>
      <c r="AB27" s="41">
        <f t="shared" ca="1" si="45"/>
        <v>1</v>
      </c>
      <c r="AC27" s="55"/>
      <c r="AD27" s="40" t="s">
        <v>1357</v>
      </c>
      <c r="AE27" s="40">
        <f t="shared" ca="1" si="46"/>
        <v>4</v>
      </c>
      <c r="AF27" s="41">
        <f t="shared" ca="1" si="47"/>
        <v>8.1632653061224483E-2</v>
      </c>
      <c r="AG27" s="41">
        <f t="shared" ref="AG27:AG31" ca="1" si="55">AG28+AF27</f>
        <v>0.99999999999999989</v>
      </c>
      <c r="AH27" s="56"/>
      <c r="AK27" s="57"/>
      <c r="AL27" s="40" t="s">
        <v>1357</v>
      </c>
      <c r="AM27" s="40">
        <f ca="1">C27+U27</f>
        <v>1</v>
      </c>
      <c r="AN27" s="41">
        <f t="shared" ca="1" si="49"/>
        <v>5.8823529411764705E-2</v>
      </c>
      <c r="AO27" s="41">
        <f t="shared" ca="1" si="50"/>
        <v>1</v>
      </c>
      <c r="AP27" s="55"/>
      <c r="AQ27" s="40" t="s">
        <v>1357</v>
      </c>
      <c r="AR27" s="40">
        <f t="shared" ref="AR27" ca="1" si="56">Z27+H27</f>
        <v>3</v>
      </c>
      <c r="AS27" s="41">
        <f t="shared" ca="1" si="51"/>
        <v>3.896103896103896E-2</v>
      </c>
      <c r="AT27" s="41">
        <f t="shared" ca="1" si="52"/>
        <v>1</v>
      </c>
      <c r="AU27" s="55"/>
      <c r="AV27" s="40" t="s">
        <v>1357</v>
      </c>
      <c r="AW27" s="40">
        <f t="shared" ref="AW27" ca="1" si="57">AM27+AR27</f>
        <v>4</v>
      </c>
      <c r="AX27" s="41">
        <f t="shared" ca="1" si="53"/>
        <v>4.2553191489361701E-2</v>
      </c>
      <c r="AY27" s="41">
        <f t="shared" ca="1" si="54"/>
        <v>1.0000000000000002</v>
      </c>
      <c r="AZ27" s="56"/>
      <c r="BB27" s="158"/>
    </row>
    <row r="28" spans="1:54" ht="15" customHeight="1" x14ac:dyDescent="0.25">
      <c r="A28" s="57"/>
      <c r="B28" s="40" t="s">
        <v>1356</v>
      </c>
      <c r="C28" s="40">
        <f ca="1">COUNTIFS(LIBRO_SOCIOS!V:V,"&gt;60",LIBRO_SOCIOS!V:V,"&lt;71",LIBRO_SOCIOS!M:M,"ZITRON-ASCAZ ambulatoria",LIBRO_SOCIOS!T:T,"h")</f>
        <v>0</v>
      </c>
      <c r="D28" s="41">
        <f t="shared" ca="1" si="36"/>
        <v>0</v>
      </c>
      <c r="E28" s="41">
        <f ca="1">E29+D28</f>
        <v>1</v>
      </c>
      <c r="F28" s="55"/>
      <c r="G28" s="40" t="s">
        <v>1356</v>
      </c>
      <c r="H28" s="40">
        <f ca="1">COUNTIFS(LIBRO_SOCIOS!V:V,"&gt;60",LIBRO_SOCIOS!V:V,"&lt;71",LIBRO_SOCIOS!M:M,"ZITRON-ASCAZ HOSPITALARIA",LIBRO_SOCIOS!T:T,"h")</f>
        <v>3</v>
      </c>
      <c r="I28" s="41">
        <f t="shared" ca="1" si="38"/>
        <v>8.1081081081081086E-2</v>
      </c>
      <c r="J28" s="41">
        <f t="shared" ca="1" si="39"/>
        <v>1.0000000000000002</v>
      </c>
      <c r="K28" s="55"/>
      <c r="L28" s="40" t="s">
        <v>1356</v>
      </c>
      <c r="M28" s="40">
        <f ca="1">C28+H28</f>
        <v>3</v>
      </c>
      <c r="N28" s="41">
        <f t="shared" ca="1" si="40"/>
        <v>6.6666666666666666E-2</v>
      </c>
      <c r="O28" s="41">
        <f t="shared" ca="1" si="41"/>
        <v>1</v>
      </c>
      <c r="P28" s="56"/>
      <c r="S28" s="57"/>
      <c r="T28" s="40" t="s">
        <v>1356</v>
      </c>
      <c r="U28" s="40">
        <f ca="1">COUNTIFS(LIBRO_SOCIOS!V:V,"&gt;60",LIBRO_SOCIOS!V:V,"&lt;71",LIBRO_SOCIOS!M:M,"ASCAZ ambulatoria",LIBRO_SOCIOS!T:T,"h")</f>
        <v>1</v>
      </c>
      <c r="V28" s="41">
        <f t="shared" ca="1" si="42"/>
        <v>0.1111111111111111</v>
      </c>
      <c r="W28" s="41">
        <f t="shared" ca="1" si="43"/>
        <v>0.88888888888888884</v>
      </c>
      <c r="X28" s="55"/>
      <c r="Y28" s="40" t="s">
        <v>1356</v>
      </c>
      <c r="Z28" s="40">
        <f ca="1">COUNTIFS(LIBRO_SOCIOS!V:V,"&gt;60",LIBRO_SOCIOS!V:V,"&lt;71",LIBRO_SOCIOS!M:M,"ASCAZ HOSPITALARIA",LIBRO_SOCIOS!T:T,"h")</f>
        <v>6</v>
      </c>
      <c r="AA28" s="41">
        <f t="shared" ca="1" si="44"/>
        <v>0.15</v>
      </c>
      <c r="AB28" s="41">
        <f t="shared" ca="1" si="45"/>
        <v>0.92500000000000004</v>
      </c>
      <c r="AC28" s="55"/>
      <c r="AD28" s="40" t="s">
        <v>1356</v>
      </c>
      <c r="AE28" s="40">
        <f ca="1">U28+Z28</f>
        <v>7</v>
      </c>
      <c r="AF28" s="41">
        <f t="shared" ca="1" si="47"/>
        <v>0.14285714285714285</v>
      </c>
      <c r="AG28" s="41">
        <f t="shared" ca="1" si="55"/>
        <v>0.91836734693877542</v>
      </c>
      <c r="AH28" s="56"/>
      <c r="AK28" s="57"/>
      <c r="AL28" s="40" t="s">
        <v>1356</v>
      </c>
      <c r="AM28" s="40">
        <f ca="1">C28+U28</f>
        <v>1</v>
      </c>
      <c r="AN28" s="41">
        <f t="shared" ca="1" si="49"/>
        <v>5.8823529411764705E-2</v>
      </c>
      <c r="AO28" s="41">
        <f t="shared" ca="1" si="50"/>
        <v>0.94117647058823539</v>
      </c>
      <c r="AP28" s="55"/>
      <c r="AQ28" s="40" t="s">
        <v>1356</v>
      </c>
      <c r="AR28" s="40">
        <f ca="1">Z28+H28</f>
        <v>9</v>
      </c>
      <c r="AS28" s="41">
        <f t="shared" ca="1" si="51"/>
        <v>0.11688311688311688</v>
      </c>
      <c r="AT28" s="41">
        <f t="shared" ca="1" si="52"/>
        <v>0.96103896103896114</v>
      </c>
      <c r="AU28" s="55"/>
      <c r="AV28" s="40" t="s">
        <v>1356</v>
      </c>
      <c r="AW28" s="40">
        <f ca="1">AM28+AR28</f>
        <v>10</v>
      </c>
      <c r="AX28" s="41">
        <f t="shared" ca="1" si="53"/>
        <v>0.10638297872340426</v>
      </c>
      <c r="AY28" s="41">
        <f t="shared" ca="1" si="54"/>
        <v>0.95744680851063846</v>
      </c>
      <c r="AZ28" s="56"/>
      <c r="BB28" s="158"/>
    </row>
    <row r="29" spans="1:54" ht="15" customHeight="1" x14ac:dyDescent="0.25">
      <c r="A29" s="57"/>
      <c r="B29" s="40" t="s">
        <v>1345</v>
      </c>
      <c r="C29" s="40">
        <f ca="1">COUNTIFS(LIBRO_SOCIOS!V:V,"&gt;50",LIBRO_SOCIOS!V:V,"&lt;61",LIBRO_SOCIOS!M:M,"ZITRON-ASCAZ ambulatoria",LIBRO_SOCIOS!T:T,"h")</f>
        <v>0</v>
      </c>
      <c r="D29" s="41">
        <f t="shared" ca="1" si="36"/>
        <v>0</v>
      </c>
      <c r="E29" s="41">
        <f t="shared" ref="E29:E31" ca="1" si="58">E30+D29</f>
        <v>1</v>
      </c>
      <c r="F29" s="55"/>
      <c r="G29" s="40" t="s">
        <v>1345</v>
      </c>
      <c r="H29" s="40">
        <f ca="1">COUNTIFS(LIBRO_SOCIOS!V:V,"&gt;50",LIBRO_SOCIOS!V:V,"&lt;61",LIBRO_SOCIOS!M:M,"ZITRON-ASCAZ HOSPITALARIA",LIBRO_SOCIOS!T:T,"h")</f>
        <v>3</v>
      </c>
      <c r="I29" s="41">
        <f t="shared" ca="1" si="38"/>
        <v>8.1081081081081086E-2</v>
      </c>
      <c r="J29" s="41">
        <f t="shared" ca="1" si="39"/>
        <v>0.91891891891891908</v>
      </c>
      <c r="K29" s="55"/>
      <c r="L29" s="40" t="s">
        <v>1345</v>
      </c>
      <c r="M29" s="40">
        <f t="shared" ref="M29:M34" ca="1" si="59">C29+H29</f>
        <v>3</v>
      </c>
      <c r="N29" s="41">
        <f t="shared" ca="1" si="40"/>
        <v>6.6666666666666666E-2</v>
      </c>
      <c r="O29" s="41">
        <f t="shared" ca="1" si="41"/>
        <v>0.93333333333333335</v>
      </c>
      <c r="P29" s="56"/>
      <c r="S29" s="57"/>
      <c r="T29" s="40" t="s">
        <v>1345</v>
      </c>
      <c r="U29" s="40">
        <f ca="1">COUNTIFS(LIBRO_SOCIOS!V:V,"&gt;50",LIBRO_SOCIOS!V:V,"&lt;61",LIBRO_SOCIOS!M:M,"ASCAZ ambulatoria",LIBRO_SOCIOS!T:T,"h")</f>
        <v>1</v>
      </c>
      <c r="V29" s="41">
        <f t="shared" ca="1" si="42"/>
        <v>0.1111111111111111</v>
      </c>
      <c r="W29" s="41">
        <f t="shared" ca="1" si="43"/>
        <v>0.77777777777777768</v>
      </c>
      <c r="X29" s="55"/>
      <c r="Y29" s="40" t="s">
        <v>1345</v>
      </c>
      <c r="Z29" s="40">
        <f ca="1">COUNTIFS(LIBRO_SOCIOS!V:V,"&gt;50",LIBRO_SOCIOS!V:V,"&lt;61",LIBRO_SOCIOS!M:M,"ASCAZ HOSPITALARIA",LIBRO_SOCIOS!T:T,"h")</f>
        <v>2</v>
      </c>
      <c r="AA29" s="41">
        <f t="shared" ca="1" si="44"/>
        <v>0.05</v>
      </c>
      <c r="AB29" s="41">
        <f t="shared" ca="1" si="45"/>
        <v>0.77500000000000002</v>
      </c>
      <c r="AC29" s="55"/>
      <c r="AD29" s="40" t="s">
        <v>1345</v>
      </c>
      <c r="AE29" s="40">
        <f t="shared" ref="AE29:AE34" ca="1" si="60">U29+Z29</f>
        <v>3</v>
      </c>
      <c r="AF29" s="41">
        <f t="shared" ca="1" si="47"/>
        <v>6.1224489795918366E-2</v>
      </c>
      <c r="AG29" s="41">
        <f t="shared" ca="1" si="55"/>
        <v>0.77551020408163251</v>
      </c>
      <c r="AH29" s="56"/>
      <c r="AK29" s="57"/>
      <c r="AL29" s="40" t="s">
        <v>1345</v>
      </c>
      <c r="AM29" s="40">
        <f t="shared" ref="AM29:AM33" ca="1" si="61">C29+U29</f>
        <v>1</v>
      </c>
      <c r="AN29" s="41">
        <f t="shared" ca="1" si="49"/>
        <v>5.8823529411764705E-2</v>
      </c>
      <c r="AO29" s="41">
        <f t="shared" ca="1" si="50"/>
        <v>0.88235294117647067</v>
      </c>
      <c r="AP29" s="55"/>
      <c r="AQ29" s="40" t="s">
        <v>1345</v>
      </c>
      <c r="AR29" s="40">
        <f t="shared" ref="AR29:AR33" ca="1" si="62">Z29+H29</f>
        <v>5</v>
      </c>
      <c r="AS29" s="41">
        <f t="shared" ca="1" si="51"/>
        <v>6.4935064935064929E-2</v>
      </c>
      <c r="AT29" s="41">
        <f t="shared" ca="1" si="52"/>
        <v>0.84415584415584421</v>
      </c>
      <c r="AU29" s="55"/>
      <c r="AV29" s="40" t="s">
        <v>1345</v>
      </c>
      <c r="AW29" s="40">
        <f ca="1">AM29+AR29</f>
        <v>6</v>
      </c>
      <c r="AX29" s="41">
        <f t="shared" ca="1" si="53"/>
        <v>6.3829787234042548E-2</v>
      </c>
      <c r="AY29" s="41">
        <f t="shared" ca="1" si="54"/>
        <v>0.85106382978723416</v>
      </c>
      <c r="AZ29" s="56"/>
      <c r="BB29" s="158"/>
    </row>
    <row r="30" spans="1:54" ht="15" customHeight="1" x14ac:dyDescent="0.25">
      <c r="A30" s="57"/>
      <c r="B30" s="40" t="s">
        <v>1346</v>
      </c>
      <c r="C30" s="40">
        <f ca="1">COUNTIFS(LIBRO_SOCIOS!V:V,"&gt;40",LIBRO_SOCIOS!V:V,"&lt;51",LIBRO_SOCIOS!M:M,"ZITRON-ASCAZ ambulatoria",LIBRO_SOCIOS!T:T,"h")</f>
        <v>1</v>
      </c>
      <c r="D30" s="41">
        <f t="shared" ca="1" si="36"/>
        <v>0.125</v>
      </c>
      <c r="E30" s="41">
        <f t="shared" ca="1" si="58"/>
        <v>1</v>
      </c>
      <c r="F30" s="55"/>
      <c r="G30" s="40" t="s">
        <v>1346</v>
      </c>
      <c r="H30" s="40">
        <f ca="1">COUNTIFS(LIBRO_SOCIOS!V:V,"&gt;40",LIBRO_SOCIOS!V:V,"&lt;51",LIBRO_SOCIOS!M:M,"ZITRON-ASCAZ HOSPITALARIA",LIBRO_SOCIOS!T:T,"h")</f>
        <v>11</v>
      </c>
      <c r="I30" s="41">
        <f t="shared" ca="1" si="38"/>
        <v>0.29729729729729731</v>
      </c>
      <c r="J30" s="41">
        <f t="shared" ca="1" si="39"/>
        <v>0.83783783783783794</v>
      </c>
      <c r="K30" s="55"/>
      <c r="L30" s="40" t="s">
        <v>1346</v>
      </c>
      <c r="M30" s="40">
        <f t="shared" ca="1" si="59"/>
        <v>12</v>
      </c>
      <c r="N30" s="41">
        <f t="shared" ca="1" si="40"/>
        <v>0.26666666666666666</v>
      </c>
      <c r="O30" s="41">
        <f t="shared" ca="1" si="41"/>
        <v>0.8666666666666667</v>
      </c>
      <c r="P30" s="56"/>
      <c r="S30" s="57"/>
      <c r="T30" s="40" t="s">
        <v>1346</v>
      </c>
      <c r="U30" s="40">
        <f ca="1">COUNTIFS(LIBRO_SOCIOS!V:V,"&gt;40",LIBRO_SOCIOS!V:V,"&lt;51",LIBRO_SOCIOS!M:M,"ASCAZ ambulatoria",LIBRO_SOCIOS!T:T,"h")</f>
        <v>2</v>
      </c>
      <c r="V30" s="41">
        <f t="shared" ca="1" si="42"/>
        <v>0.22222222222222221</v>
      </c>
      <c r="W30" s="41">
        <f t="shared" ca="1" si="43"/>
        <v>0.66666666666666663</v>
      </c>
      <c r="X30" s="55"/>
      <c r="Y30" s="40" t="s">
        <v>1346</v>
      </c>
      <c r="Z30" s="40">
        <f ca="1">COUNTIFS(LIBRO_SOCIOS!V:V,"&gt;40",LIBRO_SOCIOS!V:V,"&lt;51",LIBRO_SOCIOS!M:M,"ASCAZ HOSPITALARIA",LIBRO_SOCIOS!T:T,"h")</f>
        <v>12</v>
      </c>
      <c r="AA30" s="41">
        <f ca="1">(Z30/$Z$37)</f>
        <v>0.3</v>
      </c>
      <c r="AB30" s="41">
        <f t="shared" ca="1" si="45"/>
        <v>0.72499999999999998</v>
      </c>
      <c r="AC30" s="55"/>
      <c r="AD30" s="40" t="s">
        <v>1346</v>
      </c>
      <c r="AE30" s="40">
        <f t="shared" ca="1" si="60"/>
        <v>14</v>
      </c>
      <c r="AF30" s="41">
        <f t="shared" ca="1" si="47"/>
        <v>0.2857142857142857</v>
      </c>
      <c r="AG30" s="41">
        <f t="shared" ca="1" si="55"/>
        <v>0.71428571428571419</v>
      </c>
      <c r="AH30" s="56"/>
      <c r="AK30" s="57"/>
      <c r="AL30" s="40" t="s">
        <v>1346</v>
      </c>
      <c r="AM30" s="40">
        <f t="shared" ca="1" si="61"/>
        <v>3</v>
      </c>
      <c r="AN30" s="41">
        <f t="shared" ca="1" si="49"/>
        <v>0.17647058823529413</v>
      </c>
      <c r="AO30" s="41">
        <f t="shared" ca="1" si="50"/>
        <v>0.82352941176470595</v>
      </c>
      <c r="AP30" s="55"/>
      <c r="AQ30" s="40" t="s">
        <v>1346</v>
      </c>
      <c r="AR30" s="40">
        <f t="shared" ca="1" si="62"/>
        <v>23</v>
      </c>
      <c r="AS30" s="41">
        <f t="shared" ca="1" si="51"/>
        <v>0.29870129870129869</v>
      </c>
      <c r="AT30" s="41">
        <f t="shared" ca="1" si="52"/>
        <v>0.77922077922077926</v>
      </c>
      <c r="AU30" s="55"/>
      <c r="AV30" s="40" t="s">
        <v>1346</v>
      </c>
      <c r="AW30" s="40">
        <f ca="1">AM30+AR30</f>
        <v>26</v>
      </c>
      <c r="AX30" s="41">
        <f t="shared" ca="1" si="53"/>
        <v>0.27659574468085107</v>
      </c>
      <c r="AY30" s="41">
        <f t="shared" ca="1" si="54"/>
        <v>0.78723404255319163</v>
      </c>
      <c r="AZ30" s="56"/>
      <c r="BB30" s="158"/>
    </row>
    <row r="31" spans="1:54" ht="15" customHeight="1" x14ac:dyDescent="0.25">
      <c r="A31" s="57"/>
      <c r="B31" s="40" t="s">
        <v>1347</v>
      </c>
      <c r="C31" s="40">
        <f ca="1">COUNTIFS(LIBRO_SOCIOS!V:V,"&gt;30",LIBRO_SOCIOS!V:V,"&lt;41",LIBRO_SOCIOS!M:M,"ZITRON-ASCAZ ambulatoria",LIBRO_SOCIOS!T:T,"h")</f>
        <v>1</v>
      </c>
      <c r="D31" s="41">
        <f t="shared" ca="1" si="36"/>
        <v>0.125</v>
      </c>
      <c r="E31" s="41">
        <f t="shared" ca="1" si="58"/>
        <v>0.875</v>
      </c>
      <c r="F31" s="55"/>
      <c r="G31" s="40" t="s">
        <v>1347</v>
      </c>
      <c r="H31" s="40">
        <f ca="1">COUNTIFS(LIBRO_SOCIOS!V:V,"&gt;30",LIBRO_SOCIOS!V:V,"&lt;41",LIBRO_SOCIOS!M:M,"ZITRON-ASCAZ HOSPITALARIA",LIBRO_SOCIOS!T:T,"h")</f>
        <v>16</v>
      </c>
      <c r="I31" s="41">
        <f t="shared" ca="1" si="38"/>
        <v>0.43243243243243246</v>
      </c>
      <c r="J31" s="41">
        <f t="shared" ca="1" si="39"/>
        <v>0.54054054054054057</v>
      </c>
      <c r="K31" s="55"/>
      <c r="L31" s="40" t="s">
        <v>1347</v>
      </c>
      <c r="M31" s="40">
        <f t="shared" ca="1" si="59"/>
        <v>17</v>
      </c>
      <c r="N31" s="41">
        <f ca="1">(M31/$M$37)</f>
        <v>0.37777777777777777</v>
      </c>
      <c r="O31" s="41">
        <f t="shared" ca="1" si="41"/>
        <v>0.6</v>
      </c>
      <c r="P31" s="56"/>
      <c r="S31" s="57"/>
      <c r="T31" s="40" t="s">
        <v>1347</v>
      </c>
      <c r="U31" s="40">
        <f ca="1">COUNTIFS(LIBRO_SOCIOS!V:V,"&gt;30",LIBRO_SOCIOS!V:V,"&lt;41",LIBRO_SOCIOS!M:M,"ASCAZ ambulatoria",LIBRO_SOCIOS!T:T,"h")</f>
        <v>2</v>
      </c>
      <c r="V31" s="41">
        <f ca="1">(U31/$U$37)</f>
        <v>0.22222222222222221</v>
      </c>
      <c r="W31" s="41">
        <f t="shared" ca="1" si="43"/>
        <v>0.44444444444444442</v>
      </c>
      <c r="X31" s="55"/>
      <c r="Y31" s="40" t="s">
        <v>1347</v>
      </c>
      <c r="Z31" s="40">
        <f ca="1">COUNTIFS(LIBRO_SOCIOS!V:V,"&gt;30",LIBRO_SOCIOS!V:V,"&lt;41",LIBRO_SOCIOS!M:M,"ASCAZ HOSPITALARIA",LIBRO_SOCIOS!T:T,"h")</f>
        <v>14</v>
      </c>
      <c r="AA31" s="41">
        <f t="shared" ca="1" si="44"/>
        <v>0.35</v>
      </c>
      <c r="AB31" s="41">
        <f t="shared" ca="1" si="45"/>
        <v>0.42499999999999999</v>
      </c>
      <c r="AC31" s="55"/>
      <c r="AD31" s="40" t="s">
        <v>1347</v>
      </c>
      <c r="AE31" s="40">
        <f t="shared" ca="1" si="60"/>
        <v>16</v>
      </c>
      <c r="AF31" s="41">
        <f t="shared" ca="1" si="47"/>
        <v>0.32653061224489793</v>
      </c>
      <c r="AG31" s="41">
        <f t="shared" ca="1" si="55"/>
        <v>0.42857142857142855</v>
      </c>
      <c r="AH31" s="56"/>
      <c r="AK31" s="57"/>
      <c r="AL31" s="40" t="s">
        <v>1347</v>
      </c>
      <c r="AM31" s="40">
        <f t="shared" ca="1" si="61"/>
        <v>3</v>
      </c>
      <c r="AN31" s="41">
        <f t="shared" ca="1" si="49"/>
        <v>0.17647058823529413</v>
      </c>
      <c r="AO31" s="41">
        <f t="shared" ca="1" si="50"/>
        <v>0.6470588235294118</v>
      </c>
      <c r="AP31" s="55"/>
      <c r="AQ31" s="40" t="s">
        <v>1347</v>
      </c>
      <c r="AR31" s="40">
        <f t="shared" ca="1" si="62"/>
        <v>30</v>
      </c>
      <c r="AS31" s="41">
        <f t="shared" ca="1" si="51"/>
        <v>0.38961038961038963</v>
      </c>
      <c r="AT31" s="41">
        <f t="shared" ca="1" si="52"/>
        <v>0.48051948051948057</v>
      </c>
      <c r="AU31" s="55"/>
      <c r="AV31" s="40" t="s">
        <v>1347</v>
      </c>
      <c r="AW31" s="40">
        <f ca="1">AM31+AR31</f>
        <v>33</v>
      </c>
      <c r="AX31" s="41">
        <f t="shared" ca="1" si="53"/>
        <v>0.35106382978723405</v>
      </c>
      <c r="AY31" s="41">
        <f t="shared" ca="1" si="54"/>
        <v>0.5106382978723405</v>
      </c>
      <c r="AZ31" s="56"/>
      <c r="BB31" s="158"/>
    </row>
    <row r="32" spans="1:54" ht="15" customHeight="1" x14ac:dyDescent="0.25">
      <c r="A32" s="57"/>
      <c r="B32" s="40" t="s">
        <v>1348</v>
      </c>
      <c r="C32" s="40">
        <f ca="1">COUNTIFS(LIBRO_SOCIOS!V:V,"&gt;20",LIBRO_SOCIOS!V:V,"&lt;31",LIBRO_SOCIOS!M:M,"ZITRON-ASCAZ ambulatoria",LIBRO_SOCIOS!T:T,"h")</f>
        <v>0</v>
      </c>
      <c r="D32" s="41">
        <f t="shared" ca="1" si="36"/>
        <v>0</v>
      </c>
      <c r="E32" s="41">
        <f ca="1">E33+D32</f>
        <v>0.75</v>
      </c>
      <c r="F32" s="55"/>
      <c r="G32" s="40" t="s">
        <v>1348</v>
      </c>
      <c r="H32" s="40">
        <f ca="1">COUNTIFS(LIBRO_SOCIOS!V:V,"&gt;20",LIBRO_SOCIOS!V:V,"&lt;31",LIBRO_SOCIOS!M:M,"ZITRON-ASCAZ HOSPITALARIA",LIBRO_SOCIOS!T:T,"h")</f>
        <v>3</v>
      </c>
      <c r="I32" s="41">
        <f t="shared" ca="1" si="38"/>
        <v>8.1081081081081086E-2</v>
      </c>
      <c r="J32" s="41">
        <f ca="1">J33+I32</f>
        <v>0.10810810810810811</v>
      </c>
      <c r="K32" s="55"/>
      <c r="L32" s="40" t="s">
        <v>1348</v>
      </c>
      <c r="M32" s="40">
        <f t="shared" ca="1" si="59"/>
        <v>3</v>
      </c>
      <c r="N32" s="41">
        <f t="shared" ca="1" si="40"/>
        <v>6.6666666666666666E-2</v>
      </c>
      <c r="O32" s="41">
        <f ca="1">O33+N32</f>
        <v>0.22222222222222221</v>
      </c>
      <c r="P32" s="56"/>
      <c r="S32" s="57"/>
      <c r="T32" s="40" t="s">
        <v>1348</v>
      </c>
      <c r="U32" s="40">
        <f ca="1">COUNTIFS(LIBRO_SOCIOS!V:V,"&gt;20",LIBRO_SOCIOS!V:V,"&lt;31",LIBRO_SOCIOS!M:M,"ASCAZ ambulatoria",LIBRO_SOCIOS!T:T,"h")</f>
        <v>0</v>
      </c>
      <c r="V32" s="41">
        <f t="shared" ca="1" si="42"/>
        <v>0</v>
      </c>
      <c r="W32" s="41">
        <f ca="1">W33+V32</f>
        <v>0.22222222222222221</v>
      </c>
      <c r="X32" s="55"/>
      <c r="Y32" s="40" t="s">
        <v>1348</v>
      </c>
      <c r="Z32" s="40">
        <f ca="1">COUNTIFS(LIBRO_SOCIOS!V:V,"&gt;20",LIBRO_SOCIOS!V:V,"&lt;31",LIBRO_SOCIOS!M:M,"ASCAZ HOSPITALARIA",LIBRO_SOCIOS!T:T,"h")</f>
        <v>1</v>
      </c>
      <c r="AA32" s="41">
        <f t="shared" ca="1" si="44"/>
        <v>2.5000000000000001E-2</v>
      </c>
      <c r="AB32" s="41">
        <f ca="1">AB33+AA32</f>
        <v>7.5000000000000011E-2</v>
      </c>
      <c r="AC32" s="55"/>
      <c r="AD32" s="40" t="s">
        <v>1348</v>
      </c>
      <c r="AE32" s="40">
        <f t="shared" ca="1" si="60"/>
        <v>1</v>
      </c>
      <c r="AF32" s="41">
        <f t="shared" ca="1" si="47"/>
        <v>2.0408163265306121E-2</v>
      </c>
      <c r="AG32" s="41">
        <f ca="1">AG33+AF32</f>
        <v>0.1020408163265306</v>
      </c>
      <c r="AH32" s="56"/>
      <c r="AK32" s="57"/>
      <c r="AL32" s="40" t="s">
        <v>1348</v>
      </c>
      <c r="AM32" s="40">
        <f t="shared" ca="1" si="61"/>
        <v>0</v>
      </c>
      <c r="AN32" s="41">
        <f t="shared" ca="1" si="49"/>
        <v>0</v>
      </c>
      <c r="AO32" s="41">
        <f ca="1">AO33+AN32</f>
        <v>0.47058823529411764</v>
      </c>
      <c r="AP32" s="55"/>
      <c r="AQ32" s="40" t="s">
        <v>1348</v>
      </c>
      <c r="AR32" s="40">
        <f t="shared" ca="1" si="62"/>
        <v>4</v>
      </c>
      <c r="AS32" s="41">
        <f t="shared" ca="1" si="51"/>
        <v>5.1948051948051951E-2</v>
      </c>
      <c r="AT32" s="41">
        <f ca="1">AT33+AS32</f>
        <v>9.0909090909090912E-2</v>
      </c>
      <c r="AU32" s="55"/>
      <c r="AV32" s="40" t="s">
        <v>1348</v>
      </c>
      <c r="AW32" s="40">
        <f ca="1">AM32+AR32</f>
        <v>4</v>
      </c>
      <c r="AX32" s="41">
        <f t="shared" ca="1" si="53"/>
        <v>4.2553191489361701E-2</v>
      </c>
      <c r="AY32" s="41">
        <f ca="1">AY33+AX32</f>
        <v>0.15957446808510639</v>
      </c>
      <c r="AZ32" s="56"/>
      <c r="BB32" s="158"/>
    </row>
    <row r="33" spans="1:54" ht="15" customHeight="1" x14ac:dyDescent="0.25">
      <c r="A33" s="57"/>
      <c r="B33" s="42" t="s">
        <v>1349</v>
      </c>
      <c r="C33" s="40">
        <f ca="1">COUNTIFS(LIBRO_SOCIOS!V:V,"&gt;10",LIBRO_SOCIOS!V:V,"&lt;21",LIBRO_SOCIOS!M:M,"ZITRON-ASCAZ ambulatoria",LIBRO_SOCIOS!T:T,"h")</f>
        <v>2</v>
      </c>
      <c r="D33" s="41">
        <f ca="1">(C33/$C$37)</f>
        <v>0.25</v>
      </c>
      <c r="E33" s="41">
        <f ca="1">D34+D33</f>
        <v>0.75</v>
      </c>
      <c r="F33" s="55"/>
      <c r="G33" s="42" t="s">
        <v>1349</v>
      </c>
      <c r="H33" s="40">
        <f ca="1">COUNTIFS(LIBRO_SOCIOS!V:V,"&gt;10",LIBRO_SOCIOS!V:V,"&lt;21",LIBRO_SOCIOS!M:M,"ZITRON-ASCAZ HOSPITALARIA",LIBRO_SOCIOS!T:T,"h")</f>
        <v>0</v>
      </c>
      <c r="I33" s="41">
        <f ca="1">(H33/$H$37)</f>
        <v>0</v>
      </c>
      <c r="J33" s="41">
        <f ca="1">I34+I33</f>
        <v>2.7027027027027029E-2</v>
      </c>
      <c r="K33" s="55"/>
      <c r="L33" s="42" t="s">
        <v>1349</v>
      </c>
      <c r="M33" s="40">
        <f t="shared" ca="1" si="59"/>
        <v>2</v>
      </c>
      <c r="N33" s="41">
        <f ca="1">(M33/$M$37)</f>
        <v>4.4444444444444446E-2</v>
      </c>
      <c r="O33" s="41">
        <f ca="1">N34+N33</f>
        <v>0.15555555555555556</v>
      </c>
      <c r="P33" s="56"/>
      <c r="S33" s="57"/>
      <c r="T33" s="42" t="s">
        <v>1349</v>
      </c>
      <c r="U33" s="40">
        <f ca="1">COUNTIFS(LIBRO_SOCIOS!V:V,"&gt;10",LIBRO_SOCIOS!V:V,"&lt;21",LIBRO_SOCIOS!M:M,"ASCAZ ambulatoria",LIBRO_SOCIOS!T:T,"h")</f>
        <v>0</v>
      </c>
      <c r="V33" s="41">
        <f ca="1">(U33/$U$37)</f>
        <v>0</v>
      </c>
      <c r="W33" s="41">
        <f ca="1">V34+V33</f>
        <v>0.22222222222222221</v>
      </c>
      <c r="X33" s="55"/>
      <c r="Y33" s="42" t="s">
        <v>1349</v>
      </c>
      <c r="Z33" s="40">
        <f ca="1">COUNTIFS(LIBRO_SOCIOS!V:V,"&gt;10",LIBRO_SOCIOS!V:V,"&lt;21",LIBRO_SOCIOS!M:M,"ASCAZ HOSPITALARIA",LIBRO_SOCIOS!T:T,"h")</f>
        <v>0</v>
      </c>
      <c r="AA33" s="41">
        <f ca="1">(Z33/$Z$37)</f>
        <v>0</v>
      </c>
      <c r="AB33" s="41">
        <f ca="1">AA34+AA33</f>
        <v>0.05</v>
      </c>
      <c r="AC33" s="55"/>
      <c r="AD33" s="42" t="s">
        <v>1349</v>
      </c>
      <c r="AE33" s="40">
        <f ca="1">U33+Z33</f>
        <v>0</v>
      </c>
      <c r="AF33" s="41">
        <f ca="1">(AE33/$AE$37)</f>
        <v>0</v>
      </c>
      <c r="AG33" s="41">
        <f ca="1">AF34+AF33</f>
        <v>8.1632653061224483E-2</v>
      </c>
      <c r="AH33" s="56"/>
      <c r="AK33" s="57"/>
      <c r="AL33" s="42" t="s">
        <v>1349</v>
      </c>
      <c r="AM33" s="40">
        <f t="shared" ca="1" si="61"/>
        <v>2</v>
      </c>
      <c r="AN33" s="41">
        <f ca="1">(AM33/$AM$37)</f>
        <v>0.11764705882352941</v>
      </c>
      <c r="AO33" s="41">
        <f ca="1">AN34+AN33</f>
        <v>0.47058823529411764</v>
      </c>
      <c r="AP33" s="55"/>
      <c r="AQ33" s="42" t="s">
        <v>1349</v>
      </c>
      <c r="AR33" s="40">
        <f t="shared" ca="1" si="62"/>
        <v>0</v>
      </c>
      <c r="AS33" s="41">
        <f ca="1">(AR33/$AR$37)</f>
        <v>0</v>
      </c>
      <c r="AT33" s="41">
        <f ca="1">AS34+AS33</f>
        <v>3.896103896103896E-2</v>
      </c>
      <c r="AU33" s="55"/>
      <c r="AV33" s="42" t="s">
        <v>1349</v>
      </c>
      <c r="AW33" s="40">
        <f t="shared" ref="AW33:AW34" ca="1" si="63">AM33+AR33</f>
        <v>2</v>
      </c>
      <c r="AX33" s="41">
        <f ca="1">(AW33/$AW$37)</f>
        <v>2.1276595744680851E-2</v>
      </c>
      <c r="AY33" s="41">
        <f ca="1">AX34+AX33</f>
        <v>0.11702127659574468</v>
      </c>
      <c r="AZ33" s="56"/>
      <c r="BB33" s="158"/>
    </row>
    <row r="34" spans="1:54" ht="15" customHeight="1" x14ac:dyDescent="0.25">
      <c r="A34" s="57"/>
      <c r="B34" s="43" t="s">
        <v>1350</v>
      </c>
      <c r="C34" s="40">
        <f ca="1">COUNTIFS(LIBRO_SOCIOS!V:V,"&gt;0",LIBRO_SOCIOS!V:V,"&lt;11",LIBRO_SOCIOS!M:M,"ZITRON-ASCAZ ambulatoria",LIBRO_SOCIOS!T:T,"h")</f>
        <v>4</v>
      </c>
      <c r="D34" s="41">
        <f ca="1">(C34/$C$37)</f>
        <v>0.5</v>
      </c>
      <c r="F34" s="55"/>
      <c r="G34" s="43" t="s">
        <v>1350</v>
      </c>
      <c r="H34" s="40">
        <f ca="1">COUNTIFS(LIBRO_SOCIOS!V:V,"&gt;0",LIBRO_SOCIOS!V:V,"&lt;11",LIBRO_SOCIOS!M:M,"ZITRON-ASCAZ HOSPITALARIA",LIBRO_SOCIOS!T:T,"h")</f>
        <v>1</v>
      </c>
      <c r="I34" s="41">
        <f ca="1">(H34/$H$37)</f>
        <v>2.7027027027027029E-2</v>
      </c>
      <c r="K34" s="55"/>
      <c r="L34" s="43" t="s">
        <v>1350</v>
      </c>
      <c r="M34" s="40">
        <f t="shared" ca="1" si="59"/>
        <v>5</v>
      </c>
      <c r="N34" s="41">
        <f ca="1">(M34/$M$37)</f>
        <v>0.1111111111111111</v>
      </c>
      <c r="P34" s="56"/>
      <c r="S34" s="57"/>
      <c r="T34" s="43" t="s">
        <v>1350</v>
      </c>
      <c r="U34" s="40">
        <f ca="1">COUNTIFS(LIBRO_SOCIOS!V:V,"&gt;0",LIBRO_SOCIOS!V:V,"&lt;11",LIBRO_SOCIOS!M:M,"ASCAZ ambulatoria",LIBRO_SOCIOS!T:T,"h")</f>
        <v>2</v>
      </c>
      <c r="V34" s="41">
        <f ca="1">(U34/$U$37)</f>
        <v>0.22222222222222221</v>
      </c>
      <c r="X34" s="55"/>
      <c r="Y34" s="43" t="s">
        <v>1350</v>
      </c>
      <c r="Z34" s="40">
        <f ca="1">COUNTIFS(LIBRO_SOCIOS!V:V,"&gt;0",LIBRO_SOCIOS!V:V,"&lt;11",LIBRO_SOCIOS!M:M,"ASCAZ HOSPITALARIA",LIBRO_SOCIOS!T:T,"h")</f>
        <v>2</v>
      </c>
      <c r="AA34" s="41">
        <f ca="1">(Z34/$Z$37)</f>
        <v>0.05</v>
      </c>
      <c r="AC34" s="55"/>
      <c r="AD34" s="43" t="s">
        <v>1350</v>
      </c>
      <c r="AE34" s="40">
        <f t="shared" ca="1" si="60"/>
        <v>4</v>
      </c>
      <c r="AF34" s="41">
        <f ca="1">(AE34/$AE$37)</f>
        <v>8.1632653061224483E-2</v>
      </c>
      <c r="AH34" s="56"/>
      <c r="AK34" s="57"/>
      <c r="AL34" s="43" t="s">
        <v>1350</v>
      </c>
      <c r="AM34" s="40">
        <f ca="1">C34+U34</f>
        <v>6</v>
      </c>
      <c r="AN34" s="41">
        <f ca="1">(AM34/$AM$37)</f>
        <v>0.35294117647058826</v>
      </c>
      <c r="AP34" s="55"/>
      <c r="AQ34" s="43" t="s">
        <v>1350</v>
      </c>
      <c r="AR34" s="40">
        <f ca="1">Z34+H34</f>
        <v>3</v>
      </c>
      <c r="AS34" s="41">
        <f ca="1">(AR34/$AR$37)</f>
        <v>3.896103896103896E-2</v>
      </c>
      <c r="AU34" s="55"/>
      <c r="AV34" s="43" t="s">
        <v>1350</v>
      </c>
      <c r="AW34" s="40">
        <f t="shared" ca="1" si="63"/>
        <v>9</v>
      </c>
      <c r="AX34" s="41">
        <f ca="1">(AW34/$AW$37)</f>
        <v>9.5744680851063829E-2</v>
      </c>
      <c r="AZ34" s="56"/>
      <c r="BB34" s="158"/>
    </row>
    <row r="35" spans="1:54" ht="15" customHeight="1" x14ac:dyDescent="0.25">
      <c r="A35" s="57"/>
      <c r="F35" s="55"/>
      <c r="I35" s="44"/>
      <c r="J35" s="44"/>
      <c r="K35" s="55"/>
      <c r="P35" s="56"/>
      <c r="S35" s="57"/>
      <c r="V35" s="44"/>
      <c r="X35" s="55"/>
      <c r="AA35" s="44"/>
      <c r="AB35" s="44"/>
      <c r="AC35" s="55"/>
      <c r="AH35" s="56"/>
      <c r="AK35" s="57"/>
      <c r="AP35" s="55"/>
      <c r="AS35" s="44"/>
      <c r="AT35" s="44"/>
      <c r="AU35" s="55"/>
      <c r="AZ35" s="56"/>
      <c r="BB35" s="158"/>
    </row>
    <row r="36" spans="1:54" ht="15" customHeight="1" x14ac:dyDescent="0.25">
      <c r="A36" s="57"/>
      <c r="B36" s="40"/>
      <c r="C36" s="40"/>
      <c r="D36" s="41"/>
      <c r="E36" s="41"/>
      <c r="F36" s="55"/>
      <c r="G36" s="40"/>
      <c r="H36" s="40"/>
      <c r="I36" s="45"/>
      <c r="J36" s="41"/>
      <c r="K36" s="55"/>
      <c r="L36" s="40"/>
      <c r="M36" s="40"/>
      <c r="N36" s="41"/>
      <c r="O36" s="41"/>
      <c r="P36" s="56"/>
      <c r="S36" s="57"/>
      <c r="T36" s="40"/>
      <c r="U36" s="40"/>
      <c r="V36" s="41"/>
      <c r="W36" s="41"/>
      <c r="X36" s="55"/>
      <c r="Y36" s="40"/>
      <c r="Z36" s="40"/>
      <c r="AA36" s="45"/>
      <c r="AB36" s="41"/>
      <c r="AC36" s="55"/>
      <c r="AD36" s="40"/>
      <c r="AE36" s="40"/>
      <c r="AF36" s="41"/>
      <c r="AG36" s="41"/>
      <c r="AH36" s="56"/>
      <c r="AK36" s="57"/>
      <c r="AL36" s="40"/>
      <c r="AM36" s="40"/>
      <c r="AN36" s="41"/>
      <c r="AO36" s="41"/>
      <c r="AP36" s="55"/>
      <c r="AQ36" s="40"/>
      <c r="AR36" s="40"/>
      <c r="AS36" s="45"/>
      <c r="AT36" s="41"/>
      <c r="AU36" s="55"/>
      <c r="AV36" s="40"/>
      <c r="AW36" s="40"/>
      <c r="AX36" s="41"/>
      <c r="AY36" s="41"/>
      <c r="AZ36" s="56"/>
      <c r="BB36" s="158"/>
    </row>
    <row r="37" spans="1:54" ht="15" customHeight="1" x14ac:dyDescent="0.25">
      <c r="A37" s="57"/>
      <c r="B37" s="40" t="s">
        <v>1355</v>
      </c>
      <c r="C37" s="40">
        <f ca="1">SUM(C26:C34)</f>
        <v>8</v>
      </c>
      <c r="D37" s="41"/>
      <c r="E37" s="45"/>
      <c r="F37" s="55"/>
      <c r="G37" s="40" t="s">
        <v>1355</v>
      </c>
      <c r="H37" s="40">
        <f ca="1">SUM(H26:H34)</f>
        <v>37</v>
      </c>
      <c r="I37" s="45"/>
      <c r="J37" s="45"/>
      <c r="K37" s="55"/>
      <c r="L37" s="40" t="s">
        <v>1355</v>
      </c>
      <c r="M37" s="40">
        <f ca="1">SUM(M26:M34)</f>
        <v>45</v>
      </c>
      <c r="N37" s="45"/>
      <c r="O37" s="45"/>
      <c r="P37" s="56"/>
      <c r="S37" s="57"/>
      <c r="T37" s="40" t="s">
        <v>1355</v>
      </c>
      <c r="U37" s="40">
        <f ca="1">SUM(U26:U34)</f>
        <v>9</v>
      </c>
      <c r="V37" s="41"/>
      <c r="W37" s="45"/>
      <c r="X37" s="55"/>
      <c r="Y37" s="40" t="s">
        <v>1355</v>
      </c>
      <c r="Z37" s="40">
        <f ca="1">SUM(Z26:Z34)</f>
        <v>40</v>
      </c>
      <c r="AA37" s="45"/>
      <c r="AB37" s="45"/>
      <c r="AC37" s="55"/>
      <c r="AD37" s="40" t="s">
        <v>1355</v>
      </c>
      <c r="AE37" s="40">
        <f ca="1">SUM(AE26:AE34)</f>
        <v>49</v>
      </c>
      <c r="AF37" s="45"/>
      <c r="AG37" s="45"/>
      <c r="AH37" s="56"/>
      <c r="AK37" s="57"/>
      <c r="AL37" s="40" t="s">
        <v>1355</v>
      </c>
      <c r="AM37" s="40">
        <f ca="1">SUM(AM26:AM34)</f>
        <v>17</v>
      </c>
      <c r="AN37" s="41"/>
      <c r="AO37" s="45"/>
      <c r="AP37" s="55"/>
      <c r="AQ37" s="40" t="s">
        <v>1355</v>
      </c>
      <c r="AR37" s="40">
        <f ca="1">SUM(AR26:AR34)</f>
        <v>77</v>
      </c>
      <c r="AS37" s="45"/>
      <c r="AT37" s="45"/>
      <c r="AU37" s="55"/>
      <c r="AV37" s="40" t="s">
        <v>1355</v>
      </c>
      <c r="AW37" s="40">
        <f ca="1">AM37+AR37</f>
        <v>94</v>
      </c>
      <c r="AX37" s="45"/>
      <c r="AY37" s="45"/>
      <c r="AZ37" s="56"/>
      <c r="BB37" s="158"/>
    </row>
    <row r="38" spans="1:54" ht="15" customHeight="1" x14ac:dyDescent="0.25">
      <c r="A38" s="57"/>
      <c r="B38" s="40"/>
      <c r="C38" s="46"/>
      <c r="D38" s="45"/>
      <c r="E38" s="45"/>
      <c r="F38" s="55"/>
      <c r="G38" s="40"/>
      <c r="H38" s="40"/>
      <c r="I38" s="45"/>
      <c r="J38" s="45"/>
      <c r="K38" s="55"/>
      <c r="L38" s="40"/>
      <c r="M38" s="46"/>
      <c r="N38" s="45"/>
      <c r="O38" s="45"/>
      <c r="P38" s="56"/>
      <c r="S38" s="57"/>
      <c r="T38" s="40"/>
      <c r="U38" s="46"/>
      <c r="V38" s="45"/>
      <c r="W38" s="45"/>
      <c r="X38" s="55"/>
      <c r="Y38" s="40"/>
      <c r="Z38" s="40"/>
      <c r="AA38" s="45"/>
      <c r="AB38" s="45"/>
      <c r="AC38" s="55"/>
      <c r="AD38" s="40"/>
      <c r="AE38" s="46"/>
      <c r="AF38" s="45"/>
      <c r="AG38" s="45"/>
      <c r="AH38" s="56"/>
      <c r="AK38" s="57"/>
      <c r="AL38" s="40"/>
      <c r="AM38" s="46"/>
      <c r="AN38" s="45"/>
      <c r="AO38" s="45"/>
      <c r="AP38" s="55"/>
      <c r="AQ38" s="40"/>
      <c r="AR38" s="40"/>
      <c r="AS38" s="45"/>
      <c r="AT38" s="45"/>
      <c r="AU38" s="55"/>
      <c r="AV38" s="40"/>
      <c r="AW38" s="46"/>
      <c r="AX38" s="45"/>
      <c r="AY38" s="45"/>
      <c r="AZ38" s="56"/>
      <c r="BB38" s="158"/>
    </row>
    <row r="39" spans="1:54" ht="15" customHeight="1" x14ac:dyDescent="0.25">
      <c r="A39" s="57"/>
      <c r="B39" s="40"/>
      <c r="C39" s="40" t="s">
        <v>1351</v>
      </c>
      <c r="D39" s="45"/>
      <c r="E39" s="45"/>
      <c r="F39" s="55"/>
      <c r="G39" s="40"/>
      <c r="H39" s="40" t="s">
        <v>1351</v>
      </c>
      <c r="I39" s="45"/>
      <c r="J39" s="45"/>
      <c r="K39" s="55"/>
      <c r="L39" s="40"/>
      <c r="M39" s="40" t="s">
        <v>1351</v>
      </c>
      <c r="N39" s="45"/>
      <c r="O39" s="45"/>
      <c r="P39" s="56"/>
      <c r="S39" s="57"/>
      <c r="T39" s="40"/>
      <c r="U39" s="40" t="s">
        <v>1351</v>
      </c>
      <c r="V39" s="45"/>
      <c r="W39" s="45"/>
      <c r="X39" s="55"/>
      <c r="Y39" s="40"/>
      <c r="Z39" s="40" t="s">
        <v>1351</v>
      </c>
      <c r="AA39" s="45"/>
      <c r="AB39" s="45"/>
      <c r="AC39" s="55"/>
      <c r="AD39" s="40"/>
      <c r="AE39" s="40" t="s">
        <v>1351</v>
      </c>
      <c r="AF39" s="45"/>
      <c r="AG39" s="45"/>
      <c r="AH39" s="56"/>
      <c r="AK39" s="57"/>
      <c r="AL39" s="40"/>
      <c r="AM39" s="40" t="s">
        <v>1351</v>
      </c>
      <c r="AN39" s="45"/>
      <c r="AO39" s="45"/>
      <c r="AP39" s="55"/>
      <c r="AQ39" s="40"/>
      <c r="AR39" s="40" t="s">
        <v>1351</v>
      </c>
      <c r="AS39" s="45"/>
      <c r="AT39" s="45"/>
      <c r="AU39" s="55"/>
      <c r="AV39" s="40"/>
      <c r="AW39" s="40" t="s">
        <v>1351</v>
      </c>
      <c r="AX39" s="45"/>
      <c r="AY39" s="45"/>
      <c r="AZ39" s="56"/>
      <c r="BB39" s="158"/>
    </row>
    <row r="40" spans="1:54" ht="15" customHeight="1" x14ac:dyDescent="0.25">
      <c r="A40" s="57"/>
      <c r="B40" s="40"/>
      <c r="C40" s="47">
        <f ca="1">((5*C34)+(15*C33)+(25*C32)+(35*C31)+(45*C30)+(55*C29)+(65*C28)+(75*C27)+(85*C26))/C37</f>
        <v>16.25</v>
      </c>
      <c r="D40" s="45"/>
      <c r="E40" s="45"/>
      <c r="F40" s="55"/>
      <c r="G40" s="40"/>
      <c r="H40" s="47">
        <f ca="1">((5*H34)+(15*H33)+(25*H32)+(35*H31)+(45*H30)+(55*H29)+(65*H28)+(75*H27)+(85*H26))/H37</f>
        <v>40.405405405405403</v>
      </c>
      <c r="I40" s="45"/>
      <c r="J40" s="45"/>
      <c r="K40" s="55"/>
      <c r="L40" s="40"/>
      <c r="M40" s="47">
        <f ca="1">((5*M34)+(15*M33)+(25*M32)+(35*M31)+(45*M30)+(55*M29)+(65*M28)+(75*M27)+(85*M26))/M37</f>
        <v>36.111111111111114</v>
      </c>
      <c r="N40" s="45"/>
      <c r="O40" s="45"/>
      <c r="P40" s="56"/>
      <c r="S40" s="57"/>
      <c r="T40" s="40"/>
      <c r="U40" s="47">
        <f ca="1">((5*U34)+(15*U33)+(25*U32)+(35*U31)+(45*U30)+(55*U29)+(65*U28)+(75*U27)+(85*U26))/U37</f>
        <v>40.555555555555557</v>
      </c>
      <c r="V40" s="45"/>
      <c r="W40" s="45"/>
      <c r="X40" s="55"/>
      <c r="Y40" s="40"/>
      <c r="Z40" s="47">
        <f ca="1">((5*Z34)+(15*Z33)+(25*Z32)+(35*Z31)+(45*Z30)+(55*Z29)+(65*Z28)+(75*Z27)+(85*Z26))/Z37</f>
        <v>44.75</v>
      </c>
      <c r="AA40" s="45"/>
      <c r="AB40" s="45"/>
      <c r="AC40" s="55"/>
      <c r="AD40" s="40"/>
      <c r="AE40" s="47">
        <f ca="1">((5*AE34)+(15*AE33)+(25*AE32)+(35*AE31)+(45*AE30)+(55*AE29)+(65*AE28)+(75*AE27)+(85*AE26))/AE37</f>
        <v>43.979591836734691</v>
      </c>
      <c r="AF40" s="45"/>
      <c r="AG40" s="45"/>
      <c r="AH40" s="56"/>
      <c r="AK40" s="57"/>
      <c r="AL40" s="40"/>
      <c r="AM40" s="47">
        <f ca="1">((5*AM34)+(15*AM33)+(25*AM32)+(35*AM31)+(45*AM30)+(55*AM29)+(65*AM28)+(75*AM27)+(85*AM26))/AM37</f>
        <v>29.117647058823529</v>
      </c>
      <c r="AN40" s="45"/>
      <c r="AO40" s="45"/>
      <c r="AP40" s="55"/>
      <c r="AQ40" s="40"/>
      <c r="AR40" s="47">
        <f ca="1">((5*AR34)+(15*AR33)+(25*AR32)+(35*AR31)+(45*AR30)+(55*AR29)+(65*AR28)+(75*AR27)+(85*AR26))/AR37</f>
        <v>42.662337662337663</v>
      </c>
      <c r="AS40" s="45"/>
      <c r="AT40" s="45"/>
      <c r="AU40" s="55"/>
      <c r="AV40" s="40"/>
      <c r="AW40" s="47">
        <f ca="1">((5*AW34)+(15*AW33)+(25*AW32)+(35*AW31)+(45*AW30)+(55*AW29)+(65*AW28)+(75*AW27)+(85*AW26))/AW37</f>
        <v>40.212765957446805</v>
      </c>
      <c r="AX40" s="45"/>
      <c r="AY40" s="45"/>
      <c r="AZ40" s="56"/>
      <c r="BB40" s="158"/>
    </row>
    <row r="41" spans="1:54" ht="15.75" customHeight="1" thickBot="1" x14ac:dyDescent="0.3">
      <c r="A41" s="58"/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81"/>
      <c r="S41" s="58"/>
      <c r="T41" s="59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81"/>
      <c r="AK41" s="58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81"/>
      <c r="BB41" s="158"/>
    </row>
    <row r="44" spans="1:54" ht="15.75" thickBot="1" x14ac:dyDescent="0.3"/>
    <row r="45" spans="1:54" ht="15" customHeight="1" x14ac:dyDescent="0.25">
      <c r="A45" s="82"/>
      <c r="B45" s="161" t="s">
        <v>1353</v>
      </c>
      <c r="C45" s="161"/>
      <c r="D45" s="159">
        <f ca="1">C58/M58</f>
        <v>0.15</v>
      </c>
      <c r="E45" s="159"/>
      <c r="F45" s="61"/>
      <c r="G45" s="161" t="s">
        <v>1354</v>
      </c>
      <c r="H45" s="161"/>
      <c r="I45" s="159">
        <f ca="1">H58/M58</f>
        <v>0.85</v>
      </c>
      <c r="J45" s="159"/>
      <c r="K45" s="61"/>
      <c r="L45" s="161" t="s">
        <v>1355</v>
      </c>
      <c r="M45" s="161"/>
      <c r="N45" s="163">
        <f ca="1">I45+D45</f>
        <v>1</v>
      </c>
      <c r="O45" s="163"/>
      <c r="P45" s="62"/>
      <c r="S45" s="82"/>
      <c r="T45" s="161" t="s">
        <v>1353</v>
      </c>
      <c r="U45" s="161"/>
      <c r="V45" s="159">
        <f ca="1">U58/AE58</f>
        <v>0.16129032258064516</v>
      </c>
      <c r="W45" s="159"/>
      <c r="X45" s="61"/>
      <c r="Y45" s="161" t="s">
        <v>1354</v>
      </c>
      <c r="Z45" s="161"/>
      <c r="AA45" s="159">
        <f ca="1">Z58/AE58</f>
        <v>0.83870967741935487</v>
      </c>
      <c r="AB45" s="159"/>
      <c r="AC45" s="61"/>
      <c r="AD45" s="161" t="s">
        <v>1355</v>
      </c>
      <c r="AE45" s="161"/>
      <c r="AF45" s="163">
        <f ca="1">AA45+V45</f>
        <v>1</v>
      </c>
      <c r="AG45" s="163"/>
      <c r="AH45" s="62"/>
      <c r="AK45" s="82"/>
      <c r="AL45" s="161" t="s">
        <v>1353</v>
      </c>
      <c r="AM45" s="161"/>
      <c r="AN45" s="159">
        <f ca="1">AM58/AW58</f>
        <v>0.15686274509803921</v>
      </c>
      <c r="AO45" s="159"/>
      <c r="AP45" s="61"/>
      <c r="AQ45" s="161" t="s">
        <v>1354</v>
      </c>
      <c r="AR45" s="161"/>
      <c r="AS45" s="159">
        <f ca="1">AR58/AW58</f>
        <v>0.84313725490196079</v>
      </c>
      <c r="AT45" s="159"/>
      <c r="AU45" s="61"/>
      <c r="AV45" s="161" t="s">
        <v>1355</v>
      </c>
      <c r="AW45" s="161"/>
      <c r="AX45" s="163">
        <f ca="1">AS45+AN45</f>
        <v>1</v>
      </c>
      <c r="AY45" s="163"/>
      <c r="AZ45" s="62"/>
      <c r="BB45" s="157">
        <f ca="1">AW58/AW16</f>
        <v>0.52040816326530615</v>
      </c>
    </row>
    <row r="46" spans="1:54" ht="15" customHeight="1" x14ac:dyDescent="0.25">
      <c r="A46" s="83"/>
      <c r="B46" s="162"/>
      <c r="C46" s="162"/>
      <c r="D46" s="160"/>
      <c r="E46" s="160"/>
      <c r="F46" s="63"/>
      <c r="G46" s="162"/>
      <c r="H46" s="162"/>
      <c r="I46" s="160"/>
      <c r="J46" s="160"/>
      <c r="K46" s="63"/>
      <c r="L46" s="162"/>
      <c r="M46" s="162"/>
      <c r="N46" s="164"/>
      <c r="O46" s="164"/>
      <c r="P46" s="64"/>
      <c r="S46" s="83"/>
      <c r="T46" s="162"/>
      <c r="U46" s="162"/>
      <c r="V46" s="160"/>
      <c r="W46" s="160"/>
      <c r="X46" s="63"/>
      <c r="Y46" s="162"/>
      <c r="Z46" s="162"/>
      <c r="AA46" s="160"/>
      <c r="AB46" s="160"/>
      <c r="AC46" s="63"/>
      <c r="AD46" s="162"/>
      <c r="AE46" s="162"/>
      <c r="AF46" s="164"/>
      <c r="AG46" s="164"/>
      <c r="AH46" s="64"/>
      <c r="AK46" s="83"/>
      <c r="AL46" s="162"/>
      <c r="AM46" s="162"/>
      <c r="AN46" s="160"/>
      <c r="AO46" s="160"/>
      <c r="AP46" s="63"/>
      <c r="AQ46" s="162"/>
      <c r="AR46" s="162"/>
      <c r="AS46" s="160"/>
      <c r="AT46" s="160"/>
      <c r="AU46" s="63"/>
      <c r="AV46" s="162"/>
      <c r="AW46" s="162"/>
      <c r="AX46" s="164"/>
      <c r="AY46" s="164"/>
      <c r="AZ46" s="64"/>
      <c r="BB46" s="157"/>
    </row>
    <row r="47" spans="1:54" x14ac:dyDescent="0.25">
      <c r="A47" s="65"/>
      <c r="B47" s="40" t="s">
        <v>1358</v>
      </c>
      <c r="C47" s="40">
        <f ca="1">COUNTIFS(LIBRO_SOCIOS!V:V,"&gt;80",LIBRO_SOCIOS!M:M,"ZITRON-ASCAZ ambulatoria",LIBRO_SOCIOS!T:T,"m")</f>
        <v>0</v>
      </c>
      <c r="D47" s="41">
        <f t="shared" ref="D47:D53" ca="1" si="64">(C47/$C$37)</f>
        <v>0</v>
      </c>
      <c r="E47" s="41">
        <f t="shared" ref="E47:E48" ca="1" si="65">E48+D47</f>
        <v>0.75</v>
      </c>
      <c r="F47" s="63"/>
      <c r="G47" s="40" t="s">
        <v>1358</v>
      </c>
      <c r="H47" s="40">
        <f ca="1">COUNTIFS(LIBRO_SOCIOS!V:V,"&gt;80",LIBRO_SOCIOS!M:M,"ZITRON-ASCAZ HOSPITALARIA",LIBRO_SOCIOS!T:T,"m")</f>
        <v>0</v>
      </c>
      <c r="I47" s="41">
        <f t="shared" ref="I47:I53" ca="1" si="66">(H47/$H$37)</f>
        <v>0</v>
      </c>
      <c r="J47" s="41">
        <f t="shared" ref="J47:J52" ca="1" si="67">J48+I47</f>
        <v>0.91891891891891908</v>
      </c>
      <c r="K47" s="63"/>
      <c r="L47" s="40" t="s">
        <v>1358</v>
      </c>
      <c r="M47" s="40">
        <f ca="1">C47+H47</f>
        <v>0</v>
      </c>
      <c r="N47" s="41">
        <f t="shared" ref="N47:N53" ca="1" si="68">(M47/$M$37)</f>
        <v>0</v>
      </c>
      <c r="O47" s="41">
        <f t="shared" ref="O47:O52" ca="1" si="69">O48+N47</f>
        <v>0.88888888888888895</v>
      </c>
      <c r="P47" s="64"/>
      <c r="S47" s="65"/>
      <c r="T47" s="40" t="s">
        <v>1358</v>
      </c>
      <c r="U47" s="40">
        <f ca="1">COUNTIFS(LIBRO_SOCIOS!V:V,"&gt;80",LIBRO_SOCIOS!M:M,"ASCAZ ambulatoria",LIBRO_SOCIOS!T:T,"m")</f>
        <v>0</v>
      </c>
      <c r="V47" s="41">
        <f t="shared" ref="V47:V53" ca="1" si="70">(U47/$U$37)</f>
        <v>0</v>
      </c>
      <c r="W47" s="41">
        <f t="shared" ref="W47:W52" ca="1" si="71">W48+V47</f>
        <v>1.1111111111111112</v>
      </c>
      <c r="X47" s="63"/>
      <c r="Y47" s="40" t="s">
        <v>1358</v>
      </c>
      <c r="Z47" s="40">
        <f ca="1">COUNTIFS(LIBRO_SOCIOS!V:V,"&gt;80",LIBRO_SOCIOS!M:M,"ASCAZ HOSPITALARIA",LIBRO_SOCIOS!T:T,"m")</f>
        <v>1</v>
      </c>
      <c r="AA47" s="41">
        <f t="shared" ref="AA47:AA53" ca="1" si="72">(Z47/$Z$37)</f>
        <v>2.5000000000000001E-2</v>
      </c>
      <c r="AB47" s="41">
        <f t="shared" ref="AB47:AB52" ca="1" si="73">AB48+AA47</f>
        <v>1.2999999999999998</v>
      </c>
      <c r="AC47" s="63"/>
      <c r="AD47" s="40" t="s">
        <v>1358</v>
      </c>
      <c r="AE47" s="40">
        <f t="shared" ref="AE47:AE48" ca="1" si="74">U47+Z47</f>
        <v>1</v>
      </c>
      <c r="AF47" s="41">
        <f t="shared" ref="AF47:AF53" ca="1" si="75">(AE47/$AE$37)</f>
        <v>2.0408163265306121E-2</v>
      </c>
      <c r="AG47" s="41">
        <f ca="1">AG48+AF47</f>
        <v>1.2653061224489794</v>
      </c>
      <c r="AH47" s="64"/>
      <c r="AK47" s="65"/>
      <c r="AL47" s="40" t="s">
        <v>1358</v>
      </c>
      <c r="AM47" s="40">
        <f t="shared" ref="AM47" ca="1" si="76">C47+U47</f>
        <v>0</v>
      </c>
      <c r="AN47" s="41">
        <f t="shared" ref="AN47:AN53" ca="1" si="77">(AM47/$AM$37)</f>
        <v>0</v>
      </c>
      <c r="AO47" s="41">
        <f t="shared" ref="AO47:AO52" ca="1" si="78">AO48+AN47</f>
        <v>0.94117647058823528</v>
      </c>
      <c r="AP47" s="63"/>
      <c r="AQ47" s="40" t="s">
        <v>1358</v>
      </c>
      <c r="AR47" s="40">
        <f ca="1">Z47+H47</f>
        <v>1</v>
      </c>
      <c r="AS47" s="41">
        <f t="shared" ref="AS47:AS53" ca="1" si="79">(AR47/$AR$37)</f>
        <v>1.2987012987012988E-2</v>
      </c>
      <c r="AT47" s="41">
        <f t="shared" ref="AT47:AT52" ca="1" si="80">AT48+AS47</f>
        <v>1.1168831168831168</v>
      </c>
      <c r="AU47" s="63"/>
      <c r="AV47" s="40" t="s">
        <v>1358</v>
      </c>
      <c r="AW47" s="40">
        <f ca="1">AM47+AR47</f>
        <v>1</v>
      </c>
      <c r="AX47" s="41">
        <f t="shared" ref="AX47:AX53" ca="1" si="81">(AW47/$AW$37)</f>
        <v>1.0638297872340425E-2</v>
      </c>
      <c r="AY47" s="41">
        <f t="shared" ref="AY47:AY52" ca="1" si="82">AY48+AX47</f>
        <v>1.0851063829787233</v>
      </c>
      <c r="AZ47" s="64"/>
      <c r="BB47" s="157"/>
    </row>
    <row r="48" spans="1:54" x14ac:dyDescent="0.25">
      <c r="A48" s="65"/>
      <c r="B48" s="40" t="s">
        <v>1357</v>
      </c>
      <c r="C48" s="40">
        <f ca="1">COUNTIFS(LIBRO_SOCIOS!V:V,"&gt;70",LIBRO_SOCIOS!V:V,"&lt;81",LIBRO_SOCIOS!M:M,"ZITRON-ASCAZ ambulatoria",LIBRO_SOCIOS!T:T,"m")</f>
        <v>0</v>
      </c>
      <c r="D48" s="41">
        <f t="shared" ca="1" si="64"/>
        <v>0</v>
      </c>
      <c r="E48" s="41">
        <f t="shared" ca="1" si="65"/>
        <v>0.75</v>
      </c>
      <c r="F48" s="63"/>
      <c r="G48" s="40" t="s">
        <v>1357</v>
      </c>
      <c r="H48" s="40">
        <f ca="1">COUNTIFS(LIBRO_SOCIOS!V:V,"&gt;70",LIBRO_SOCIOS!V:V,"&lt;81",LIBRO_SOCIOS!M:M,"ZITRON-ASCAZ HOSPITALARIA",LIBRO_SOCIOS!T:T,"m")</f>
        <v>0</v>
      </c>
      <c r="I48" s="41">
        <f t="shared" ca="1" si="66"/>
        <v>0</v>
      </c>
      <c r="J48" s="41">
        <f t="shared" ca="1" si="67"/>
        <v>0.91891891891891908</v>
      </c>
      <c r="K48" s="63"/>
      <c r="L48" s="40" t="s">
        <v>1357</v>
      </c>
      <c r="M48" s="40">
        <f ca="1">C48+H48</f>
        <v>0</v>
      </c>
      <c r="N48" s="41">
        <f t="shared" ca="1" si="68"/>
        <v>0</v>
      </c>
      <c r="O48" s="41">
        <f t="shared" ca="1" si="69"/>
        <v>0.88888888888888895</v>
      </c>
      <c r="P48" s="64"/>
      <c r="S48" s="65"/>
      <c r="T48" s="40" t="s">
        <v>1357</v>
      </c>
      <c r="U48" s="40">
        <f ca="1">COUNTIFS(LIBRO_SOCIOS!V:V,"&gt;70",LIBRO_SOCIOS!V:V,"&lt;81",LIBRO_SOCIOS!M:M,"ASCAZ ambulatoria",LIBRO_SOCIOS!T:T,"m")</f>
        <v>0</v>
      </c>
      <c r="V48" s="41">
        <f t="shared" ca="1" si="70"/>
        <v>0</v>
      </c>
      <c r="W48" s="41">
        <f t="shared" ca="1" si="71"/>
        <v>1.1111111111111112</v>
      </c>
      <c r="X48" s="63"/>
      <c r="Y48" s="40" t="s">
        <v>1357</v>
      </c>
      <c r="Z48" s="40">
        <f ca="1">COUNTIFS(LIBRO_SOCIOS!V:V,"&gt;70",LIBRO_SOCIOS!V:V,"&lt;81",LIBRO_SOCIOS!M:M,"ASCAZ HOSPITALARIA",LIBRO_SOCIOS!T:T,"m")</f>
        <v>2</v>
      </c>
      <c r="AA48" s="41">
        <f t="shared" ca="1" si="72"/>
        <v>0.05</v>
      </c>
      <c r="AB48" s="41">
        <f t="shared" ca="1" si="73"/>
        <v>1.2749999999999999</v>
      </c>
      <c r="AC48" s="63"/>
      <c r="AD48" s="40" t="s">
        <v>1357</v>
      </c>
      <c r="AE48" s="40">
        <f t="shared" ca="1" si="74"/>
        <v>2</v>
      </c>
      <c r="AF48" s="41">
        <f t="shared" ca="1" si="75"/>
        <v>4.0816326530612242E-2</v>
      </c>
      <c r="AG48" s="41">
        <f t="shared" ref="AG48:AG52" ca="1" si="83">AG49+AF48</f>
        <v>1.2448979591836733</v>
      </c>
      <c r="AH48" s="64"/>
      <c r="AK48" s="65"/>
      <c r="AL48" s="40" t="s">
        <v>1357</v>
      </c>
      <c r="AM48" s="40">
        <f ca="1">C48+U48</f>
        <v>0</v>
      </c>
      <c r="AN48" s="41">
        <f t="shared" ca="1" si="77"/>
        <v>0</v>
      </c>
      <c r="AO48" s="41">
        <f t="shared" ca="1" si="78"/>
        <v>0.94117647058823528</v>
      </c>
      <c r="AP48" s="63"/>
      <c r="AQ48" s="40" t="s">
        <v>1357</v>
      </c>
      <c r="AR48" s="40">
        <f t="shared" ref="AR48" ca="1" si="84">Z48+H48</f>
        <v>2</v>
      </c>
      <c r="AS48" s="41">
        <f t="shared" ca="1" si="79"/>
        <v>2.5974025974025976E-2</v>
      </c>
      <c r="AT48" s="41">
        <f t="shared" ca="1" si="80"/>
        <v>1.1038961038961039</v>
      </c>
      <c r="AU48" s="63"/>
      <c r="AV48" s="40" t="s">
        <v>1357</v>
      </c>
      <c r="AW48" s="40">
        <f t="shared" ref="AW48" ca="1" si="85">AM48+AR48</f>
        <v>2</v>
      </c>
      <c r="AX48" s="41">
        <f t="shared" ca="1" si="81"/>
        <v>2.1276595744680851E-2</v>
      </c>
      <c r="AY48" s="41">
        <f t="shared" ca="1" si="82"/>
        <v>1.0744680851063828</v>
      </c>
      <c r="AZ48" s="64"/>
      <c r="BB48" s="157"/>
    </row>
    <row r="49" spans="1:54" x14ac:dyDescent="0.25">
      <c r="A49" s="65"/>
      <c r="B49" s="40" t="s">
        <v>1356</v>
      </c>
      <c r="C49" s="40">
        <f ca="1">COUNTIFS(LIBRO_SOCIOS!V:V,"&gt;60",LIBRO_SOCIOS!V:V,"&lt;71",LIBRO_SOCIOS!M:M,"ZITRON-ASCAZ ambulatoria",LIBRO_SOCIOS!T:T,"m")</f>
        <v>0</v>
      </c>
      <c r="D49" s="41">
        <f t="shared" ca="1" si="64"/>
        <v>0</v>
      </c>
      <c r="E49" s="41">
        <f ca="1">E50+D49</f>
        <v>0.75</v>
      </c>
      <c r="F49" s="63"/>
      <c r="G49" s="40" t="s">
        <v>1356</v>
      </c>
      <c r="H49" s="40">
        <f ca="1">COUNTIFS(LIBRO_SOCIOS!V:V,"&gt;60",LIBRO_SOCIOS!V:V,"&lt;71",LIBRO_SOCIOS!M:M,"ZITRON-ASCAZ HOSPITALARIA",LIBRO_SOCIOS!T:T,"m")</f>
        <v>3</v>
      </c>
      <c r="I49" s="41">
        <f t="shared" ca="1" si="66"/>
        <v>8.1081081081081086E-2</v>
      </c>
      <c r="J49" s="41">
        <f t="shared" ca="1" si="67"/>
        <v>0.91891891891891908</v>
      </c>
      <c r="K49" s="63"/>
      <c r="L49" s="40" t="s">
        <v>1356</v>
      </c>
      <c r="M49" s="40">
        <f ca="1">C49+H49</f>
        <v>3</v>
      </c>
      <c r="N49" s="41">
        <f t="shared" ca="1" si="68"/>
        <v>6.6666666666666666E-2</v>
      </c>
      <c r="O49" s="41">
        <f t="shared" ca="1" si="69"/>
        <v>0.88888888888888895</v>
      </c>
      <c r="P49" s="64"/>
      <c r="S49" s="65"/>
      <c r="T49" s="40" t="s">
        <v>1356</v>
      </c>
      <c r="U49" s="40">
        <f ca="1">COUNTIFS(LIBRO_SOCIOS!V:V,"&gt;60",LIBRO_SOCIOS!V:V,"&lt;71",LIBRO_SOCIOS!M:M,"ASCAZ ambulatoria",LIBRO_SOCIOS!T:T,"m")</f>
        <v>5</v>
      </c>
      <c r="V49" s="41">
        <f t="shared" ca="1" si="70"/>
        <v>0.55555555555555558</v>
      </c>
      <c r="W49" s="41">
        <f t="shared" ca="1" si="71"/>
        <v>1.1111111111111112</v>
      </c>
      <c r="X49" s="63"/>
      <c r="Y49" s="40" t="s">
        <v>1356</v>
      </c>
      <c r="Z49" s="40">
        <f ca="1">COUNTIFS(LIBRO_SOCIOS!V:V,"&gt;60",LIBRO_SOCIOS!V:V,"&lt;71",LIBRO_SOCIOS!M:M,"ASCAZ HOSPITALARIA",LIBRO_SOCIOS!T:T,"m")</f>
        <v>9</v>
      </c>
      <c r="AA49" s="41">
        <f t="shared" ca="1" si="72"/>
        <v>0.22500000000000001</v>
      </c>
      <c r="AB49" s="41">
        <f t="shared" ca="1" si="73"/>
        <v>1.2249999999999999</v>
      </c>
      <c r="AC49" s="63"/>
      <c r="AD49" s="40" t="s">
        <v>1356</v>
      </c>
      <c r="AE49" s="40">
        <f ca="1">U49+Z49</f>
        <v>14</v>
      </c>
      <c r="AF49" s="41">
        <f t="shared" ca="1" si="75"/>
        <v>0.2857142857142857</v>
      </c>
      <c r="AG49" s="41">
        <f t="shared" ca="1" si="83"/>
        <v>1.204081632653061</v>
      </c>
      <c r="AH49" s="64"/>
      <c r="AK49" s="65"/>
      <c r="AL49" s="40" t="s">
        <v>1356</v>
      </c>
      <c r="AM49" s="40">
        <f ca="1">C49+U49</f>
        <v>5</v>
      </c>
      <c r="AN49" s="41">
        <f t="shared" ca="1" si="77"/>
        <v>0.29411764705882354</v>
      </c>
      <c r="AO49" s="41">
        <f t="shared" ca="1" si="78"/>
        <v>0.94117647058823528</v>
      </c>
      <c r="AP49" s="63"/>
      <c r="AQ49" s="40" t="s">
        <v>1356</v>
      </c>
      <c r="AR49" s="40">
        <f ca="1">Z49+H49</f>
        <v>12</v>
      </c>
      <c r="AS49" s="41">
        <f t="shared" ca="1" si="79"/>
        <v>0.15584415584415584</v>
      </c>
      <c r="AT49" s="41">
        <f t="shared" ca="1" si="80"/>
        <v>1.0779220779220779</v>
      </c>
      <c r="AU49" s="63"/>
      <c r="AV49" s="40" t="s">
        <v>1356</v>
      </c>
      <c r="AW49" s="40">
        <f ca="1">AM49+AR49</f>
        <v>17</v>
      </c>
      <c r="AX49" s="41">
        <f t="shared" ca="1" si="81"/>
        <v>0.18085106382978725</v>
      </c>
      <c r="AY49" s="41">
        <f t="shared" ca="1" si="82"/>
        <v>1.053191489361702</v>
      </c>
      <c r="AZ49" s="64"/>
      <c r="BB49" s="157"/>
    </row>
    <row r="50" spans="1:54" x14ac:dyDescent="0.25">
      <c r="A50" s="65"/>
      <c r="B50" s="40" t="s">
        <v>1345</v>
      </c>
      <c r="C50" s="40">
        <f ca="1">COUNTIFS(LIBRO_SOCIOS!V:V,"&gt;50",LIBRO_SOCIOS!V:V,"&lt;61",LIBRO_SOCIOS!M:M,"ZITRON-ASCAZ ambulatoria",LIBRO_SOCIOS!T:T,"m")</f>
        <v>0</v>
      </c>
      <c r="D50" s="41">
        <f t="shared" ca="1" si="64"/>
        <v>0</v>
      </c>
      <c r="E50" s="41">
        <f t="shared" ref="E50:E52" ca="1" si="86">E51+D50</f>
        <v>0.75</v>
      </c>
      <c r="F50" s="63"/>
      <c r="G50" s="40" t="s">
        <v>1345</v>
      </c>
      <c r="H50" s="40">
        <f ca="1">COUNTIFS(LIBRO_SOCIOS!V:V,"&gt;50",LIBRO_SOCIOS!V:V,"&lt;61",LIBRO_SOCIOS!M:M,"ZITRON-ASCAZ HOSPITALARIA",LIBRO_SOCIOS!T:T,"m")</f>
        <v>4</v>
      </c>
      <c r="I50" s="41">
        <f t="shared" ca="1" si="66"/>
        <v>0.10810810810810811</v>
      </c>
      <c r="J50" s="41">
        <f t="shared" ca="1" si="67"/>
        <v>0.83783783783783794</v>
      </c>
      <c r="K50" s="63"/>
      <c r="L50" s="40" t="s">
        <v>1345</v>
      </c>
      <c r="M50" s="40">
        <f t="shared" ref="M50:M55" ca="1" si="87">C50+H50</f>
        <v>4</v>
      </c>
      <c r="N50" s="41">
        <f t="shared" ca="1" si="68"/>
        <v>8.8888888888888892E-2</v>
      </c>
      <c r="O50" s="41">
        <f t="shared" ca="1" si="69"/>
        <v>0.8222222222222223</v>
      </c>
      <c r="P50" s="64"/>
      <c r="S50" s="65"/>
      <c r="T50" s="40" t="s">
        <v>1345</v>
      </c>
      <c r="U50" s="40">
        <f ca="1">COUNTIFS(LIBRO_SOCIOS!V:V,"&gt;50",LIBRO_SOCIOS!V:V,"&lt;61",LIBRO_SOCIOS!M:M,"ASCAZ ambulatoria",LIBRO_SOCIOS!T:T,"m")</f>
        <v>1</v>
      </c>
      <c r="V50" s="41">
        <f t="shared" ca="1" si="70"/>
        <v>0.1111111111111111</v>
      </c>
      <c r="W50" s="41">
        <f t="shared" ca="1" si="71"/>
        <v>0.55555555555555558</v>
      </c>
      <c r="X50" s="63"/>
      <c r="Y50" s="40" t="s">
        <v>1345</v>
      </c>
      <c r="Z50" s="40">
        <f ca="1">COUNTIFS(LIBRO_SOCIOS!V:V,"&gt;50",LIBRO_SOCIOS!V:V,"&lt;61",LIBRO_SOCIOS!M:M,"ASCAZ HOSPITALARIA",LIBRO_SOCIOS!T:T,"m")</f>
        <v>9</v>
      </c>
      <c r="AA50" s="41">
        <f t="shared" ca="1" si="72"/>
        <v>0.22500000000000001</v>
      </c>
      <c r="AB50" s="41">
        <f t="shared" ca="1" si="73"/>
        <v>0.99999999999999989</v>
      </c>
      <c r="AC50" s="63"/>
      <c r="AD50" s="40" t="s">
        <v>1345</v>
      </c>
      <c r="AE50" s="40">
        <f t="shared" ref="AE50:AE53" ca="1" si="88">U50+Z50</f>
        <v>10</v>
      </c>
      <c r="AF50" s="41">
        <f t="shared" ca="1" si="75"/>
        <v>0.20408163265306123</v>
      </c>
      <c r="AG50" s="41">
        <f t="shared" ca="1" si="83"/>
        <v>0.91836734693877542</v>
      </c>
      <c r="AH50" s="64"/>
      <c r="AK50" s="65"/>
      <c r="AL50" s="40" t="s">
        <v>1345</v>
      </c>
      <c r="AM50" s="40">
        <f t="shared" ref="AM50:AM54" ca="1" si="89">C50+U50</f>
        <v>1</v>
      </c>
      <c r="AN50" s="41">
        <f t="shared" ca="1" si="77"/>
        <v>5.8823529411764705E-2</v>
      </c>
      <c r="AO50" s="41">
        <f t="shared" ca="1" si="78"/>
        <v>0.6470588235294118</v>
      </c>
      <c r="AP50" s="63"/>
      <c r="AQ50" s="40" t="s">
        <v>1345</v>
      </c>
      <c r="AR50" s="40">
        <f t="shared" ref="AR50:AR54" ca="1" si="90">Z50+H50</f>
        <v>13</v>
      </c>
      <c r="AS50" s="41">
        <f t="shared" ca="1" si="79"/>
        <v>0.16883116883116883</v>
      </c>
      <c r="AT50" s="41">
        <f t="shared" ca="1" si="80"/>
        <v>0.92207792207792205</v>
      </c>
      <c r="AU50" s="63"/>
      <c r="AV50" s="40" t="s">
        <v>1345</v>
      </c>
      <c r="AW50" s="40">
        <f ca="1">AM50+AR50</f>
        <v>14</v>
      </c>
      <c r="AX50" s="41">
        <f t="shared" ca="1" si="81"/>
        <v>0.14893617021276595</v>
      </c>
      <c r="AY50" s="41">
        <f t="shared" ca="1" si="82"/>
        <v>0.87234042553191482</v>
      </c>
      <c r="AZ50" s="64"/>
      <c r="BB50" s="157"/>
    </row>
    <row r="51" spans="1:54" x14ac:dyDescent="0.25">
      <c r="A51" s="65"/>
      <c r="B51" s="40" t="s">
        <v>1346</v>
      </c>
      <c r="C51" s="40">
        <f ca="1">COUNTIFS(LIBRO_SOCIOS!V:V,"&gt;40",LIBRO_SOCIOS!V:V,"&lt;51",LIBRO_SOCIOS!M:M,"ZITRON-ASCAZ ambulatoria",LIBRO_SOCIOS!T:T,"m")</f>
        <v>1</v>
      </c>
      <c r="D51" s="41">
        <f t="shared" ca="1" si="64"/>
        <v>0.125</v>
      </c>
      <c r="E51" s="41">
        <f t="shared" ca="1" si="86"/>
        <v>0.75</v>
      </c>
      <c r="F51" s="63"/>
      <c r="G51" s="40" t="s">
        <v>1346</v>
      </c>
      <c r="H51" s="40">
        <f ca="1">COUNTIFS(LIBRO_SOCIOS!V:V,"&gt;40",LIBRO_SOCIOS!V:V,"&lt;51",LIBRO_SOCIOS!M:M,"ZITRON-ASCAZ HOSPITALARIA",LIBRO_SOCIOS!T:T,"m")</f>
        <v>8</v>
      </c>
      <c r="I51" s="41">
        <f t="shared" ca="1" si="66"/>
        <v>0.21621621621621623</v>
      </c>
      <c r="J51" s="41">
        <f t="shared" ca="1" si="67"/>
        <v>0.72972972972972983</v>
      </c>
      <c r="K51" s="63"/>
      <c r="L51" s="40" t="s">
        <v>1346</v>
      </c>
      <c r="M51" s="40">
        <f t="shared" ca="1" si="87"/>
        <v>9</v>
      </c>
      <c r="N51" s="41">
        <f t="shared" ca="1" si="68"/>
        <v>0.2</v>
      </c>
      <c r="O51" s="41">
        <f t="shared" ca="1" si="69"/>
        <v>0.73333333333333339</v>
      </c>
      <c r="P51" s="64"/>
      <c r="S51" s="65"/>
      <c r="T51" s="40" t="s">
        <v>1346</v>
      </c>
      <c r="U51" s="40">
        <f ca="1">COUNTIFS(LIBRO_SOCIOS!V:V,"&gt;40",LIBRO_SOCIOS!V:V,"&lt;51",LIBRO_SOCIOS!M:M,"ASCAZ ambulatoria",LIBRO_SOCIOS!T:T,"m")</f>
        <v>0</v>
      </c>
      <c r="V51" s="41">
        <f t="shared" ca="1" si="70"/>
        <v>0</v>
      </c>
      <c r="W51" s="41">
        <f t="shared" ca="1" si="71"/>
        <v>0.44444444444444442</v>
      </c>
      <c r="X51" s="63"/>
      <c r="Y51" s="40" t="s">
        <v>1346</v>
      </c>
      <c r="Z51" s="40">
        <f ca="1">COUNTIFS(LIBRO_SOCIOS!V:V,"&gt;40",LIBRO_SOCIOS!V:V,"&lt;51",LIBRO_SOCIOS!M:M,"ASCAZ HOSPITALARIA",LIBRO_SOCIOS!T:T,"m")</f>
        <v>17</v>
      </c>
      <c r="AA51" s="41">
        <f ca="1">(Z51/$Z$37)</f>
        <v>0.42499999999999999</v>
      </c>
      <c r="AB51" s="41">
        <f t="shared" ca="1" si="73"/>
        <v>0.77499999999999991</v>
      </c>
      <c r="AC51" s="63"/>
      <c r="AD51" s="40" t="s">
        <v>1346</v>
      </c>
      <c r="AE51" s="40">
        <f t="shared" ca="1" si="88"/>
        <v>17</v>
      </c>
      <c r="AF51" s="41">
        <f t="shared" ca="1" si="75"/>
        <v>0.34693877551020408</v>
      </c>
      <c r="AG51" s="41">
        <f t="shared" ca="1" si="83"/>
        <v>0.71428571428571419</v>
      </c>
      <c r="AH51" s="64"/>
      <c r="AK51" s="65"/>
      <c r="AL51" s="40" t="s">
        <v>1346</v>
      </c>
      <c r="AM51" s="40">
        <f t="shared" ca="1" si="89"/>
        <v>1</v>
      </c>
      <c r="AN51" s="41">
        <f t="shared" ca="1" si="77"/>
        <v>5.8823529411764705E-2</v>
      </c>
      <c r="AO51" s="41">
        <f t="shared" ca="1" si="78"/>
        <v>0.58823529411764708</v>
      </c>
      <c r="AP51" s="63"/>
      <c r="AQ51" s="40" t="s">
        <v>1346</v>
      </c>
      <c r="AR51" s="40">
        <f t="shared" ca="1" si="90"/>
        <v>25</v>
      </c>
      <c r="AS51" s="41">
        <f t="shared" ca="1" si="79"/>
        <v>0.32467532467532467</v>
      </c>
      <c r="AT51" s="41">
        <f t="shared" ca="1" si="80"/>
        <v>0.75324675324675328</v>
      </c>
      <c r="AU51" s="63"/>
      <c r="AV51" s="40" t="s">
        <v>1346</v>
      </c>
      <c r="AW51" s="40">
        <f ca="1">AM51+AR51</f>
        <v>26</v>
      </c>
      <c r="AX51" s="41">
        <f t="shared" ca="1" si="81"/>
        <v>0.27659574468085107</v>
      </c>
      <c r="AY51" s="41">
        <f t="shared" ca="1" si="82"/>
        <v>0.72340425531914887</v>
      </c>
      <c r="AZ51" s="64"/>
      <c r="BB51" s="157"/>
    </row>
    <row r="52" spans="1:54" x14ac:dyDescent="0.25">
      <c r="A52" s="65"/>
      <c r="B52" s="40" t="s">
        <v>1347</v>
      </c>
      <c r="C52" s="40">
        <f ca="1">COUNTIFS(LIBRO_SOCIOS!V:V,"&gt;30",LIBRO_SOCIOS!V:V,"&lt;41",LIBRO_SOCIOS!M:M,"ZITRON-ASCAZ ambulatoria",LIBRO_SOCIOS!T:T,"m")</f>
        <v>0</v>
      </c>
      <c r="D52" s="41">
        <f t="shared" ca="1" si="64"/>
        <v>0</v>
      </c>
      <c r="E52" s="41">
        <f t="shared" ca="1" si="86"/>
        <v>0.625</v>
      </c>
      <c r="F52" s="63"/>
      <c r="G52" s="40" t="s">
        <v>1347</v>
      </c>
      <c r="H52" s="40">
        <f ca="1">COUNTIFS(LIBRO_SOCIOS!V:V,"&gt;30",LIBRO_SOCIOS!V:V,"&lt;41",LIBRO_SOCIOS!M:M,"ZITRON-ASCAZ HOSPITALARIA",LIBRO_SOCIOS!T:T,"m")</f>
        <v>12</v>
      </c>
      <c r="I52" s="41">
        <f t="shared" ca="1" si="66"/>
        <v>0.32432432432432434</v>
      </c>
      <c r="J52" s="41">
        <f t="shared" ca="1" si="67"/>
        <v>0.5135135135135136</v>
      </c>
      <c r="K52" s="63"/>
      <c r="L52" s="40" t="s">
        <v>1347</v>
      </c>
      <c r="M52" s="40">
        <f t="shared" ca="1" si="87"/>
        <v>12</v>
      </c>
      <c r="N52" s="41">
        <f ca="1">(M52/$M$37)</f>
        <v>0.26666666666666666</v>
      </c>
      <c r="O52" s="41">
        <f t="shared" ca="1" si="69"/>
        <v>0.53333333333333333</v>
      </c>
      <c r="P52" s="64"/>
      <c r="S52" s="65"/>
      <c r="T52" s="40" t="s">
        <v>1347</v>
      </c>
      <c r="U52" s="40">
        <f ca="1">COUNTIFS(LIBRO_SOCIOS!V:V,"&gt;30",LIBRO_SOCIOS!V:V,"&lt;41",LIBRO_SOCIOS!M:M,"ASCAZ ambulatoria",LIBRO_SOCIOS!T:T,"m")</f>
        <v>2</v>
      </c>
      <c r="V52" s="41">
        <f ca="1">(U52/$U$37)</f>
        <v>0.22222222222222221</v>
      </c>
      <c r="W52" s="41">
        <f t="shared" ca="1" si="71"/>
        <v>0.44444444444444442</v>
      </c>
      <c r="X52" s="63"/>
      <c r="Y52" s="40" t="s">
        <v>1347</v>
      </c>
      <c r="Z52" s="40">
        <f ca="1">COUNTIFS(LIBRO_SOCIOS!V:V,"&gt;30",LIBRO_SOCIOS!V:V,"&lt;41",LIBRO_SOCIOS!M:M,"ASCAZ HOSPITALARIA",LIBRO_SOCIOS!T:T,"m")</f>
        <v>10</v>
      </c>
      <c r="AA52" s="41">
        <f t="shared" ca="1" si="72"/>
        <v>0.25</v>
      </c>
      <c r="AB52" s="41">
        <f t="shared" ca="1" si="73"/>
        <v>0.35</v>
      </c>
      <c r="AC52" s="63"/>
      <c r="AD52" s="40" t="s">
        <v>1347</v>
      </c>
      <c r="AE52" s="40">
        <f t="shared" ca="1" si="88"/>
        <v>12</v>
      </c>
      <c r="AF52" s="41">
        <f t="shared" ca="1" si="75"/>
        <v>0.24489795918367346</v>
      </c>
      <c r="AG52" s="41">
        <f t="shared" ca="1" si="83"/>
        <v>0.36734693877551017</v>
      </c>
      <c r="AH52" s="64"/>
      <c r="AK52" s="65"/>
      <c r="AL52" s="40" t="s">
        <v>1347</v>
      </c>
      <c r="AM52" s="40">
        <f t="shared" ca="1" si="89"/>
        <v>2</v>
      </c>
      <c r="AN52" s="41">
        <f t="shared" ca="1" si="77"/>
        <v>0.11764705882352941</v>
      </c>
      <c r="AO52" s="41">
        <f t="shared" ca="1" si="78"/>
        <v>0.52941176470588236</v>
      </c>
      <c r="AP52" s="63"/>
      <c r="AQ52" s="40" t="s">
        <v>1347</v>
      </c>
      <c r="AR52" s="40">
        <f t="shared" ca="1" si="90"/>
        <v>22</v>
      </c>
      <c r="AS52" s="41">
        <f t="shared" ca="1" si="79"/>
        <v>0.2857142857142857</v>
      </c>
      <c r="AT52" s="41">
        <f t="shared" ca="1" si="80"/>
        <v>0.42857142857142855</v>
      </c>
      <c r="AU52" s="63"/>
      <c r="AV52" s="40" t="s">
        <v>1347</v>
      </c>
      <c r="AW52" s="40">
        <f ca="1">AM52+AR52</f>
        <v>24</v>
      </c>
      <c r="AX52" s="41">
        <f t="shared" ca="1" si="81"/>
        <v>0.25531914893617019</v>
      </c>
      <c r="AY52" s="41">
        <f t="shared" ca="1" si="82"/>
        <v>0.44680851063829785</v>
      </c>
      <c r="AZ52" s="64"/>
      <c r="BB52" s="157"/>
    </row>
    <row r="53" spans="1:54" x14ac:dyDescent="0.25">
      <c r="A53" s="65"/>
      <c r="B53" s="40" t="s">
        <v>1348</v>
      </c>
      <c r="C53" s="40">
        <f ca="1">COUNTIFS(LIBRO_SOCIOS!V:V,"&gt;20",LIBRO_SOCIOS!V:V,"&lt;31",LIBRO_SOCIOS!M:M,"ZITRON-ASCAZ ambulatoria",LIBRO_SOCIOS!T:T,"m")</f>
        <v>1</v>
      </c>
      <c r="D53" s="41">
        <f t="shared" ca="1" si="64"/>
        <v>0.125</v>
      </c>
      <c r="E53" s="41">
        <f ca="1">E54+D53</f>
        <v>0.625</v>
      </c>
      <c r="F53" s="63"/>
      <c r="G53" s="40" t="s">
        <v>1348</v>
      </c>
      <c r="H53" s="40">
        <f ca="1">COUNTIFS(LIBRO_SOCIOS!V:V,"&gt;20",LIBRO_SOCIOS!V:V,"&lt;31",LIBRO_SOCIOS!M:M,"ZITRON-ASCAZ HOSPITALARIA",LIBRO_SOCIOS!T:T,"m")</f>
        <v>1</v>
      </c>
      <c r="I53" s="41">
        <f t="shared" ca="1" si="66"/>
        <v>2.7027027027027029E-2</v>
      </c>
      <c r="J53" s="41">
        <f ca="1">J54+I53</f>
        <v>0.1891891891891892</v>
      </c>
      <c r="K53" s="63"/>
      <c r="L53" s="40" t="s">
        <v>1348</v>
      </c>
      <c r="M53" s="40">
        <f t="shared" ca="1" si="87"/>
        <v>2</v>
      </c>
      <c r="N53" s="41">
        <f t="shared" ca="1" si="68"/>
        <v>4.4444444444444446E-2</v>
      </c>
      <c r="O53" s="41">
        <f ca="1">O54+N53</f>
        <v>0.26666666666666666</v>
      </c>
      <c r="P53" s="64"/>
      <c r="S53" s="65"/>
      <c r="T53" s="40" t="s">
        <v>1348</v>
      </c>
      <c r="U53" s="40">
        <f ca="1">COUNTIFS(LIBRO_SOCIOS!V:V,"&gt;20",LIBRO_SOCIOS!V:V,"&lt;31",LIBRO_SOCIOS!M:M,"ASCAZ ambulatoria",LIBRO_SOCIOS!T:T,"m")</f>
        <v>1</v>
      </c>
      <c r="V53" s="41">
        <f t="shared" ca="1" si="70"/>
        <v>0.1111111111111111</v>
      </c>
      <c r="W53" s="41">
        <f ca="1">W54+V53</f>
        <v>0.22222222222222221</v>
      </c>
      <c r="X53" s="63"/>
      <c r="Y53" s="40" t="s">
        <v>1348</v>
      </c>
      <c r="Z53" s="40">
        <f ca="1">COUNTIFS(LIBRO_SOCIOS!V:V,"&gt;20",LIBRO_SOCIOS!V:V,"&lt;31",LIBRO_SOCIOS!M:M,"ASCAZ HOSPITALARIA",LIBRO_SOCIOS!T:T,"m")</f>
        <v>0</v>
      </c>
      <c r="AA53" s="41">
        <f t="shared" ca="1" si="72"/>
        <v>0</v>
      </c>
      <c r="AB53" s="41">
        <f ca="1">AB54+AA53</f>
        <v>0.1</v>
      </c>
      <c r="AC53" s="63"/>
      <c r="AD53" s="40" t="s">
        <v>1348</v>
      </c>
      <c r="AE53" s="40">
        <f t="shared" ca="1" si="88"/>
        <v>1</v>
      </c>
      <c r="AF53" s="41">
        <f t="shared" ca="1" si="75"/>
        <v>2.0408163265306121E-2</v>
      </c>
      <c r="AG53" s="41">
        <f ca="1">AG54+AF53</f>
        <v>0.12244897959183673</v>
      </c>
      <c r="AH53" s="64"/>
      <c r="AK53" s="65"/>
      <c r="AL53" s="40" t="s">
        <v>1348</v>
      </c>
      <c r="AM53" s="40">
        <f t="shared" ca="1" si="89"/>
        <v>2</v>
      </c>
      <c r="AN53" s="41">
        <f t="shared" ca="1" si="77"/>
        <v>0.11764705882352941</v>
      </c>
      <c r="AO53" s="41">
        <f ca="1">AO54+AN53</f>
        <v>0.41176470588235292</v>
      </c>
      <c r="AP53" s="63"/>
      <c r="AQ53" s="40" t="s">
        <v>1348</v>
      </c>
      <c r="AR53" s="40">
        <f t="shared" ca="1" si="90"/>
        <v>1</v>
      </c>
      <c r="AS53" s="41">
        <f t="shared" ca="1" si="79"/>
        <v>1.2987012987012988E-2</v>
      </c>
      <c r="AT53" s="41">
        <f ca="1">AT54+AS53</f>
        <v>0.14285714285714285</v>
      </c>
      <c r="AU53" s="63"/>
      <c r="AV53" s="40" t="s">
        <v>1348</v>
      </c>
      <c r="AW53" s="40">
        <f ca="1">AM53+AR53</f>
        <v>3</v>
      </c>
      <c r="AX53" s="41">
        <f t="shared" ca="1" si="81"/>
        <v>3.1914893617021274E-2</v>
      </c>
      <c r="AY53" s="41">
        <f ca="1">AY54+AX53</f>
        <v>0.19148936170212766</v>
      </c>
      <c r="AZ53" s="64"/>
      <c r="BB53" s="157"/>
    </row>
    <row r="54" spans="1:54" x14ac:dyDescent="0.25">
      <c r="A54" s="65"/>
      <c r="B54" s="42" t="s">
        <v>1349</v>
      </c>
      <c r="C54" s="40">
        <f ca="1">COUNTIFS(LIBRO_SOCIOS!V:V,"&gt;10",LIBRO_SOCIOS!V:V,"&lt;21",LIBRO_SOCIOS!M:M,"ZITRON-ASCAZ ambulatoria",LIBRO_SOCIOS!T:T,"m")</f>
        <v>1</v>
      </c>
      <c r="D54" s="41">
        <f ca="1">(C54/$C$37)</f>
        <v>0.125</v>
      </c>
      <c r="E54" s="41">
        <f ca="1">D55+D54</f>
        <v>0.5</v>
      </c>
      <c r="F54" s="63"/>
      <c r="G54" s="42" t="s">
        <v>1349</v>
      </c>
      <c r="H54" s="40">
        <f ca="1">COUNTIFS(LIBRO_SOCIOS!V:V,"&gt;10",LIBRO_SOCIOS!V:V,"&lt;21",LIBRO_SOCIOS!M:M,"ZITRON-ASCAZ HOSPITALARIA",LIBRO_SOCIOS!T:T,"m")</f>
        <v>2</v>
      </c>
      <c r="I54" s="41">
        <f ca="1">(H54/$H$37)</f>
        <v>5.4054054054054057E-2</v>
      </c>
      <c r="J54" s="41">
        <f ca="1">I55+I54</f>
        <v>0.16216216216216217</v>
      </c>
      <c r="K54" s="63"/>
      <c r="L54" s="42" t="s">
        <v>1349</v>
      </c>
      <c r="M54" s="40">
        <f t="shared" ca="1" si="87"/>
        <v>3</v>
      </c>
      <c r="N54" s="41">
        <f ca="1">(M54/$M$37)</f>
        <v>6.6666666666666666E-2</v>
      </c>
      <c r="O54" s="41">
        <f ca="1">N55+N54</f>
        <v>0.22222222222222221</v>
      </c>
      <c r="P54" s="64"/>
      <c r="S54" s="65"/>
      <c r="T54" s="42" t="s">
        <v>1349</v>
      </c>
      <c r="U54" s="40">
        <f ca="1">COUNTIFS(LIBRO_SOCIOS!V:V,"&gt;10",LIBRO_SOCIOS!V:V,"&lt;21",LIBRO_SOCIOS!M:M,"ASCAZ ambulatoria",LIBRO_SOCIOS!T:T,"m")</f>
        <v>0</v>
      </c>
      <c r="V54" s="41">
        <f ca="1">(U54/$U$37)</f>
        <v>0</v>
      </c>
      <c r="W54" s="41">
        <f ca="1">V55+V54</f>
        <v>0.1111111111111111</v>
      </c>
      <c r="X54" s="63"/>
      <c r="Y54" s="42" t="s">
        <v>1349</v>
      </c>
      <c r="Z54" s="40">
        <f ca="1">COUNTIFS(LIBRO_SOCIOS!V:V,"&gt;10",LIBRO_SOCIOS!V:V,"&lt;21",LIBRO_SOCIOS!M:M,"ASCAZ HOSPITALARIA",LIBRO_SOCIOS!T:T,"m")</f>
        <v>2</v>
      </c>
      <c r="AA54" s="41">
        <f ca="1">(Z54/$Z$37)</f>
        <v>0.05</v>
      </c>
      <c r="AB54" s="41">
        <f ca="1">AA55+AA54</f>
        <v>0.1</v>
      </c>
      <c r="AC54" s="63"/>
      <c r="AD54" s="42" t="s">
        <v>1349</v>
      </c>
      <c r="AE54" s="40">
        <f ca="1">U54+Z54</f>
        <v>2</v>
      </c>
      <c r="AF54" s="41">
        <f ca="1">(AE54/$AE$37)</f>
        <v>4.0816326530612242E-2</v>
      </c>
      <c r="AG54" s="41">
        <f ca="1">AF55+AF54</f>
        <v>0.10204081632653061</v>
      </c>
      <c r="AH54" s="64"/>
      <c r="AK54" s="65"/>
      <c r="AL54" s="42" t="s">
        <v>1349</v>
      </c>
      <c r="AM54" s="40">
        <f t="shared" ca="1" si="89"/>
        <v>1</v>
      </c>
      <c r="AN54" s="41">
        <f ca="1">(AM54/$AM$37)</f>
        <v>5.8823529411764705E-2</v>
      </c>
      <c r="AO54" s="41">
        <f ca="1">AN55+AN54</f>
        <v>0.29411764705882354</v>
      </c>
      <c r="AP54" s="63"/>
      <c r="AQ54" s="42" t="s">
        <v>1349</v>
      </c>
      <c r="AR54" s="40">
        <f t="shared" ca="1" si="90"/>
        <v>4</v>
      </c>
      <c r="AS54" s="41">
        <f ca="1">(AR54/$AR$37)</f>
        <v>5.1948051948051951E-2</v>
      </c>
      <c r="AT54" s="41">
        <f ca="1">AS55+AS54</f>
        <v>0.12987012987012986</v>
      </c>
      <c r="AU54" s="63"/>
      <c r="AV54" s="42" t="s">
        <v>1349</v>
      </c>
      <c r="AW54" s="40">
        <f t="shared" ref="AW54:AW55" ca="1" si="91">AM54+AR54</f>
        <v>5</v>
      </c>
      <c r="AX54" s="41">
        <f ca="1">(AW54/$AW$37)</f>
        <v>5.3191489361702128E-2</v>
      </c>
      <c r="AY54" s="41">
        <f ca="1">AX55+AX54</f>
        <v>0.15957446808510639</v>
      </c>
      <c r="AZ54" s="64"/>
      <c r="BB54" s="157"/>
    </row>
    <row r="55" spans="1:54" x14ac:dyDescent="0.25">
      <c r="A55" s="65"/>
      <c r="B55" s="43" t="s">
        <v>1350</v>
      </c>
      <c r="C55" s="40">
        <f ca="1">COUNTIFS(LIBRO_SOCIOS!V:V,"&gt;0",LIBRO_SOCIOS!V:V,"&lt;11",LIBRO_SOCIOS!M:M,"ZITRON-ASCAZ ambulatoria",LIBRO_SOCIOS!T:T,"m")</f>
        <v>3</v>
      </c>
      <c r="D55" s="41">
        <f ca="1">(C55/$C$37)</f>
        <v>0.375</v>
      </c>
      <c r="F55" s="63"/>
      <c r="G55" s="43" t="s">
        <v>1350</v>
      </c>
      <c r="H55" s="40">
        <f ca="1">COUNTIFS(LIBRO_SOCIOS!V:V,"&gt;0",LIBRO_SOCIOS!V:V,"&lt;11",LIBRO_SOCIOS!M:M,"ZITRON-ASCAZ HOSPITALARIA",LIBRO_SOCIOS!T:T,"m")</f>
        <v>4</v>
      </c>
      <c r="I55" s="41">
        <f ca="1">(H55/$H$37)</f>
        <v>0.10810810810810811</v>
      </c>
      <c r="K55" s="63"/>
      <c r="L55" s="43" t="s">
        <v>1350</v>
      </c>
      <c r="M55" s="40">
        <f t="shared" ca="1" si="87"/>
        <v>7</v>
      </c>
      <c r="N55" s="41">
        <f ca="1">(M55/$M$37)</f>
        <v>0.15555555555555556</v>
      </c>
      <c r="P55" s="64"/>
      <c r="S55" s="65"/>
      <c r="T55" s="43" t="s">
        <v>1350</v>
      </c>
      <c r="U55" s="40">
        <f ca="1">COUNTIFS(LIBRO_SOCIOS!V:V,"&gt;0",LIBRO_SOCIOS!V:V,"&lt;11",LIBRO_SOCIOS!M:M,"ASCAZ ambulatoria",LIBRO_SOCIOS!T:T,"m")</f>
        <v>1</v>
      </c>
      <c r="V55" s="41">
        <f ca="1">(U55/$U$37)</f>
        <v>0.1111111111111111</v>
      </c>
      <c r="X55" s="63"/>
      <c r="Y55" s="43" t="s">
        <v>1350</v>
      </c>
      <c r="Z55" s="40">
        <f ca="1">COUNTIFS(LIBRO_SOCIOS!V:V,"&gt;0",LIBRO_SOCIOS!V:V,"&lt;11",LIBRO_SOCIOS!M:M,"ASCAZ HOSPITALARIA",LIBRO_SOCIOS!T:T,"m")</f>
        <v>2</v>
      </c>
      <c r="AA55" s="41">
        <f ca="1">(Z55/$Z$37)</f>
        <v>0.05</v>
      </c>
      <c r="AC55" s="63"/>
      <c r="AD55" s="43" t="s">
        <v>1350</v>
      </c>
      <c r="AE55" s="40">
        <f t="shared" ref="AE55" ca="1" si="92">U55+Z55</f>
        <v>3</v>
      </c>
      <c r="AF55" s="41">
        <f ca="1">(AE55/$AE$37)</f>
        <v>6.1224489795918366E-2</v>
      </c>
      <c r="AH55" s="64"/>
      <c r="AK55" s="65"/>
      <c r="AL55" s="43" t="s">
        <v>1350</v>
      </c>
      <c r="AM55" s="40">
        <f ca="1">C55+U55</f>
        <v>4</v>
      </c>
      <c r="AN55" s="41">
        <f ca="1">(AM55/$AM$37)</f>
        <v>0.23529411764705882</v>
      </c>
      <c r="AP55" s="63"/>
      <c r="AQ55" s="43" t="s">
        <v>1350</v>
      </c>
      <c r="AR55" s="40">
        <f ca="1">Z55+H55</f>
        <v>6</v>
      </c>
      <c r="AS55" s="41">
        <f ca="1">(AR55/$AR$37)</f>
        <v>7.792207792207792E-2</v>
      </c>
      <c r="AU55" s="63"/>
      <c r="AV55" s="43" t="s">
        <v>1350</v>
      </c>
      <c r="AW55" s="40">
        <f t="shared" ca="1" si="91"/>
        <v>10</v>
      </c>
      <c r="AX55" s="41">
        <f ca="1">(AW55/$AW$37)</f>
        <v>0.10638297872340426</v>
      </c>
      <c r="AZ55" s="64"/>
      <c r="BB55" s="157"/>
    </row>
    <row r="56" spans="1:54" x14ac:dyDescent="0.25">
      <c r="A56" s="65"/>
      <c r="F56" s="63"/>
      <c r="I56" s="44"/>
      <c r="J56" s="44"/>
      <c r="K56" s="63"/>
      <c r="P56" s="64"/>
      <c r="S56" s="65"/>
      <c r="X56" s="63"/>
      <c r="AA56" s="44"/>
      <c r="AB56" s="44"/>
      <c r="AC56" s="63"/>
      <c r="AH56" s="64"/>
      <c r="AK56" s="65"/>
      <c r="AP56" s="63"/>
      <c r="AS56" s="44"/>
      <c r="AT56" s="44"/>
      <c r="AU56" s="63"/>
      <c r="AZ56" s="64"/>
      <c r="BB56" s="157"/>
    </row>
    <row r="57" spans="1:54" x14ac:dyDescent="0.25">
      <c r="A57" s="65"/>
      <c r="B57" s="40"/>
      <c r="C57" s="40"/>
      <c r="D57" s="41"/>
      <c r="E57" s="41"/>
      <c r="F57" s="63"/>
      <c r="G57" s="40"/>
      <c r="H57" s="40"/>
      <c r="I57" s="45"/>
      <c r="J57" s="41"/>
      <c r="K57" s="63"/>
      <c r="L57" s="40"/>
      <c r="M57" s="40"/>
      <c r="N57" s="41"/>
      <c r="O57" s="41"/>
      <c r="P57" s="64"/>
      <c r="S57" s="65"/>
      <c r="T57" s="40"/>
      <c r="U57" s="40"/>
      <c r="V57" s="41"/>
      <c r="W57" s="41"/>
      <c r="X57" s="63"/>
      <c r="Y57" s="40"/>
      <c r="Z57" s="40"/>
      <c r="AA57" s="45"/>
      <c r="AB57" s="41"/>
      <c r="AC57" s="63"/>
      <c r="AD57" s="40"/>
      <c r="AE57" s="40"/>
      <c r="AF57" s="41"/>
      <c r="AG57" s="41"/>
      <c r="AH57" s="64"/>
      <c r="AK57" s="65"/>
      <c r="AL57" s="40"/>
      <c r="AM57" s="40"/>
      <c r="AN57" s="41"/>
      <c r="AO57" s="41"/>
      <c r="AP57" s="63"/>
      <c r="AQ57" s="40"/>
      <c r="AR57" s="40"/>
      <c r="AS57" s="45"/>
      <c r="AT57" s="41"/>
      <c r="AU57" s="63"/>
      <c r="AV57" s="40"/>
      <c r="AW57" s="40"/>
      <c r="AX57" s="41"/>
      <c r="AY57" s="41"/>
      <c r="AZ57" s="64"/>
      <c r="BB57" s="157"/>
    </row>
    <row r="58" spans="1:54" x14ac:dyDescent="0.25">
      <c r="A58" s="65"/>
      <c r="B58" s="40" t="s">
        <v>1355</v>
      </c>
      <c r="C58" s="40">
        <f ca="1">SUM(C47:C55)</f>
        <v>6</v>
      </c>
      <c r="D58" s="41"/>
      <c r="E58" s="45"/>
      <c r="F58" s="63"/>
      <c r="G58" s="40" t="s">
        <v>1355</v>
      </c>
      <c r="H58" s="40">
        <f ca="1">SUM(H47:H55)</f>
        <v>34</v>
      </c>
      <c r="I58" s="45"/>
      <c r="J58" s="45"/>
      <c r="K58" s="63"/>
      <c r="L58" s="40" t="s">
        <v>1355</v>
      </c>
      <c r="M58" s="40">
        <f ca="1">SUM(M47:M55)</f>
        <v>40</v>
      </c>
      <c r="N58" s="45"/>
      <c r="O58" s="45"/>
      <c r="P58" s="64"/>
      <c r="S58" s="65"/>
      <c r="T58" s="40" t="s">
        <v>1355</v>
      </c>
      <c r="U58" s="40">
        <f ca="1">SUM(U47:U55)</f>
        <v>10</v>
      </c>
      <c r="V58" s="41"/>
      <c r="W58" s="45"/>
      <c r="X58" s="63"/>
      <c r="Y58" s="40" t="s">
        <v>1355</v>
      </c>
      <c r="Z58" s="40">
        <f ca="1">SUM(Z47:Z55)</f>
        <v>52</v>
      </c>
      <c r="AA58" s="45"/>
      <c r="AB58" s="45"/>
      <c r="AC58" s="63"/>
      <c r="AD58" s="40" t="s">
        <v>1355</v>
      </c>
      <c r="AE58" s="40">
        <f ca="1">SUM(AE47:AE55)</f>
        <v>62</v>
      </c>
      <c r="AF58" s="45"/>
      <c r="AG58" s="45"/>
      <c r="AH58" s="64"/>
      <c r="AK58" s="65"/>
      <c r="AL58" s="40" t="s">
        <v>1355</v>
      </c>
      <c r="AM58" s="40">
        <f ca="1">SUM(AM47:AM55)</f>
        <v>16</v>
      </c>
      <c r="AN58" s="41"/>
      <c r="AO58" s="45"/>
      <c r="AP58" s="63"/>
      <c r="AQ58" s="40" t="s">
        <v>1355</v>
      </c>
      <c r="AR58" s="40">
        <f ca="1">SUM(AR47:AR55)</f>
        <v>86</v>
      </c>
      <c r="AS58" s="45"/>
      <c r="AT58" s="45"/>
      <c r="AU58" s="63"/>
      <c r="AV58" s="40" t="s">
        <v>1355</v>
      </c>
      <c r="AW58" s="40">
        <f ca="1">AM58+AR58</f>
        <v>102</v>
      </c>
      <c r="AX58" s="45"/>
      <c r="AY58" s="45"/>
      <c r="AZ58" s="64"/>
      <c r="BB58" s="157"/>
    </row>
    <row r="59" spans="1:54" x14ac:dyDescent="0.25">
      <c r="A59" s="65"/>
      <c r="B59" s="40"/>
      <c r="C59" s="46"/>
      <c r="D59" s="45"/>
      <c r="E59" s="45"/>
      <c r="F59" s="63"/>
      <c r="G59" s="40"/>
      <c r="H59" s="40"/>
      <c r="I59" s="45"/>
      <c r="J59" s="45"/>
      <c r="K59" s="63"/>
      <c r="L59" s="40"/>
      <c r="M59" s="46"/>
      <c r="N59" s="45"/>
      <c r="O59" s="45"/>
      <c r="P59" s="64"/>
      <c r="S59" s="65"/>
      <c r="T59" s="40"/>
      <c r="U59" s="46"/>
      <c r="V59" s="45"/>
      <c r="W59" s="45"/>
      <c r="X59" s="63"/>
      <c r="Y59" s="40"/>
      <c r="Z59" s="40"/>
      <c r="AA59" s="45"/>
      <c r="AB59" s="45"/>
      <c r="AC59" s="63"/>
      <c r="AD59" s="40"/>
      <c r="AE59" s="46"/>
      <c r="AF59" s="45"/>
      <c r="AG59" s="45"/>
      <c r="AH59" s="64"/>
      <c r="AK59" s="65"/>
      <c r="AL59" s="40"/>
      <c r="AM59" s="46"/>
      <c r="AN59" s="45"/>
      <c r="AO59" s="45"/>
      <c r="AP59" s="63"/>
      <c r="AQ59" s="40"/>
      <c r="AR59" s="40"/>
      <c r="AS59" s="45"/>
      <c r="AT59" s="45"/>
      <c r="AU59" s="63"/>
      <c r="AV59" s="40"/>
      <c r="AW59" s="46"/>
      <c r="AX59" s="45"/>
      <c r="AY59" s="45"/>
      <c r="AZ59" s="64"/>
      <c r="BB59" s="157"/>
    </row>
    <row r="60" spans="1:54" x14ac:dyDescent="0.25">
      <c r="A60" s="65"/>
      <c r="B60" s="40"/>
      <c r="C60" s="40" t="s">
        <v>1351</v>
      </c>
      <c r="D60" s="45"/>
      <c r="E60" s="45"/>
      <c r="F60" s="63"/>
      <c r="G60" s="40"/>
      <c r="H60" s="40" t="s">
        <v>1351</v>
      </c>
      <c r="I60" s="45"/>
      <c r="J60" s="45"/>
      <c r="K60" s="63"/>
      <c r="L60" s="40"/>
      <c r="M60" s="40" t="s">
        <v>1351</v>
      </c>
      <c r="N60" s="45"/>
      <c r="O60" s="45"/>
      <c r="P60" s="64"/>
      <c r="S60" s="65"/>
      <c r="T60" s="40"/>
      <c r="U60" s="40" t="s">
        <v>1351</v>
      </c>
      <c r="V60" s="45"/>
      <c r="W60" s="45"/>
      <c r="X60" s="63"/>
      <c r="Y60" s="40"/>
      <c r="Z60" s="40" t="s">
        <v>1351</v>
      </c>
      <c r="AA60" s="45"/>
      <c r="AB60" s="45"/>
      <c r="AC60" s="63"/>
      <c r="AD60" s="40"/>
      <c r="AE60" s="40" t="s">
        <v>1351</v>
      </c>
      <c r="AF60" s="45"/>
      <c r="AG60" s="45"/>
      <c r="AH60" s="64"/>
      <c r="AK60" s="65"/>
      <c r="AL60" s="40"/>
      <c r="AM60" s="40" t="s">
        <v>1351</v>
      </c>
      <c r="AN60" s="45"/>
      <c r="AO60" s="45"/>
      <c r="AP60" s="63"/>
      <c r="AQ60" s="40"/>
      <c r="AR60" s="40" t="s">
        <v>1351</v>
      </c>
      <c r="AS60" s="45"/>
      <c r="AT60" s="45"/>
      <c r="AU60" s="63"/>
      <c r="AV60" s="40"/>
      <c r="AW60" s="40" t="s">
        <v>1351</v>
      </c>
      <c r="AX60" s="45"/>
      <c r="AY60" s="45"/>
      <c r="AZ60" s="64"/>
      <c r="BB60" s="157"/>
    </row>
    <row r="61" spans="1:54" x14ac:dyDescent="0.25">
      <c r="A61" s="65"/>
      <c r="B61" s="40"/>
      <c r="C61" s="47">
        <f ca="1">((5*C55)+(15*C54)+(25*C53)+(35*C52)+(45*C51)+(55*C50)+(65*C49)+(75*C48)+(85*C47))/C58</f>
        <v>16.666666666666668</v>
      </c>
      <c r="D61" s="45"/>
      <c r="E61" s="45"/>
      <c r="F61" s="63"/>
      <c r="G61" s="40"/>
      <c r="H61" s="47">
        <f ca="1">((5*H55)+(15*H54)+(25*H53)+(35*H52)+(45*H51)+(55*H50)+(65*H49)+(75*H48)+(85*H47))/H58</f>
        <v>37.352941176470587</v>
      </c>
      <c r="I61" s="45"/>
      <c r="J61" s="45"/>
      <c r="K61" s="63"/>
      <c r="L61" s="40"/>
      <c r="M61" s="47">
        <f ca="1">((5*M55)+(15*M54)+(25*M53)+(35*M52)+(45*M51)+(55*M50)+(65*M49)+(75*M48)+(85*M47))/M58</f>
        <v>34.25</v>
      </c>
      <c r="N61" s="45"/>
      <c r="O61" s="45"/>
      <c r="P61" s="64"/>
      <c r="S61" s="65"/>
      <c r="T61" s="40"/>
      <c r="U61" s="47">
        <f ca="1">((5*U55)+(15*U54)+(25*U53)+(35*U52)+(45*U51)+(55*U50)+(65*U49)+(75*U48)+(85*U47))/U58</f>
        <v>48</v>
      </c>
      <c r="V61" s="45"/>
      <c r="W61" s="45"/>
      <c r="X61" s="63"/>
      <c r="Y61" s="40"/>
      <c r="Z61" s="47">
        <f ca="1">((5*Z55)+(15*Z54)+(25*Z53)+(35*Z52)+(45*Z51)+(55*Z50)+(65*Z49)+(75*Z48)+(85*Z47))/Z58</f>
        <v>47.5</v>
      </c>
      <c r="AA61" s="45"/>
      <c r="AB61" s="45"/>
      <c r="AC61" s="63"/>
      <c r="AD61" s="40"/>
      <c r="AE61" s="47">
        <f ca="1">((5*AE55)+(15*AE54)+(25*AE53)+(35*AE52)+(45*AE51)+(55*AE50)+(65*AE49)+(75*AE48)+(85*AE47))/AE58</f>
        <v>47.58064516129032</v>
      </c>
      <c r="AF61" s="45"/>
      <c r="AG61" s="45"/>
      <c r="AH61" s="64"/>
      <c r="AK61" s="65"/>
      <c r="AL61" s="40"/>
      <c r="AM61" s="47">
        <f ca="1">((5*AM55)+(15*AM54)+(25*AM53)+(35*AM52)+(45*AM51)+(55*AM50)+(65*AM49)+(75*AM48)+(85*AM47))/AM58</f>
        <v>36.25</v>
      </c>
      <c r="AN61" s="45"/>
      <c r="AO61" s="45"/>
      <c r="AP61" s="63"/>
      <c r="AQ61" s="40"/>
      <c r="AR61" s="47">
        <f ca="1">((5*AR55)+(15*AR54)+(25*AR53)+(35*AR52)+(45*AR51)+(55*AR50)+(65*AR49)+(75*AR48)+(85*AR47))/AR58</f>
        <v>43.488372093023258</v>
      </c>
      <c r="AS61" s="45"/>
      <c r="AT61" s="45"/>
      <c r="AU61" s="63"/>
      <c r="AV61" s="40"/>
      <c r="AW61" s="47">
        <f ca="1">((5*AW55)+(15*AW54)+(25*AW53)+(35*AW52)+(45*AW51)+(55*AW50)+(65*AW49)+(75*AW48)+(85*AW47))/AW58</f>
        <v>42.352941176470587</v>
      </c>
      <c r="AX61" s="45"/>
      <c r="AY61" s="45"/>
      <c r="AZ61" s="64"/>
      <c r="BB61" s="157"/>
    </row>
    <row r="62" spans="1:54" ht="15.75" thickBot="1" x14ac:dyDescent="0.3">
      <c r="A62" s="66"/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84"/>
      <c r="S62" s="66"/>
      <c r="T62" s="67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84"/>
      <c r="AK62" s="66"/>
      <c r="AL62" s="67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84"/>
      <c r="BB62" s="157"/>
    </row>
  </sheetData>
  <mergeCells count="59">
    <mergeCell ref="AL3:AM4"/>
    <mergeCell ref="AN3:AO4"/>
    <mergeCell ref="AQ3:AR4"/>
    <mergeCell ref="AS3:AT4"/>
    <mergeCell ref="AV3:AW4"/>
    <mergeCell ref="AK1:AZ1"/>
    <mergeCell ref="B3:C4"/>
    <mergeCell ref="D3:E4"/>
    <mergeCell ref="G3:H4"/>
    <mergeCell ref="I3:J4"/>
    <mergeCell ref="L3:M4"/>
    <mergeCell ref="AD3:AE4"/>
    <mergeCell ref="A1:P1"/>
    <mergeCell ref="S1:AH1"/>
    <mergeCell ref="N3:O4"/>
    <mergeCell ref="T3:U4"/>
    <mergeCell ref="V3:W4"/>
    <mergeCell ref="Y3:Z4"/>
    <mergeCell ref="AA3:AB4"/>
    <mergeCell ref="AX3:AY4"/>
    <mergeCell ref="AF3:AG4"/>
    <mergeCell ref="B24:C25"/>
    <mergeCell ref="D24:E25"/>
    <mergeCell ref="G24:H25"/>
    <mergeCell ref="I24:J25"/>
    <mergeCell ref="L24:M25"/>
    <mergeCell ref="N24:O25"/>
    <mergeCell ref="T24:U25"/>
    <mergeCell ref="V24:W25"/>
    <mergeCell ref="Y24:Z25"/>
    <mergeCell ref="AA24:AB25"/>
    <mergeCell ref="AD45:AE46"/>
    <mergeCell ref="AF45:AG46"/>
    <mergeCell ref="AL45:AM46"/>
    <mergeCell ref="AD24:AE25"/>
    <mergeCell ref="AF24:AG25"/>
    <mergeCell ref="AL24:AM25"/>
    <mergeCell ref="N45:O46"/>
    <mergeCell ref="T45:U46"/>
    <mergeCell ref="V45:W46"/>
    <mergeCell ref="Y45:Z46"/>
    <mergeCell ref="AA45:AB46"/>
    <mergeCell ref="B45:C46"/>
    <mergeCell ref="D45:E46"/>
    <mergeCell ref="G45:H46"/>
    <mergeCell ref="I45:J46"/>
    <mergeCell ref="L45:M46"/>
    <mergeCell ref="BB45:BB62"/>
    <mergeCell ref="BB24:BB41"/>
    <mergeCell ref="AN45:AO46"/>
    <mergeCell ref="AQ45:AR46"/>
    <mergeCell ref="AS45:AT46"/>
    <mergeCell ref="AV45:AW46"/>
    <mergeCell ref="AX45:AY46"/>
    <mergeCell ref="AS24:AT25"/>
    <mergeCell ref="AV24:AW25"/>
    <mergeCell ref="AX24:AY25"/>
    <mergeCell ref="AN24:AO25"/>
    <mergeCell ref="AQ24:AR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LIBRO_SOCIOS</vt:lpstr>
      <vt:lpstr>lista de correo</vt:lpstr>
      <vt:lpstr>TOTALES SOCIOS-PRIMAS</vt:lpstr>
      <vt:lpstr>RANGO DE EDADES COMERCIAL</vt:lpstr>
      <vt:lpstr>RANGO DE EDADES-SOLO USO ASCAZ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cp:lastPrinted>2018-01-11T18:12:58Z</cp:lastPrinted>
  <dcterms:created xsi:type="dcterms:W3CDTF">2018-01-09T14:19:01Z</dcterms:created>
  <dcterms:modified xsi:type="dcterms:W3CDTF">2018-01-23T18:14:15Z</dcterms:modified>
</cp:coreProperties>
</file>