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carlos\Google Drive\ZITRON-ASCAZ\"/>
    </mc:Choice>
  </mc:AlternateContent>
  <bookViews>
    <workbookView xWindow="0" yWindow="0" windowWidth="28770" windowHeight="9105" tabRatio="873"/>
  </bookViews>
  <sheets>
    <sheet name="LIBRO_SOCIOS" sheetId="5" r:id="rId1"/>
    <sheet name="por apellido" sheetId="16" r:id="rId2"/>
    <sheet name="ANULADOS-BAJAS" sheetId="14" r:id="rId3"/>
    <sheet name="lista de correo" sheetId="3" r:id="rId4"/>
    <sheet name="TOTALES SOCIOS-PRIMAS" sheetId="6" r:id="rId5"/>
    <sheet name="RANGO DE EDADES COMERCIAL" sheetId="10" r:id="rId6"/>
    <sheet name="RANGO DE EDADES-SOLO USO ASCAZ" sheetId="12" r:id="rId7"/>
  </sheets>
  <definedNames>
    <definedName name="_xlnm._FilterDatabase" localSheetId="2" hidden="1">'ANULADOS-BAJAS'!$A$1:$AT$1</definedName>
    <definedName name="_xlnm._FilterDatabase" localSheetId="0" hidden="1">LIBRO_SOCIOS!$A$1:$AY$356</definedName>
    <definedName name="_xlnm.Print_Area" localSheetId="2">'ANULADOS-BAJAS'!$A$1:$AP$8</definedName>
    <definedName name="_xlnm.Print_Area" localSheetId="0">LIBRO_SOCIOS!$B$1:$AP$365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79" i="5" l="1"/>
  <c r="M79" i="5"/>
  <c r="M105" i="5" l="1"/>
  <c r="AT364" i="5" l="1"/>
  <c r="M364" i="5"/>
  <c r="AW363" i="5"/>
  <c r="AU363" i="5"/>
  <c r="AR363" i="5"/>
  <c r="AQ363" i="5"/>
  <c r="M363" i="5"/>
  <c r="AT362" i="5"/>
  <c r="AP362" i="5"/>
  <c r="AW361" i="5"/>
  <c r="AU361" i="5"/>
  <c r="AR361" i="5"/>
  <c r="AQ361" i="5"/>
  <c r="M361" i="5"/>
  <c r="AT360" i="5"/>
  <c r="AP360" i="5"/>
  <c r="AT363" i="5" l="1"/>
  <c r="AT361" i="5"/>
  <c r="AW359" i="5" l="1"/>
  <c r="AU359" i="5"/>
  <c r="AR359" i="5"/>
  <c r="AQ359" i="5"/>
  <c r="M359" i="5"/>
  <c r="AT358" i="5"/>
  <c r="AP358" i="5"/>
  <c r="AT359" i="5" l="1"/>
  <c r="AT7" i="14"/>
  <c r="M7" i="14"/>
  <c r="AW6" i="14"/>
  <c r="AU6" i="14"/>
  <c r="AR6" i="14"/>
  <c r="AQ6" i="14"/>
  <c r="AT6" i="14" s="1"/>
  <c r="M6" i="14"/>
  <c r="AT5" i="14"/>
  <c r="AP5" i="14"/>
  <c r="AW357" i="5" l="1"/>
  <c r="AU357" i="5"/>
  <c r="AR357" i="5"/>
  <c r="AQ357" i="5"/>
  <c r="M357" i="5"/>
  <c r="AT356" i="5"/>
  <c r="AP356" i="5"/>
  <c r="AT357" i="5" l="1"/>
  <c r="AT354" i="5"/>
  <c r="AT355" i="5"/>
  <c r="AW353" i="5"/>
  <c r="AU353" i="5"/>
  <c r="AR353" i="5"/>
  <c r="AQ353" i="5"/>
  <c r="M354" i="5"/>
  <c r="M353" i="5"/>
  <c r="AW351" i="5"/>
  <c r="AU351" i="5"/>
  <c r="AR351" i="5"/>
  <c r="AQ351" i="5"/>
  <c r="M351" i="5"/>
  <c r="AT350" i="5"/>
  <c r="AP350" i="5"/>
  <c r="AT351" i="5" l="1"/>
  <c r="AU271" i="5"/>
  <c r="AW201" i="5"/>
  <c r="AU115" i="5"/>
  <c r="AU64" i="5"/>
  <c r="AW54" i="5"/>
  <c r="AZ3" i="5" l="1"/>
  <c r="AW286" i="5"/>
  <c r="AT4" i="5" l="1"/>
  <c r="AT5" i="5"/>
  <c r="AT6" i="5"/>
  <c r="AT7" i="5"/>
  <c r="AT8" i="5"/>
  <c r="AT10" i="5"/>
  <c r="AT11" i="5"/>
  <c r="AT12" i="5"/>
  <c r="AT13" i="5"/>
  <c r="AT14" i="5"/>
  <c r="AT16" i="5"/>
  <c r="AT17" i="5"/>
  <c r="AT19" i="5"/>
  <c r="AT20" i="5"/>
  <c r="AT22" i="5"/>
  <c r="AT23" i="5"/>
  <c r="AT24" i="5"/>
  <c r="AT26" i="5"/>
  <c r="AT28" i="5"/>
  <c r="AT29" i="5"/>
  <c r="AT31" i="5"/>
  <c r="AT32" i="5"/>
  <c r="AT34" i="5"/>
  <c r="AT36" i="5"/>
  <c r="AT38" i="5"/>
  <c r="AT39" i="5"/>
  <c r="AT41" i="5"/>
  <c r="AT43" i="5"/>
  <c r="AT44" i="5"/>
  <c r="AT45" i="5"/>
  <c r="AT47" i="5"/>
  <c r="AT48" i="5"/>
  <c r="AT49" i="5"/>
  <c r="AT51" i="5"/>
  <c r="AT52" i="5"/>
  <c r="AT53" i="5"/>
  <c r="AT55" i="5"/>
  <c r="AT56" i="5"/>
  <c r="AT57" i="5"/>
  <c r="AT59" i="5"/>
  <c r="AT61" i="5"/>
  <c r="AT62" i="5"/>
  <c r="AT63" i="5"/>
  <c r="AT65" i="5"/>
  <c r="AT67" i="5"/>
  <c r="AT68" i="5"/>
  <c r="AT70" i="5"/>
  <c r="AT71" i="5"/>
  <c r="AT73" i="5"/>
  <c r="AT75" i="5"/>
  <c r="AT77" i="5"/>
  <c r="AT78" i="5"/>
  <c r="AT80" i="5"/>
  <c r="AT82" i="5"/>
  <c r="AT83" i="5"/>
  <c r="AT84" i="5"/>
  <c r="AT86" i="5"/>
  <c r="AT88" i="5"/>
  <c r="AT89" i="5"/>
  <c r="AT91" i="5"/>
  <c r="AT92" i="5"/>
  <c r="AT94" i="5"/>
  <c r="AT95" i="5"/>
  <c r="AT96" i="5"/>
  <c r="AT98" i="5"/>
  <c r="AT99" i="5"/>
  <c r="AT100" i="5"/>
  <c r="AT101" i="5"/>
  <c r="AT103" i="5"/>
  <c r="AT104" i="5"/>
  <c r="AT106" i="5"/>
  <c r="AT108" i="5"/>
  <c r="AT110" i="5"/>
  <c r="AT112" i="5"/>
  <c r="AT113" i="5"/>
  <c r="AT114" i="5"/>
  <c r="AT116" i="5"/>
  <c r="AT118" i="5"/>
  <c r="AT119" i="5"/>
  <c r="AT121" i="5"/>
  <c r="AT122" i="5"/>
  <c r="AT123" i="5"/>
  <c r="AT125" i="5"/>
  <c r="AT126" i="5"/>
  <c r="AT127" i="5"/>
  <c r="AT129" i="5"/>
  <c r="AT130" i="5"/>
  <c r="AT132" i="5"/>
  <c r="AT134" i="5"/>
  <c r="AT136" i="5"/>
  <c r="AT137" i="5"/>
  <c r="AT139" i="5"/>
  <c r="AT140" i="5"/>
  <c r="AT142" i="5"/>
  <c r="AT144" i="5"/>
  <c r="AT146" i="5"/>
  <c r="AT147" i="5"/>
  <c r="AT149" i="5"/>
  <c r="AT150" i="5"/>
  <c r="AT152" i="5"/>
  <c r="AT154" i="5"/>
  <c r="AT155" i="5"/>
  <c r="AT157" i="5"/>
  <c r="AT159" i="5"/>
  <c r="AT161" i="5"/>
  <c r="AT163" i="5"/>
  <c r="AT165" i="5"/>
  <c r="AT167" i="5"/>
  <c r="AT168" i="5"/>
  <c r="AT169" i="5"/>
  <c r="AT171" i="5"/>
  <c r="AT172" i="5"/>
  <c r="AT174" i="5"/>
  <c r="AT175" i="5"/>
  <c r="AT176" i="5"/>
  <c r="AT178" i="5"/>
  <c r="AT179" i="5"/>
  <c r="AT181" i="5"/>
  <c r="AT182" i="5"/>
  <c r="AT184" i="5"/>
  <c r="AT185" i="5"/>
  <c r="AT187" i="5"/>
  <c r="AT189" i="5"/>
  <c r="AT191" i="5"/>
  <c r="AT193" i="5"/>
  <c r="AT195" i="5"/>
  <c r="AT197" i="5"/>
  <c r="AT199" i="5"/>
  <c r="AT200" i="5"/>
  <c r="AT202" i="5"/>
  <c r="AT204" i="5"/>
  <c r="AT205" i="5"/>
  <c r="AT207" i="5"/>
  <c r="AT208" i="5"/>
  <c r="AT209" i="5"/>
  <c r="AT211" i="5"/>
  <c r="AT213" i="5"/>
  <c r="AT214" i="5"/>
  <c r="AT215" i="5"/>
  <c r="AT217" i="5"/>
  <c r="AT218" i="5"/>
  <c r="AT219" i="5"/>
  <c r="AT221" i="5"/>
  <c r="AT223" i="5"/>
  <c r="AT224" i="5"/>
  <c r="AT225" i="5"/>
  <c r="AT227" i="5"/>
  <c r="AT229" i="5"/>
  <c r="AT230" i="5"/>
  <c r="AT232" i="5"/>
  <c r="AT233" i="5"/>
  <c r="AT234" i="5"/>
  <c r="AT236" i="5"/>
  <c r="AT237" i="5"/>
  <c r="AT238" i="5"/>
  <c r="AT240" i="5"/>
  <c r="AT242" i="5"/>
  <c r="AT243" i="5"/>
  <c r="AT245" i="5"/>
  <c r="AT247" i="5"/>
  <c r="AT249" i="5"/>
  <c r="AT251" i="5"/>
  <c r="AT253" i="5"/>
  <c r="AT254" i="5"/>
  <c r="AT255" i="5"/>
  <c r="AT257" i="5"/>
  <c r="AT259" i="5"/>
  <c r="AT261" i="5"/>
  <c r="AT263" i="5"/>
  <c r="AT265" i="5"/>
  <c r="AT267" i="5"/>
  <c r="AT269" i="5"/>
  <c r="AT270" i="5"/>
  <c r="AT272" i="5"/>
  <c r="AT273" i="5"/>
  <c r="AT275" i="5"/>
  <c r="AT277" i="5"/>
  <c r="AT279" i="5"/>
  <c r="AT281" i="5"/>
  <c r="AT282" i="5"/>
  <c r="AT283" i="5"/>
  <c r="AT285" i="5"/>
  <c r="AT287" i="5"/>
  <c r="AT288" i="5"/>
  <c r="AT289" i="5"/>
  <c r="AT290" i="5"/>
  <c r="AT292" i="5"/>
  <c r="AT293" i="5"/>
  <c r="AT295" i="5"/>
  <c r="AT296" i="5"/>
  <c r="AT298" i="5"/>
  <c r="AT299" i="5"/>
  <c r="AT301" i="5"/>
  <c r="AT302" i="5"/>
  <c r="AT304" i="5"/>
  <c r="AT305" i="5"/>
  <c r="AT307" i="5"/>
  <c r="AT309" i="5"/>
  <c r="AT311" i="5"/>
  <c r="AT313" i="5"/>
  <c r="AT315" i="5"/>
  <c r="AT317" i="5"/>
  <c r="AT319" i="5"/>
  <c r="AT320" i="5"/>
  <c r="AT322" i="5"/>
  <c r="AT324" i="5"/>
  <c r="AT326" i="5"/>
  <c r="AT328" i="5"/>
  <c r="AT330" i="5"/>
  <c r="AT332" i="5"/>
  <c r="AT334" i="5"/>
  <c r="AT336" i="5"/>
  <c r="AT337" i="5"/>
  <c r="AT339" i="5"/>
  <c r="AT341" i="5"/>
  <c r="AT343" i="5"/>
  <c r="AT344" i="5"/>
  <c r="AT345" i="5"/>
  <c r="AT346" i="5"/>
  <c r="AT348" i="5"/>
  <c r="AT352" i="5"/>
  <c r="AR9" i="5" l="1"/>
  <c r="AU9" i="5"/>
  <c r="AW9" i="5"/>
  <c r="AR15" i="5"/>
  <c r="AU15" i="5"/>
  <c r="AW15" i="5"/>
  <c r="AR18" i="5"/>
  <c r="AU18" i="5"/>
  <c r="AW18" i="5"/>
  <c r="AR21" i="5"/>
  <c r="AU21" i="5"/>
  <c r="AW21" i="5"/>
  <c r="AR25" i="5"/>
  <c r="AU25" i="5"/>
  <c r="AW25" i="5"/>
  <c r="AR27" i="5"/>
  <c r="AU27" i="5"/>
  <c r="AW27" i="5"/>
  <c r="AR30" i="5"/>
  <c r="AU30" i="5"/>
  <c r="AW30" i="5"/>
  <c r="AR33" i="5"/>
  <c r="AU33" i="5"/>
  <c r="AW33" i="5"/>
  <c r="AR35" i="5"/>
  <c r="AU35" i="5"/>
  <c r="AW35" i="5"/>
  <c r="AR37" i="5"/>
  <c r="AU37" i="5"/>
  <c r="AW37" i="5"/>
  <c r="AR40" i="5"/>
  <c r="AU40" i="5"/>
  <c r="AW40" i="5"/>
  <c r="AR42" i="5"/>
  <c r="AU42" i="5"/>
  <c r="AW42" i="5"/>
  <c r="AR46" i="5"/>
  <c r="AU46" i="5"/>
  <c r="AW46" i="5"/>
  <c r="AR50" i="5"/>
  <c r="AU50" i="5"/>
  <c r="AW50" i="5"/>
  <c r="AR54" i="5"/>
  <c r="AU54" i="5"/>
  <c r="AR58" i="5"/>
  <c r="AU58" i="5"/>
  <c r="AW58" i="5"/>
  <c r="AR60" i="5"/>
  <c r="AU60" i="5"/>
  <c r="AW60" i="5"/>
  <c r="AR64" i="5"/>
  <c r="AW64" i="5"/>
  <c r="AR66" i="5"/>
  <c r="AU66" i="5"/>
  <c r="AW66" i="5"/>
  <c r="AR69" i="5"/>
  <c r="AU69" i="5"/>
  <c r="AW69" i="5"/>
  <c r="AR72" i="5"/>
  <c r="AU72" i="5"/>
  <c r="AW72" i="5"/>
  <c r="AR74" i="5"/>
  <c r="AU74" i="5"/>
  <c r="AW74" i="5"/>
  <c r="AR76" i="5"/>
  <c r="AU76" i="5"/>
  <c r="AW76" i="5"/>
  <c r="AR81" i="5"/>
  <c r="AU81" i="5"/>
  <c r="AW81" i="5"/>
  <c r="AR85" i="5"/>
  <c r="AU85" i="5"/>
  <c r="AW85" i="5"/>
  <c r="AR87" i="5"/>
  <c r="AU87" i="5"/>
  <c r="AW87" i="5"/>
  <c r="AR90" i="5"/>
  <c r="AU90" i="5"/>
  <c r="AW90" i="5"/>
  <c r="AR93" i="5"/>
  <c r="AU93" i="5"/>
  <c r="AW93" i="5"/>
  <c r="AR97" i="5"/>
  <c r="AU97" i="5"/>
  <c r="AW97" i="5"/>
  <c r="AR102" i="5"/>
  <c r="AU102" i="5"/>
  <c r="AW102" i="5"/>
  <c r="AR107" i="5"/>
  <c r="AU107" i="5"/>
  <c r="AW107" i="5"/>
  <c r="AR109" i="5"/>
  <c r="AU109" i="5"/>
  <c r="AW109" i="5"/>
  <c r="AR111" i="5"/>
  <c r="AU111" i="5"/>
  <c r="AW111" i="5"/>
  <c r="AR115" i="5"/>
  <c r="AW115" i="5"/>
  <c r="AR117" i="5"/>
  <c r="AU117" i="5"/>
  <c r="AW117" i="5"/>
  <c r="AR120" i="5"/>
  <c r="AU120" i="5"/>
  <c r="AW120" i="5"/>
  <c r="AR124" i="5"/>
  <c r="AU124" i="5"/>
  <c r="AW124" i="5"/>
  <c r="AR128" i="5"/>
  <c r="AU128" i="5"/>
  <c r="AW128" i="5"/>
  <c r="AR131" i="5"/>
  <c r="AU131" i="5"/>
  <c r="AW131" i="5"/>
  <c r="AR133" i="5"/>
  <c r="AU133" i="5"/>
  <c r="AW133" i="5"/>
  <c r="AR135" i="5"/>
  <c r="AU135" i="5"/>
  <c r="AW135" i="5"/>
  <c r="AR138" i="5"/>
  <c r="AU138" i="5"/>
  <c r="AW138" i="5"/>
  <c r="AR141" i="5"/>
  <c r="AU141" i="5"/>
  <c r="AW141" i="5"/>
  <c r="AR143" i="5"/>
  <c r="AU143" i="5"/>
  <c r="AW143" i="5"/>
  <c r="AR145" i="5"/>
  <c r="AU145" i="5"/>
  <c r="AW145" i="5"/>
  <c r="AR148" i="5"/>
  <c r="AU148" i="5"/>
  <c r="AW148" i="5"/>
  <c r="AR151" i="5"/>
  <c r="AU151" i="5"/>
  <c r="AW151" i="5"/>
  <c r="AR153" i="5"/>
  <c r="AU153" i="5"/>
  <c r="AW153" i="5"/>
  <c r="AR156" i="5"/>
  <c r="AU156" i="5"/>
  <c r="AW156" i="5"/>
  <c r="AR158" i="5"/>
  <c r="AU158" i="5"/>
  <c r="AW158" i="5"/>
  <c r="AR160" i="5"/>
  <c r="AU160" i="5"/>
  <c r="AW160" i="5"/>
  <c r="AR162" i="5"/>
  <c r="AU162" i="5"/>
  <c r="AW162" i="5"/>
  <c r="AR164" i="5"/>
  <c r="AU164" i="5"/>
  <c r="AW164" i="5"/>
  <c r="AR166" i="5"/>
  <c r="AU166" i="5"/>
  <c r="AW166" i="5"/>
  <c r="AR170" i="5"/>
  <c r="AU170" i="5"/>
  <c r="AW170" i="5"/>
  <c r="AR173" i="5"/>
  <c r="AU173" i="5"/>
  <c r="AW173" i="5"/>
  <c r="AR177" i="5"/>
  <c r="AU177" i="5"/>
  <c r="AW177" i="5"/>
  <c r="AR180" i="5"/>
  <c r="AU180" i="5"/>
  <c r="AW180" i="5"/>
  <c r="AR183" i="5"/>
  <c r="AU183" i="5"/>
  <c r="AW183" i="5"/>
  <c r="AR186" i="5"/>
  <c r="AU186" i="5"/>
  <c r="AW186" i="5"/>
  <c r="AR188" i="5"/>
  <c r="AU188" i="5"/>
  <c r="AW188" i="5"/>
  <c r="AR190" i="5"/>
  <c r="AU190" i="5"/>
  <c r="AW190" i="5"/>
  <c r="AR192" i="5"/>
  <c r="AU192" i="5"/>
  <c r="AW192" i="5"/>
  <c r="AR194" i="5"/>
  <c r="AU194" i="5"/>
  <c r="AW194" i="5"/>
  <c r="AR196" i="5"/>
  <c r="AU196" i="5"/>
  <c r="AW196" i="5"/>
  <c r="AR198" i="5"/>
  <c r="AU198" i="5"/>
  <c r="AW198" i="5"/>
  <c r="AR201" i="5"/>
  <c r="AU201" i="5"/>
  <c r="AR203" i="5"/>
  <c r="AU203" i="5"/>
  <c r="AW203" i="5"/>
  <c r="AR206" i="5"/>
  <c r="AU206" i="5"/>
  <c r="AW206" i="5"/>
  <c r="AR210" i="5"/>
  <c r="AU210" i="5"/>
  <c r="AW210" i="5"/>
  <c r="AR212" i="5"/>
  <c r="AU212" i="5"/>
  <c r="AW212" i="5"/>
  <c r="AR216" i="5"/>
  <c r="AU216" i="5"/>
  <c r="AW216" i="5"/>
  <c r="AR220" i="5"/>
  <c r="AU220" i="5"/>
  <c r="AW220" i="5"/>
  <c r="AR222" i="5"/>
  <c r="AU222" i="5"/>
  <c r="AW222" i="5"/>
  <c r="AR226" i="5"/>
  <c r="AU226" i="5"/>
  <c r="AW226" i="5"/>
  <c r="AR228" i="5"/>
  <c r="AU228" i="5"/>
  <c r="AW228" i="5"/>
  <c r="AR231" i="5"/>
  <c r="AU231" i="5"/>
  <c r="AW231" i="5"/>
  <c r="AR235" i="5"/>
  <c r="AU235" i="5"/>
  <c r="AW235" i="5"/>
  <c r="AR239" i="5"/>
  <c r="AU239" i="5"/>
  <c r="AW239" i="5"/>
  <c r="AR241" i="5"/>
  <c r="AU241" i="5"/>
  <c r="AW241" i="5"/>
  <c r="AR244" i="5"/>
  <c r="AU244" i="5"/>
  <c r="AW244" i="5"/>
  <c r="AR246" i="5"/>
  <c r="AU246" i="5"/>
  <c r="AW246" i="5"/>
  <c r="AR248" i="5"/>
  <c r="AU248" i="5"/>
  <c r="AW248" i="5"/>
  <c r="AR250" i="5"/>
  <c r="AU250" i="5"/>
  <c r="AW250" i="5"/>
  <c r="AR252" i="5"/>
  <c r="AU252" i="5"/>
  <c r="AW252" i="5"/>
  <c r="AR256" i="5"/>
  <c r="AU256" i="5"/>
  <c r="AW256" i="5"/>
  <c r="AR258" i="5"/>
  <c r="AU258" i="5"/>
  <c r="AW258" i="5"/>
  <c r="AR260" i="5"/>
  <c r="AU260" i="5"/>
  <c r="AW260" i="5"/>
  <c r="AR262" i="5"/>
  <c r="AU262" i="5"/>
  <c r="AW262" i="5"/>
  <c r="AR264" i="5"/>
  <c r="AU264" i="5"/>
  <c r="AW264" i="5"/>
  <c r="AR266" i="5"/>
  <c r="AU266" i="5"/>
  <c r="AW266" i="5"/>
  <c r="AR268" i="5"/>
  <c r="AU268" i="5"/>
  <c r="AW268" i="5"/>
  <c r="AR271" i="5"/>
  <c r="AW271" i="5"/>
  <c r="AR274" i="5"/>
  <c r="AU274" i="5"/>
  <c r="AW274" i="5"/>
  <c r="AR276" i="5"/>
  <c r="AU276" i="5"/>
  <c r="AW276" i="5"/>
  <c r="AR278" i="5"/>
  <c r="AU278" i="5"/>
  <c r="AW278" i="5"/>
  <c r="AR280" i="5"/>
  <c r="AU280" i="5"/>
  <c r="AW280" i="5"/>
  <c r="AR284" i="5"/>
  <c r="AU284" i="5"/>
  <c r="AW284" i="5"/>
  <c r="AR286" i="5"/>
  <c r="AU286" i="5"/>
  <c r="AR291" i="5"/>
  <c r="AU291" i="5"/>
  <c r="AW291" i="5"/>
  <c r="AR294" i="5"/>
  <c r="AU294" i="5"/>
  <c r="AW294" i="5"/>
  <c r="AR297" i="5"/>
  <c r="AU297" i="5"/>
  <c r="AW297" i="5"/>
  <c r="AR300" i="5"/>
  <c r="AU300" i="5"/>
  <c r="AW300" i="5"/>
  <c r="AR303" i="5"/>
  <c r="AU303" i="5"/>
  <c r="AW303" i="5"/>
  <c r="AR306" i="5"/>
  <c r="AU306" i="5"/>
  <c r="AW306" i="5"/>
  <c r="AR308" i="5"/>
  <c r="AU308" i="5"/>
  <c r="AW308" i="5"/>
  <c r="AR310" i="5"/>
  <c r="AU310" i="5"/>
  <c r="AW310" i="5"/>
  <c r="AR312" i="5"/>
  <c r="AU312" i="5"/>
  <c r="AW312" i="5"/>
  <c r="AR314" i="5"/>
  <c r="AU314" i="5"/>
  <c r="AW314" i="5"/>
  <c r="AR316" i="5"/>
  <c r="AU316" i="5"/>
  <c r="AW316" i="5"/>
  <c r="AR318" i="5"/>
  <c r="AU318" i="5"/>
  <c r="AW318" i="5"/>
  <c r="AR321" i="5"/>
  <c r="AU321" i="5"/>
  <c r="AW321" i="5"/>
  <c r="AR323" i="5"/>
  <c r="AU323" i="5"/>
  <c r="AW323" i="5"/>
  <c r="AR325" i="5"/>
  <c r="AU325" i="5"/>
  <c r="AW325" i="5"/>
  <c r="AR327" i="5"/>
  <c r="AU327" i="5"/>
  <c r="AW327" i="5"/>
  <c r="AR329" i="5"/>
  <c r="AU329" i="5"/>
  <c r="AW329" i="5"/>
  <c r="AR331" i="5"/>
  <c r="AU331" i="5"/>
  <c r="AW331" i="5"/>
  <c r="AR333" i="5"/>
  <c r="AU333" i="5"/>
  <c r="AW333" i="5"/>
  <c r="AR335" i="5"/>
  <c r="AU335" i="5"/>
  <c r="AW335" i="5"/>
  <c r="AR338" i="5"/>
  <c r="AU338" i="5"/>
  <c r="AW338" i="5"/>
  <c r="AR340" i="5"/>
  <c r="AU340" i="5"/>
  <c r="AW340" i="5"/>
  <c r="AR342" i="5"/>
  <c r="AU342" i="5"/>
  <c r="AW342" i="5"/>
  <c r="AR347" i="5"/>
  <c r="AU347" i="5"/>
  <c r="AW347" i="5"/>
  <c r="AR349" i="5"/>
  <c r="AU349" i="5"/>
  <c r="AW349" i="5"/>
  <c r="AW355" i="5"/>
  <c r="AQ9" i="5"/>
  <c r="AT9" i="5" s="1"/>
  <c r="AQ15" i="5"/>
  <c r="AT15" i="5" s="1"/>
  <c r="AQ18" i="5"/>
  <c r="AQ21" i="5"/>
  <c r="AT21" i="5" s="1"/>
  <c r="AQ25" i="5"/>
  <c r="AQ27" i="5"/>
  <c r="AQ30" i="5"/>
  <c r="AT30" i="5" s="1"/>
  <c r="AQ33" i="5"/>
  <c r="AQ35" i="5"/>
  <c r="AT35" i="5" s="1"/>
  <c r="AQ37" i="5"/>
  <c r="AT37" i="5" s="1"/>
  <c r="AQ40" i="5"/>
  <c r="AQ42" i="5"/>
  <c r="AT42" i="5" s="1"/>
  <c r="AQ46" i="5"/>
  <c r="AQ50" i="5"/>
  <c r="AQ54" i="5"/>
  <c r="AT54" i="5" s="1"/>
  <c r="AQ58" i="5"/>
  <c r="AQ60" i="5"/>
  <c r="AQ64" i="5"/>
  <c r="AT64" i="5" s="1"/>
  <c r="AQ66" i="5"/>
  <c r="AQ69" i="5"/>
  <c r="AQ72" i="5"/>
  <c r="AT72" i="5" s="1"/>
  <c r="AQ74" i="5"/>
  <c r="AQ76" i="5"/>
  <c r="AT76" i="5" s="1"/>
  <c r="AQ81" i="5"/>
  <c r="AT81" i="5" s="1"/>
  <c r="AQ85" i="5"/>
  <c r="AQ87" i="5"/>
  <c r="AT87" i="5" s="1"/>
  <c r="AQ90" i="5"/>
  <c r="AQ93" i="5"/>
  <c r="AQ97" i="5"/>
  <c r="AT97" i="5" s="1"/>
  <c r="AQ102" i="5"/>
  <c r="AQ107" i="5"/>
  <c r="AT107" i="5" s="1"/>
  <c r="AQ109" i="5"/>
  <c r="AT109" i="5" s="1"/>
  <c r="AQ111" i="5"/>
  <c r="AQ115" i="5"/>
  <c r="AT115" i="5" s="1"/>
  <c r="AQ117" i="5"/>
  <c r="AT117" i="5" s="1"/>
  <c r="AQ120" i="5"/>
  <c r="AQ124" i="5"/>
  <c r="AT124" i="5" s="1"/>
  <c r="AQ128" i="5"/>
  <c r="AQ131" i="5"/>
  <c r="AQ133" i="5"/>
  <c r="AT133" i="5" s="1"/>
  <c r="AQ135" i="5"/>
  <c r="AQ138" i="5"/>
  <c r="AT138" i="5" s="1"/>
  <c r="AQ141" i="5"/>
  <c r="AT141" i="5" s="1"/>
  <c r="AQ143" i="5"/>
  <c r="AQ145" i="5"/>
  <c r="AT145" i="5" s="1"/>
  <c r="AQ148" i="5"/>
  <c r="AQ151" i="5"/>
  <c r="AQ153" i="5"/>
  <c r="AT153" i="5" s="1"/>
  <c r="AQ156" i="5"/>
  <c r="AQ158" i="5"/>
  <c r="AT158" i="5" s="1"/>
  <c r="AQ160" i="5"/>
  <c r="AT160" i="5" s="1"/>
  <c r="AQ162" i="5"/>
  <c r="AQ164" i="5"/>
  <c r="AT164" i="5" s="1"/>
  <c r="AQ166" i="5"/>
  <c r="AQ170" i="5"/>
  <c r="AQ173" i="5"/>
  <c r="AT173" i="5" s="1"/>
  <c r="AQ177" i="5"/>
  <c r="AQ180" i="5"/>
  <c r="AT180" i="5" s="1"/>
  <c r="AQ183" i="5"/>
  <c r="AQ186" i="5"/>
  <c r="AQ188" i="5"/>
  <c r="AT188" i="5" s="1"/>
  <c r="AQ190" i="5"/>
  <c r="AQ192" i="5"/>
  <c r="AQ194" i="5"/>
  <c r="AT194" i="5" s="1"/>
  <c r="AQ196" i="5"/>
  <c r="AQ198" i="5"/>
  <c r="AT198" i="5" s="1"/>
  <c r="AQ201" i="5"/>
  <c r="AQ203" i="5"/>
  <c r="AQ206" i="5"/>
  <c r="AT206" i="5" s="1"/>
  <c r="AQ210" i="5"/>
  <c r="AQ212" i="5"/>
  <c r="AQ216" i="5"/>
  <c r="AQ220" i="5"/>
  <c r="AT220" i="5" s="1"/>
  <c r="AQ222" i="5"/>
  <c r="AQ226" i="5"/>
  <c r="AQ228" i="5"/>
  <c r="AQ231" i="5"/>
  <c r="AT231" i="5" s="1"/>
  <c r="AQ235" i="5"/>
  <c r="AQ239" i="5"/>
  <c r="AQ241" i="5"/>
  <c r="AQ244" i="5"/>
  <c r="AQ246" i="5"/>
  <c r="AQ248" i="5"/>
  <c r="AQ250" i="5"/>
  <c r="AQ252" i="5"/>
  <c r="AT252" i="5" s="1"/>
  <c r="AQ256" i="5"/>
  <c r="AQ258" i="5"/>
  <c r="AQ260" i="5"/>
  <c r="AQ262" i="5"/>
  <c r="AQ264" i="5"/>
  <c r="AQ266" i="5"/>
  <c r="AQ268" i="5"/>
  <c r="AQ271" i="5"/>
  <c r="AT271" i="5" s="1"/>
  <c r="AQ274" i="5"/>
  <c r="AQ276" i="5"/>
  <c r="AQ278" i="5"/>
  <c r="AQ280" i="5"/>
  <c r="AQ284" i="5"/>
  <c r="AQ286" i="5"/>
  <c r="AQ291" i="5"/>
  <c r="AQ294" i="5"/>
  <c r="AQ297" i="5"/>
  <c r="AQ300" i="5"/>
  <c r="AQ303" i="5"/>
  <c r="AQ306" i="5"/>
  <c r="AQ308" i="5"/>
  <c r="AQ310" i="5"/>
  <c r="AQ312" i="5"/>
  <c r="AQ314" i="5"/>
  <c r="AQ316" i="5"/>
  <c r="AQ318" i="5"/>
  <c r="AQ321" i="5"/>
  <c r="AQ323" i="5"/>
  <c r="AQ325" i="5"/>
  <c r="AQ327" i="5"/>
  <c r="AQ329" i="5"/>
  <c r="AQ331" i="5"/>
  <c r="AQ333" i="5"/>
  <c r="AQ335" i="5"/>
  <c r="AQ338" i="5"/>
  <c r="AQ340" i="5"/>
  <c r="AQ342" i="5"/>
  <c r="AQ347" i="5"/>
  <c r="AQ349" i="5"/>
  <c r="AQ3" i="5"/>
  <c r="AU3" i="5"/>
  <c r="AR3" i="5"/>
  <c r="AT316" i="5" l="1"/>
  <c r="AT297" i="5"/>
  <c r="AT268" i="5"/>
  <c r="AT250" i="5"/>
  <c r="AT228" i="5"/>
  <c r="AT203" i="5"/>
  <c r="AT349" i="5"/>
  <c r="AT329" i="5"/>
  <c r="AT312" i="5"/>
  <c r="AT291" i="5"/>
  <c r="AT347" i="5"/>
  <c r="AT314" i="5"/>
  <c r="AT331" i="5"/>
  <c r="AT294" i="5"/>
  <c r="AT58" i="5"/>
  <c r="AT318" i="5"/>
  <c r="AT300" i="5"/>
  <c r="AT46" i="5"/>
  <c r="AT25" i="5"/>
  <c r="AT90" i="5"/>
  <c r="AT66" i="5"/>
  <c r="AT333" i="5"/>
  <c r="AT93" i="5"/>
  <c r="AT69" i="5"/>
  <c r="AT308" i="5"/>
  <c r="AT340" i="5"/>
  <c r="AT325" i="5"/>
  <c r="AT196" i="5"/>
  <c r="AT177" i="5"/>
  <c r="AT156" i="5"/>
  <c r="AT135" i="5"/>
  <c r="AT33" i="5"/>
  <c r="AT186" i="5"/>
  <c r="AT162" i="5"/>
  <c r="AT143" i="5"/>
  <c r="AT120" i="5"/>
  <c r="AT40" i="5"/>
  <c r="AT18" i="5"/>
  <c r="AT111" i="5"/>
  <c r="AT85" i="5"/>
  <c r="AT284" i="5"/>
  <c r="AT258" i="5"/>
  <c r="AT239" i="5"/>
  <c r="AT212" i="5"/>
  <c r="AT353" i="5"/>
  <c r="AT278" i="5"/>
  <c r="AT222" i="5"/>
  <c r="AT60" i="5"/>
  <c r="AT264" i="5"/>
  <c r="AT335" i="5"/>
  <c r="AT321" i="5"/>
  <c r="AT303" i="5"/>
  <c r="AT260" i="5"/>
  <c r="AT241" i="5"/>
  <c r="AT216" i="5"/>
  <c r="AT246" i="5"/>
  <c r="AT3" i="5"/>
  <c r="AT276" i="5"/>
  <c r="AT192" i="5"/>
  <c r="AT170" i="5"/>
  <c r="AT151" i="5"/>
  <c r="AT131" i="5"/>
  <c r="AT148" i="5"/>
  <c r="AT27" i="5"/>
  <c r="AT274" i="5"/>
  <c r="AT235" i="5"/>
  <c r="AT190" i="5"/>
  <c r="AT128" i="5"/>
  <c r="AT74" i="5"/>
  <c r="AT342" i="5"/>
  <c r="AT327" i="5"/>
  <c r="AT310" i="5"/>
  <c r="AT286" i="5"/>
  <c r="AT266" i="5"/>
  <c r="AT248" i="5"/>
  <c r="AT226" i="5"/>
  <c r="AT201" i="5"/>
  <c r="AT183" i="5"/>
  <c r="AT166" i="5"/>
  <c r="AT256" i="5"/>
  <c r="AT210" i="5"/>
  <c r="AT102" i="5"/>
  <c r="AT50" i="5"/>
  <c r="AT338" i="5"/>
  <c r="AT323" i="5"/>
  <c r="AT306" i="5"/>
  <c r="AT280" i="5"/>
  <c r="AT262" i="5"/>
  <c r="AT244" i="5"/>
  <c r="AO4" i="14"/>
  <c r="AN4" i="14"/>
  <c r="AP4" i="14" s="1"/>
  <c r="M3" i="14"/>
  <c r="AQ2" i="14"/>
  <c r="AP2" i="14"/>
  <c r="AP1" i="14"/>
  <c r="X1" i="14"/>
  <c r="X3" i="14" l="1"/>
  <c r="M355" i="5" l="1"/>
  <c r="AP352" i="5"/>
  <c r="M349" i="5"/>
  <c r="AP348" i="5"/>
  <c r="M77" i="5"/>
  <c r="M78" i="5"/>
  <c r="M345" i="5"/>
  <c r="M344" i="5"/>
  <c r="M347" i="5"/>
  <c r="AP346" i="5"/>
  <c r="M343" i="5"/>
  <c r="M342" i="5"/>
  <c r="AP341" i="5"/>
  <c r="M340" i="5" l="1"/>
  <c r="AP339" i="5"/>
  <c r="M338" i="5"/>
  <c r="AP337" i="5"/>
  <c r="M336" i="5"/>
  <c r="M335" i="5"/>
  <c r="AP334" i="5"/>
  <c r="M333" i="5" l="1"/>
  <c r="AP332" i="5"/>
  <c r="M331" i="5" l="1"/>
  <c r="AP330" i="5"/>
  <c r="D8" i="6" l="1"/>
  <c r="D7" i="6"/>
  <c r="M329" i="5" l="1"/>
  <c r="AP328" i="5"/>
  <c r="AP2" i="5" l="1"/>
  <c r="AP8" i="5"/>
  <c r="AP14" i="5"/>
  <c r="AP17" i="5"/>
  <c r="AP20" i="5"/>
  <c r="AP24" i="5"/>
  <c r="AP26" i="5"/>
  <c r="AP29" i="5"/>
  <c r="AP32" i="5"/>
  <c r="AP34" i="5"/>
  <c r="AP36" i="5"/>
  <c r="AP39" i="5"/>
  <c r="AP41" i="5"/>
  <c r="AP45" i="5"/>
  <c r="AP49" i="5"/>
  <c r="AP53" i="5"/>
  <c r="AP57" i="5"/>
  <c r="AP59" i="5"/>
  <c r="AP63" i="5"/>
  <c r="AP65" i="5"/>
  <c r="AP68" i="5"/>
  <c r="AP71" i="5"/>
  <c r="AP73" i="5"/>
  <c r="AP75" i="5"/>
  <c r="AP80" i="5"/>
  <c r="AP84" i="5"/>
  <c r="AP86" i="5"/>
  <c r="AP89" i="5"/>
  <c r="AP92" i="5"/>
  <c r="AP96" i="5"/>
  <c r="AP101" i="5"/>
  <c r="AP106" i="5"/>
  <c r="AP108" i="5"/>
  <c r="AP110" i="5"/>
  <c r="AP114" i="5"/>
  <c r="AP116" i="5"/>
  <c r="AP119" i="5"/>
  <c r="AP123" i="5"/>
  <c r="AP127" i="5"/>
  <c r="AP130" i="5"/>
  <c r="AP132" i="5"/>
  <c r="AP134" i="5"/>
  <c r="AP137" i="5"/>
  <c r="AP140" i="5"/>
  <c r="AP142" i="5"/>
  <c r="AP144" i="5"/>
  <c r="AP147" i="5"/>
  <c r="AP150" i="5"/>
  <c r="AP152" i="5"/>
  <c r="AP155" i="5"/>
  <c r="AP157" i="5"/>
  <c r="AP159" i="5"/>
  <c r="AP161" i="5"/>
  <c r="AP163" i="5"/>
  <c r="AP165" i="5"/>
  <c r="AP169" i="5"/>
  <c r="AP172" i="5"/>
  <c r="AP176" i="5"/>
  <c r="AP179" i="5"/>
  <c r="AP182" i="5"/>
  <c r="AP185" i="5"/>
  <c r="AP187" i="5"/>
  <c r="AP189" i="5"/>
  <c r="AP191" i="5"/>
  <c r="AP193" i="5"/>
  <c r="AP195" i="5"/>
  <c r="AP197" i="5"/>
  <c r="AP200" i="5"/>
  <c r="AP202" i="5"/>
  <c r="AP205" i="5"/>
  <c r="AP209" i="5"/>
  <c r="AP211" i="5"/>
  <c r="AP215" i="5"/>
  <c r="AP219" i="5"/>
  <c r="AP221" i="5"/>
  <c r="AP225" i="5"/>
  <c r="AP227" i="5"/>
  <c r="AP230" i="5"/>
  <c r="AP234" i="5"/>
  <c r="AP238" i="5"/>
  <c r="AP240" i="5"/>
  <c r="AP243" i="5"/>
  <c r="AP245" i="5"/>
  <c r="AP247" i="5"/>
  <c r="AP249" i="5"/>
  <c r="AP251" i="5"/>
  <c r="AP255" i="5"/>
  <c r="AP257" i="5"/>
  <c r="AP259" i="5"/>
  <c r="AP261" i="5"/>
  <c r="AP263" i="5"/>
  <c r="AP265" i="5"/>
  <c r="AP267" i="5"/>
  <c r="AP270" i="5"/>
  <c r="AP273" i="5"/>
  <c r="AP275" i="5"/>
  <c r="AP277" i="5"/>
  <c r="AP279" i="5"/>
  <c r="AP283" i="5"/>
  <c r="AP285" i="5"/>
  <c r="AP290" i="5"/>
  <c r="AP293" i="5"/>
  <c r="AP296" i="5"/>
  <c r="AP299" i="5"/>
  <c r="AP302" i="5"/>
  <c r="AP305" i="5"/>
  <c r="AP307" i="5"/>
  <c r="AP309" i="5"/>
  <c r="AP311" i="5"/>
  <c r="AP313" i="5"/>
  <c r="AP315" i="5"/>
  <c r="AP317" i="5"/>
  <c r="AP320" i="5"/>
  <c r="AP322" i="5"/>
  <c r="AP324" i="5"/>
  <c r="AP326" i="5"/>
  <c r="AP1" i="5"/>
  <c r="M291" i="5" l="1"/>
  <c r="M292" i="5"/>
  <c r="M327" i="5"/>
  <c r="M184" i="5"/>
  <c r="AV2" i="5"/>
  <c r="AW3" i="5"/>
  <c r="M325" i="5"/>
  <c r="M324" i="5"/>
  <c r="M323" i="5"/>
  <c r="M322" i="5"/>
  <c r="M126" i="5"/>
  <c r="M321" i="5"/>
  <c r="M320" i="5"/>
  <c r="M319" i="5"/>
  <c r="M318" i="5"/>
  <c r="M316" i="5" l="1"/>
  <c r="X1" i="5" l="1"/>
  <c r="X79" i="5" s="1"/>
  <c r="X364" i="5" l="1"/>
  <c r="X105" i="5"/>
  <c r="X361" i="5"/>
  <c r="X363" i="5"/>
  <c r="X359" i="5"/>
  <c r="X357" i="5"/>
  <c r="X7" i="14"/>
  <c r="X6" i="14"/>
  <c r="X3" i="5"/>
  <c r="X351" i="5"/>
  <c r="X353" i="5"/>
  <c r="X354" i="5"/>
  <c r="X355" i="5"/>
  <c r="X349" i="5"/>
  <c r="X344" i="5"/>
  <c r="X77" i="5"/>
  <c r="X78" i="5"/>
  <c r="X347" i="5"/>
  <c r="X345" i="5"/>
  <c r="X340" i="5"/>
  <c r="X343" i="5"/>
  <c r="X342" i="5"/>
  <c r="X336" i="5"/>
  <c r="X338" i="5"/>
  <c r="X333" i="5"/>
  <c r="X335" i="5"/>
  <c r="X329" i="5"/>
  <c r="X331" i="5"/>
  <c r="X184" i="5"/>
  <c r="X327" i="5"/>
  <c r="X325" i="5"/>
  <c r="X126" i="5"/>
  <c r="X323" i="5"/>
  <c r="X319" i="5"/>
  <c r="X321" i="5"/>
  <c r="X318" i="5"/>
  <c r="X316" i="5"/>
  <c r="X4" i="5"/>
  <c r="X124" i="5"/>
  <c r="X46" i="5"/>
  <c r="X56" i="5"/>
  <c r="X69" i="5"/>
  <c r="X85" i="5"/>
  <c r="X97" i="5"/>
  <c r="X109" i="5"/>
  <c r="X121" i="5"/>
  <c r="X135" i="5"/>
  <c r="X148" i="5"/>
  <c r="X162" i="5"/>
  <c r="X174" i="5"/>
  <c r="X201" i="5"/>
  <c r="X213" i="5"/>
  <c r="X224" i="5"/>
  <c r="X236" i="5"/>
  <c r="X250" i="5"/>
  <c r="X264" i="5"/>
  <c r="X278" i="5"/>
  <c r="X289" i="5"/>
  <c r="X301" i="5"/>
  <c r="X33" i="5"/>
  <c r="X47" i="5"/>
  <c r="X122" i="5"/>
  <c r="X175" i="5"/>
  <c r="X252" i="5"/>
  <c r="X23" i="5"/>
  <c r="X99" i="5"/>
  <c r="X151" i="5"/>
  <c r="X166" i="5"/>
  <c r="X177" i="5"/>
  <c r="X190" i="5"/>
  <c r="X204" i="5"/>
  <c r="X216" i="5"/>
  <c r="X228" i="5"/>
  <c r="X239" i="5"/>
  <c r="X253" i="5"/>
  <c r="X268" i="5"/>
  <c r="X281" i="5"/>
  <c r="X292" i="5"/>
  <c r="X304" i="5"/>
  <c r="X10" i="5"/>
  <c r="X11" i="5"/>
  <c r="X58" i="5"/>
  <c r="X111" i="5"/>
  <c r="X188" i="5"/>
  <c r="X237" i="5"/>
  <c r="X280" i="5"/>
  <c r="X12" i="5"/>
  <c r="X72" i="5"/>
  <c r="X50" i="5"/>
  <c r="X61" i="5"/>
  <c r="X74" i="5"/>
  <c r="X90" i="5"/>
  <c r="X100" i="5"/>
  <c r="X113" i="5"/>
  <c r="X125" i="5"/>
  <c r="X139" i="5"/>
  <c r="X153" i="5"/>
  <c r="X167" i="5"/>
  <c r="X178" i="5"/>
  <c r="X192" i="5"/>
  <c r="X206" i="5"/>
  <c r="X217" i="5"/>
  <c r="X229" i="5"/>
  <c r="X241" i="5"/>
  <c r="X254" i="5"/>
  <c r="X269" i="5"/>
  <c r="X282" i="5"/>
  <c r="X294" i="5"/>
  <c r="X306" i="5"/>
  <c r="X88" i="5"/>
  <c r="X51" i="5"/>
  <c r="X128" i="5"/>
  <c r="X168" i="5"/>
  <c r="X180" i="5"/>
  <c r="X194" i="5"/>
  <c r="X207" i="5"/>
  <c r="X218" i="5"/>
  <c r="X231" i="5"/>
  <c r="X242" i="5"/>
  <c r="X256" i="5"/>
  <c r="X271" i="5"/>
  <c r="X284" i="5"/>
  <c r="X295" i="5"/>
  <c r="X308" i="5"/>
  <c r="X22" i="5"/>
  <c r="X98" i="5"/>
  <c r="X149" i="5"/>
  <c r="X226" i="5"/>
  <c r="X303" i="5"/>
  <c r="X37" i="5"/>
  <c r="X13" i="5"/>
  <c r="X27" i="5"/>
  <c r="X91" i="5"/>
  <c r="X154" i="5"/>
  <c r="X6" i="5"/>
  <c r="X16" i="5"/>
  <c r="X28" i="5"/>
  <c r="X42" i="5"/>
  <c r="X52" i="5"/>
  <c r="X64" i="5"/>
  <c r="X81" i="5"/>
  <c r="X93" i="5"/>
  <c r="X103" i="5"/>
  <c r="X117" i="5"/>
  <c r="X129" i="5"/>
  <c r="X143" i="5"/>
  <c r="X156" i="5"/>
  <c r="X170" i="5"/>
  <c r="X181" i="5"/>
  <c r="X196" i="5"/>
  <c r="X208" i="5"/>
  <c r="X220" i="5"/>
  <c r="X232" i="5"/>
  <c r="X244" i="5"/>
  <c r="X258" i="5"/>
  <c r="X272" i="5"/>
  <c r="X286" i="5"/>
  <c r="X297" i="5"/>
  <c r="X310" i="5"/>
  <c r="X21" i="5"/>
  <c r="X70" i="5"/>
  <c r="X136" i="5"/>
  <c r="X203" i="5"/>
  <c r="X266" i="5"/>
  <c r="X60" i="5"/>
  <c r="X138" i="5"/>
  <c r="X38" i="5"/>
  <c r="X5" i="5"/>
  <c r="X40" i="5"/>
  <c r="X76" i="5"/>
  <c r="X115" i="5"/>
  <c r="X7" i="5"/>
  <c r="X18" i="5"/>
  <c r="X30" i="5"/>
  <c r="X43" i="5"/>
  <c r="X54" i="5"/>
  <c r="X66" i="5"/>
  <c r="X82" i="5"/>
  <c r="X94" i="5"/>
  <c r="X104" i="5"/>
  <c r="X118" i="5"/>
  <c r="X131" i="5"/>
  <c r="X145" i="5"/>
  <c r="X158" i="5"/>
  <c r="X171" i="5"/>
  <c r="X183" i="5"/>
  <c r="X198" i="5"/>
  <c r="X210" i="5"/>
  <c r="X222" i="5"/>
  <c r="X233" i="5"/>
  <c r="X246" i="5"/>
  <c r="X260" i="5"/>
  <c r="X274" i="5"/>
  <c r="X287" i="5"/>
  <c r="X298" i="5"/>
  <c r="X312" i="5"/>
  <c r="X35" i="5"/>
  <c r="X87" i="5"/>
  <c r="X164" i="5"/>
  <c r="X214" i="5"/>
  <c r="X291" i="5"/>
  <c r="X48" i="5"/>
  <c r="X112" i="5"/>
  <c r="X25" i="5"/>
  <c r="X15" i="5"/>
  <c r="X62" i="5"/>
  <c r="X102" i="5"/>
  <c r="X141" i="5"/>
  <c r="X9" i="5"/>
  <c r="X19" i="5"/>
  <c r="X31" i="5"/>
  <c r="X44" i="5"/>
  <c r="X55" i="5"/>
  <c r="X67" i="5"/>
  <c r="X83" i="5"/>
  <c r="X95" i="5"/>
  <c r="X107" i="5"/>
  <c r="X120" i="5"/>
  <c r="X133" i="5"/>
  <c r="X146" i="5"/>
  <c r="X160" i="5"/>
  <c r="X173" i="5"/>
  <c r="X186" i="5"/>
  <c r="X199" i="5"/>
  <c r="X212" i="5"/>
  <c r="X223" i="5"/>
  <c r="X235" i="5"/>
  <c r="X248" i="5"/>
  <c r="X262" i="5"/>
  <c r="X276" i="5"/>
  <c r="X288" i="5"/>
  <c r="X300" i="5"/>
  <c r="X314" i="5"/>
  <c r="M7" i="5"/>
  <c r="M6" i="5"/>
  <c r="M3" i="5"/>
  <c r="M314" i="5"/>
  <c r="M312" i="5"/>
  <c r="M310" i="5"/>
  <c r="M308" i="5"/>
  <c r="M306" i="5"/>
  <c r="M304" i="5"/>
  <c r="M303" i="5"/>
  <c r="M301" i="5"/>
  <c r="M300" i="5"/>
  <c r="M298" i="5"/>
  <c r="M297" i="5"/>
  <c r="M295" i="5"/>
  <c r="M294" i="5"/>
  <c r="M289" i="5"/>
  <c r="M288" i="5"/>
  <c r="M287" i="5"/>
  <c r="M286" i="5"/>
  <c r="M284" i="5"/>
  <c r="M282" i="5"/>
  <c r="M281" i="5"/>
  <c r="M280" i="5"/>
  <c r="M278" i="5"/>
  <c r="M276" i="5"/>
  <c r="M274" i="5"/>
  <c r="M272" i="5"/>
  <c r="M271" i="5"/>
  <c r="M269" i="5"/>
  <c r="M268" i="5"/>
  <c r="M266" i="5"/>
  <c r="M264" i="5"/>
  <c r="M262" i="5"/>
  <c r="M260" i="5"/>
  <c r="M258" i="5"/>
  <c r="M256" i="5"/>
  <c r="M254" i="5"/>
  <c r="M253" i="5"/>
  <c r="M252" i="5"/>
  <c r="M250" i="5"/>
  <c r="M248" i="5"/>
  <c r="M246" i="5"/>
  <c r="M244" i="5"/>
  <c r="M242" i="5"/>
  <c r="M241" i="5"/>
  <c r="M239" i="5"/>
  <c r="M237" i="5"/>
  <c r="M236" i="5"/>
  <c r="M235" i="5"/>
  <c r="M233" i="5"/>
  <c r="M232" i="5"/>
  <c r="M231" i="5"/>
  <c r="M229" i="5"/>
  <c r="M228" i="5"/>
  <c r="M226" i="5"/>
  <c r="M224" i="5"/>
  <c r="M223" i="5"/>
  <c r="M222" i="5"/>
  <c r="M220" i="5"/>
  <c r="M218" i="5"/>
  <c r="M217" i="5"/>
  <c r="M216" i="5"/>
  <c r="M214" i="5"/>
  <c r="M213" i="5"/>
  <c r="M212" i="5"/>
  <c r="M210" i="5"/>
  <c r="M208" i="5"/>
  <c r="M207" i="5"/>
  <c r="M206" i="5"/>
  <c r="M204" i="5"/>
  <c r="M203" i="5"/>
  <c r="M201" i="5"/>
  <c r="M199" i="5"/>
  <c r="M198" i="5"/>
  <c r="M196" i="5"/>
  <c r="M194" i="5"/>
  <c r="M192" i="5"/>
  <c r="M188" i="5"/>
  <c r="M186" i="5"/>
  <c r="M183" i="5"/>
  <c r="M181" i="5"/>
  <c r="M180" i="5"/>
  <c r="M178" i="5"/>
  <c r="M177" i="5"/>
  <c r="M175" i="5"/>
  <c r="M174" i="5"/>
  <c r="M173" i="5"/>
  <c r="M171" i="5"/>
  <c r="M170" i="5"/>
  <c r="M168" i="5"/>
  <c r="M167" i="5"/>
  <c r="M166" i="5"/>
  <c r="M164" i="5"/>
  <c r="M162" i="5"/>
  <c r="M160" i="5"/>
  <c r="M158" i="5"/>
  <c r="M156" i="5"/>
  <c r="M154" i="5"/>
  <c r="M153" i="5"/>
  <c r="M151" i="5"/>
  <c r="M149" i="5"/>
  <c r="M148" i="5"/>
  <c r="M146" i="5"/>
  <c r="M145" i="5"/>
  <c r="M143" i="5"/>
  <c r="M141" i="5"/>
  <c r="M139" i="5"/>
  <c r="M138" i="5"/>
  <c r="M136" i="5"/>
  <c r="M135" i="5"/>
  <c r="M133" i="5"/>
  <c r="M131" i="5"/>
  <c r="M129" i="5"/>
  <c r="M128" i="5"/>
  <c r="M125" i="5"/>
  <c r="M124" i="5"/>
  <c r="M122" i="5"/>
  <c r="M121" i="5"/>
  <c r="M120" i="5"/>
  <c r="M118" i="5"/>
  <c r="M117" i="5"/>
  <c r="M115" i="5"/>
  <c r="M113" i="5"/>
  <c r="M112" i="5"/>
  <c r="M111" i="5"/>
  <c r="M109" i="5"/>
  <c r="M107" i="5"/>
  <c r="M104" i="5"/>
  <c r="M103" i="5"/>
  <c r="M102" i="5"/>
  <c r="M100" i="5"/>
  <c r="M99" i="5"/>
  <c r="M98" i="5"/>
  <c r="M97" i="5"/>
  <c r="M95" i="5"/>
  <c r="M94" i="5"/>
  <c r="M93" i="5"/>
  <c r="M91" i="5"/>
  <c r="M90" i="5"/>
  <c r="M88" i="5"/>
  <c r="M87" i="5"/>
  <c r="M85" i="5"/>
  <c r="M83" i="5"/>
  <c r="M82" i="5"/>
  <c r="M81" i="5"/>
  <c r="M76" i="5"/>
  <c r="M74" i="5"/>
  <c r="M72" i="5"/>
  <c r="M70" i="5"/>
  <c r="M69" i="5"/>
  <c r="M67" i="5"/>
  <c r="M66" i="5"/>
  <c r="M64" i="5"/>
  <c r="M62" i="5"/>
  <c r="M61" i="5"/>
  <c r="M60" i="5"/>
  <c r="M58" i="5"/>
  <c r="M56" i="5"/>
  <c r="M55" i="5"/>
  <c r="M54" i="5"/>
  <c r="M52" i="5"/>
  <c r="M51" i="5"/>
  <c r="M50" i="5"/>
  <c r="M48" i="5"/>
  <c r="M47" i="5"/>
  <c r="M46" i="5"/>
  <c r="M44" i="5"/>
  <c r="M43" i="5"/>
  <c r="M42" i="5"/>
  <c r="M40" i="5"/>
  <c r="M38" i="5"/>
  <c r="M37" i="5"/>
  <c r="M35" i="5"/>
  <c r="M33" i="5"/>
  <c r="M31" i="5"/>
  <c r="M30" i="5"/>
  <c r="M28" i="5"/>
  <c r="M27" i="5"/>
  <c r="M25" i="5"/>
  <c r="M23" i="5"/>
  <c r="M22" i="5"/>
  <c r="M21" i="5"/>
  <c r="M19" i="5"/>
  <c r="M18" i="5"/>
  <c r="M16" i="5"/>
  <c r="M15" i="5"/>
  <c r="M13" i="5"/>
  <c r="M12" i="5"/>
  <c r="M11" i="5"/>
  <c r="M10" i="5"/>
  <c r="M9" i="5"/>
  <c r="M5" i="5"/>
  <c r="M4" i="5"/>
  <c r="Z9" i="12" l="1"/>
  <c r="H7" i="12"/>
  <c r="H9" i="12"/>
  <c r="C7" i="12"/>
  <c r="C9" i="12"/>
  <c r="Z7" i="12"/>
  <c r="U9" i="12"/>
  <c r="U7" i="12"/>
  <c r="Z16" i="12"/>
  <c r="U21" i="12"/>
  <c r="U8" i="12"/>
  <c r="U22" i="12"/>
  <c r="Z5" i="12"/>
  <c r="Z22" i="12"/>
  <c r="Z10" i="12"/>
  <c r="Z17" i="12"/>
  <c r="Z12" i="12"/>
  <c r="Z20" i="12"/>
  <c r="Z18" i="12"/>
  <c r="Z13" i="12"/>
  <c r="Z15" i="12"/>
  <c r="Z21" i="12"/>
  <c r="Z11" i="12"/>
  <c r="Z6" i="12"/>
  <c r="Z19" i="12"/>
  <c r="Z14" i="12"/>
  <c r="Z8" i="12"/>
  <c r="U19" i="12"/>
  <c r="U15" i="12"/>
  <c r="U16" i="12"/>
  <c r="U12" i="12"/>
  <c r="U20" i="12"/>
  <c r="U17" i="12"/>
  <c r="U5" i="12"/>
  <c r="U13" i="12"/>
  <c r="U10" i="12"/>
  <c r="U6" i="12"/>
  <c r="U18" i="12"/>
  <c r="U14" i="12"/>
  <c r="U11" i="12"/>
  <c r="H15" i="12"/>
  <c r="H18" i="12"/>
  <c r="H22" i="12"/>
  <c r="H14" i="12"/>
  <c r="H5" i="12"/>
  <c r="H19" i="12"/>
  <c r="H16" i="12"/>
  <c r="H8" i="12"/>
  <c r="H17" i="12"/>
  <c r="H20" i="12"/>
  <c r="H11" i="12"/>
  <c r="H12" i="12"/>
  <c r="H10" i="12"/>
  <c r="H21" i="12"/>
  <c r="H6" i="12"/>
  <c r="H13" i="12"/>
  <c r="C12" i="12"/>
  <c r="C22" i="12"/>
  <c r="C15" i="12"/>
  <c r="C16" i="12"/>
  <c r="C17" i="12"/>
  <c r="C20" i="12"/>
  <c r="C10" i="12"/>
  <c r="C13" i="12"/>
  <c r="C18" i="12"/>
  <c r="C21" i="12"/>
  <c r="AM21" i="12" s="1"/>
  <c r="C8" i="12"/>
  <c r="AM8" i="12" s="1"/>
  <c r="C6" i="12"/>
  <c r="C11" i="12"/>
  <c r="C14" i="12"/>
  <c r="C19" i="12"/>
  <c r="C5" i="12"/>
  <c r="U43" i="12"/>
  <c r="U62" i="12"/>
  <c r="C59" i="12"/>
  <c r="H35" i="12"/>
  <c r="C36" i="12"/>
  <c r="H59" i="12"/>
  <c r="Z57" i="12"/>
  <c r="U42" i="12"/>
  <c r="H58" i="12"/>
  <c r="Z43" i="12"/>
  <c r="U35" i="12"/>
  <c r="U60" i="12"/>
  <c r="H37" i="12"/>
  <c r="C63" i="12"/>
  <c r="H38" i="12"/>
  <c r="U36" i="12"/>
  <c r="U38" i="12"/>
  <c r="H60" i="12"/>
  <c r="C56" i="12"/>
  <c r="Z63" i="12"/>
  <c r="U59" i="12"/>
  <c r="C38" i="12"/>
  <c r="C60" i="12"/>
  <c r="U64" i="12"/>
  <c r="Z62" i="12"/>
  <c r="H40" i="12"/>
  <c r="C61" i="12"/>
  <c r="Z60" i="12"/>
  <c r="Z36" i="12"/>
  <c r="C35" i="12"/>
  <c r="H61" i="12"/>
  <c r="Z42" i="12"/>
  <c r="C41" i="12"/>
  <c r="Z38" i="12"/>
  <c r="U61" i="12"/>
  <c r="U37" i="12"/>
  <c r="Z39" i="12"/>
  <c r="C62" i="12"/>
  <c r="H56" i="12"/>
  <c r="Z59" i="12"/>
  <c r="U58" i="12"/>
  <c r="Z35" i="12"/>
  <c r="Z40" i="12"/>
  <c r="C58" i="12"/>
  <c r="H43" i="12"/>
  <c r="U39" i="12"/>
  <c r="H36" i="12"/>
  <c r="H63" i="12"/>
  <c r="H39" i="12"/>
  <c r="U40" i="12"/>
  <c r="H64" i="12"/>
  <c r="C57" i="12"/>
  <c r="Z37" i="12"/>
  <c r="Z58" i="12"/>
  <c r="U41" i="12"/>
  <c r="C39" i="12"/>
  <c r="H57" i="12"/>
  <c r="Z56" i="12"/>
  <c r="H41" i="12"/>
  <c r="C37" i="12"/>
  <c r="C64" i="12"/>
  <c r="C40" i="12"/>
  <c r="H42" i="12"/>
  <c r="Z61" i="12"/>
  <c r="H62" i="12"/>
  <c r="U63" i="12"/>
  <c r="U57" i="12"/>
  <c r="C42" i="12"/>
  <c r="Z41" i="12"/>
  <c r="Z64" i="12"/>
  <c r="U56" i="12"/>
  <c r="C43" i="12"/>
  <c r="H11" i="10"/>
  <c r="H9" i="10"/>
  <c r="H10" i="10"/>
  <c r="B5" i="6"/>
  <c r="B4" i="6"/>
  <c r="C10" i="10"/>
  <c r="C9" i="10"/>
  <c r="C14" i="10"/>
  <c r="C15" i="10"/>
  <c r="C12" i="10"/>
  <c r="C13" i="10"/>
  <c r="H15" i="10"/>
  <c r="H14" i="10"/>
  <c r="H13" i="10"/>
  <c r="H12" i="10"/>
  <c r="C11" i="10"/>
  <c r="AM7" i="12" l="1"/>
  <c r="C5" i="6"/>
  <c r="AM16" i="12"/>
  <c r="AE11" i="12"/>
  <c r="AM11" i="12"/>
  <c r="AE21" i="12"/>
  <c r="AM10" i="12"/>
  <c r="AM5" i="12"/>
  <c r="AE17" i="12"/>
  <c r="AM12" i="12"/>
  <c r="AM14" i="12"/>
  <c r="AE7" i="12"/>
  <c r="AE6" i="12"/>
  <c r="AE22" i="12"/>
  <c r="AM15" i="12"/>
  <c r="AE13" i="12"/>
  <c r="M15" i="12"/>
  <c r="AE16" i="12"/>
  <c r="Z25" i="12"/>
  <c r="AA22" i="12" s="1"/>
  <c r="U25" i="12"/>
  <c r="U28" i="12" s="1"/>
  <c r="AE10" i="12"/>
  <c r="AM18" i="12"/>
  <c r="AM20" i="12"/>
  <c r="AM17" i="12"/>
  <c r="AM6" i="12"/>
  <c r="AR14" i="12"/>
  <c r="AR18" i="12"/>
  <c r="AR19" i="12"/>
  <c r="AR20" i="12"/>
  <c r="AR7" i="12"/>
  <c r="AR12" i="12"/>
  <c r="AR6" i="12"/>
  <c r="AR17" i="12"/>
  <c r="AR11" i="12"/>
  <c r="AR10" i="12"/>
  <c r="AR21" i="12"/>
  <c r="AR16" i="12"/>
  <c r="AR8" i="12"/>
  <c r="AR15" i="12"/>
  <c r="AR9" i="12"/>
  <c r="AR13" i="12"/>
  <c r="AR5" i="12"/>
  <c r="M19" i="12"/>
  <c r="AM19" i="12"/>
  <c r="AE12" i="12"/>
  <c r="M13" i="12"/>
  <c r="AM13" i="12"/>
  <c r="M9" i="12"/>
  <c r="AM9" i="12"/>
  <c r="AE18" i="12"/>
  <c r="C25" i="12"/>
  <c r="AE15" i="12"/>
  <c r="H25" i="12"/>
  <c r="AE5" i="12"/>
  <c r="AE20" i="12"/>
  <c r="AE8" i="12"/>
  <c r="AE14" i="12"/>
  <c r="M17" i="12"/>
  <c r="AE19" i="12"/>
  <c r="AE9" i="12"/>
  <c r="M5" i="12"/>
  <c r="M7" i="12"/>
  <c r="M21" i="12"/>
  <c r="M11" i="12"/>
  <c r="M12" i="12"/>
  <c r="M20" i="12"/>
  <c r="M18" i="12"/>
  <c r="M10" i="12"/>
  <c r="M16" i="12"/>
  <c r="M8" i="12"/>
  <c r="M14" i="12"/>
  <c r="M6" i="12"/>
  <c r="AM22" i="12"/>
  <c r="M22" i="12"/>
  <c r="M62" i="12"/>
  <c r="AM62" i="12"/>
  <c r="AR62" i="12"/>
  <c r="AE42" i="12"/>
  <c r="H46" i="12"/>
  <c r="I64" i="12" s="1"/>
  <c r="AE40" i="12"/>
  <c r="AR40" i="12"/>
  <c r="AR39" i="12"/>
  <c r="M35" i="12"/>
  <c r="C46" i="12"/>
  <c r="D40" i="12" s="1"/>
  <c r="AM35" i="12"/>
  <c r="C67" i="12"/>
  <c r="C70" i="12" s="1"/>
  <c r="AM56" i="12"/>
  <c r="M56" i="12"/>
  <c r="M63" i="12"/>
  <c r="AM63" i="12"/>
  <c r="AR57" i="12"/>
  <c r="AM59" i="12"/>
  <c r="M59" i="12"/>
  <c r="M43" i="12"/>
  <c r="AM43" i="12"/>
  <c r="AM40" i="12"/>
  <c r="M40" i="12"/>
  <c r="AM39" i="12"/>
  <c r="M39" i="12"/>
  <c r="Z46" i="12"/>
  <c r="AA36" i="12" s="1"/>
  <c r="AR35" i="12"/>
  <c r="AE37" i="12"/>
  <c r="AR36" i="12"/>
  <c r="AE56" i="12"/>
  <c r="U67" i="12"/>
  <c r="U70" i="12" s="1"/>
  <c r="AE63" i="12"/>
  <c r="AM64" i="12"/>
  <c r="M64" i="12"/>
  <c r="AE41" i="12"/>
  <c r="AE61" i="12"/>
  <c r="AR60" i="12"/>
  <c r="AE64" i="12"/>
  <c r="AE60" i="12"/>
  <c r="AR22" i="12"/>
  <c r="AR64" i="12"/>
  <c r="AM37" i="12"/>
  <c r="M37" i="12"/>
  <c r="AM61" i="12"/>
  <c r="M61" i="12"/>
  <c r="M60" i="12"/>
  <c r="AM60" i="12"/>
  <c r="AE38" i="12"/>
  <c r="AE35" i="12"/>
  <c r="U46" i="12"/>
  <c r="V36" i="12" s="1"/>
  <c r="M36" i="12"/>
  <c r="AM36" i="12"/>
  <c r="AE62" i="12"/>
  <c r="AR41" i="12"/>
  <c r="AR58" i="12"/>
  <c r="AE39" i="12"/>
  <c r="AE58" i="12"/>
  <c r="AR38" i="12"/>
  <c r="M38" i="12"/>
  <c r="AM38" i="12"/>
  <c r="AE36" i="12"/>
  <c r="AR43" i="12"/>
  <c r="AE43" i="12"/>
  <c r="AM42" i="12"/>
  <c r="M42" i="12"/>
  <c r="AR56" i="12"/>
  <c r="Z67" i="12"/>
  <c r="AR37" i="12"/>
  <c r="AR59" i="12"/>
  <c r="M41" i="12"/>
  <c r="AM41" i="12"/>
  <c r="AE59" i="12"/>
  <c r="AE57" i="12"/>
  <c r="AR61" i="12"/>
  <c r="M57" i="12"/>
  <c r="AM57" i="12"/>
  <c r="AM58" i="12"/>
  <c r="M58" i="12"/>
  <c r="H67" i="12"/>
  <c r="H70" i="12" s="1"/>
  <c r="AR42" i="12"/>
  <c r="AR63" i="12"/>
  <c r="M13" i="10"/>
  <c r="M11" i="10"/>
  <c r="M12" i="10"/>
  <c r="M10" i="10"/>
  <c r="M9" i="10"/>
  <c r="M15" i="10"/>
  <c r="C18" i="10"/>
  <c r="E18" i="10" s="1"/>
  <c r="H18" i="10"/>
  <c r="J18" i="10" s="1"/>
  <c r="M14" i="10"/>
  <c r="AW15" i="12" l="1"/>
  <c r="AW12" i="12"/>
  <c r="AW16" i="12"/>
  <c r="AW21" i="12"/>
  <c r="AW8" i="12"/>
  <c r="AW10" i="12"/>
  <c r="AW11" i="12"/>
  <c r="AW14" i="12"/>
  <c r="AW7" i="12"/>
  <c r="AW18" i="12"/>
  <c r="AW5" i="12"/>
  <c r="AR25" i="12"/>
  <c r="AS21" i="12" s="1"/>
  <c r="AM25" i="12"/>
  <c r="AW20" i="12"/>
  <c r="AW17" i="12"/>
  <c r="AW9" i="12"/>
  <c r="AW19" i="12"/>
  <c r="AW13" i="12"/>
  <c r="AW6" i="12"/>
  <c r="M25" i="12"/>
  <c r="AE25" i="12"/>
  <c r="V3" i="12" s="1"/>
  <c r="AA15" i="12"/>
  <c r="AA17" i="12"/>
  <c r="AA6" i="12"/>
  <c r="Z28" i="12"/>
  <c r="AA12" i="12"/>
  <c r="AA13" i="12"/>
  <c r="AA9" i="12"/>
  <c r="AA8" i="12"/>
  <c r="AA7" i="12"/>
  <c r="AA16" i="12"/>
  <c r="AA20" i="12"/>
  <c r="AA21" i="12"/>
  <c r="AA19" i="12"/>
  <c r="AA10" i="12"/>
  <c r="AA18" i="12"/>
  <c r="AA5" i="12"/>
  <c r="AA11" i="12"/>
  <c r="AA14" i="12"/>
  <c r="V5" i="12"/>
  <c r="V7" i="12"/>
  <c r="V12" i="12"/>
  <c r="V21" i="12"/>
  <c r="I22" i="12"/>
  <c r="V8" i="12"/>
  <c r="V9" i="12"/>
  <c r="V11" i="12"/>
  <c r="V6" i="12"/>
  <c r="V15" i="12"/>
  <c r="V20" i="12"/>
  <c r="V13" i="12"/>
  <c r="V18" i="12"/>
  <c r="V16" i="12"/>
  <c r="V17" i="12"/>
  <c r="V19" i="12"/>
  <c r="V10" i="12"/>
  <c r="V14" i="12"/>
  <c r="V22" i="12"/>
  <c r="D19" i="12"/>
  <c r="I15" i="12"/>
  <c r="I11" i="12"/>
  <c r="I9" i="12"/>
  <c r="I5" i="12"/>
  <c r="I7" i="12"/>
  <c r="I12" i="12"/>
  <c r="I18" i="12"/>
  <c r="I19" i="12"/>
  <c r="I17" i="12"/>
  <c r="I10" i="12"/>
  <c r="I13" i="12"/>
  <c r="I16" i="12"/>
  <c r="I20" i="12"/>
  <c r="I8" i="12"/>
  <c r="I14" i="12"/>
  <c r="I6" i="12"/>
  <c r="I21" i="12"/>
  <c r="H28" i="12"/>
  <c r="D14" i="12"/>
  <c r="D10" i="12"/>
  <c r="D21" i="12"/>
  <c r="D17" i="12"/>
  <c r="D5" i="12"/>
  <c r="D9" i="12"/>
  <c r="D13" i="12"/>
  <c r="D18" i="12"/>
  <c r="D7" i="12"/>
  <c r="D11" i="12"/>
  <c r="D15" i="12"/>
  <c r="D20" i="12"/>
  <c r="D8" i="12"/>
  <c r="D12" i="12"/>
  <c r="D6" i="12"/>
  <c r="D16" i="12"/>
  <c r="D22" i="12"/>
  <c r="C28" i="12"/>
  <c r="AA42" i="12"/>
  <c r="AA38" i="12"/>
  <c r="AA56" i="12"/>
  <c r="V57" i="12"/>
  <c r="AA61" i="12"/>
  <c r="Z49" i="12"/>
  <c r="AA43" i="12"/>
  <c r="AA59" i="12"/>
  <c r="AA58" i="12"/>
  <c r="AA64" i="12"/>
  <c r="AA63" i="12"/>
  <c r="AA37" i="12"/>
  <c r="AA41" i="12"/>
  <c r="D58" i="12"/>
  <c r="D57" i="12"/>
  <c r="D42" i="12"/>
  <c r="C49" i="12"/>
  <c r="D63" i="12"/>
  <c r="D36" i="12"/>
  <c r="D38" i="12"/>
  <c r="D41" i="12"/>
  <c r="D37" i="12"/>
  <c r="D61" i="12"/>
  <c r="D64" i="12"/>
  <c r="D60" i="12"/>
  <c r="I60" i="12"/>
  <c r="D39" i="12"/>
  <c r="I56" i="12"/>
  <c r="I38" i="12"/>
  <c r="I37" i="12"/>
  <c r="V59" i="12"/>
  <c r="I41" i="12"/>
  <c r="I62" i="12"/>
  <c r="I40" i="12"/>
  <c r="H49" i="12"/>
  <c r="I39" i="12"/>
  <c r="I43" i="12"/>
  <c r="D43" i="12"/>
  <c r="U49" i="12"/>
  <c r="I36" i="12"/>
  <c r="AA60" i="12"/>
  <c r="I63" i="12"/>
  <c r="J63" i="12" s="1"/>
  <c r="I42" i="12"/>
  <c r="I58" i="12"/>
  <c r="I59" i="12"/>
  <c r="V58" i="12"/>
  <c r="V63" i="12"/>
  <c r="V35" i="12"/>
  <c r="AM46" i="12"/>
  <c r="AN35" i="12" s="1"/>
  <c r="AW35" i="12"/>
  <c r="AW38" i="12"/>
  <c r="V43" i="12"/>
  <c r="V62" i="12"/>
  <c r="AW37" i="12"/>
  <c r="V60" i="12"/>
  <c r="AW43" i="12"/>
  <c r="AA40" i="12"/>
  <c r="AW39" i="12"/>
  <c r="V38" i="12"/>
  <c r="V41" i="12"/>
  <c r="V37" i="12"/>
  <c r="AW62" i="12"/>
  <c r="V39" i="12"/>
  <c r="Z70" i="12"/>
  <c r="AE67" i="12"/>
  <c r="AA54" i="12" s="1"/>
  <c r="AA35" i="12"/>
  <c r="M67" i="12"/>
  <c r="I54" i="12" s="1"/>
  <c r="M46" i="12"/>
  <c r="N41" i="12" s="1"/>
  <c r="V40" i="12"/>
  <c r="AE46" i="12"/>
  <c r="AF57" i="12" s="1"/>
  <c r="AW63" i="12"/>
  <c r="AW58" i="12"/>
  <c r="AW60" i="12"/>
  <c r="V56" i="12"/>
  <c r="AR46" i="12"/>
  <c r="AS35" i="12" s="1"/>
  <c r="AW40" i="12"/>
  <c r="D59" i="12"/>
  <c r="D56" i="12"/>
  <c r="D35" i="12"/>
  <c r="I57" i="12"/>
  <c r="I35" i="12"/>
  <c r="D62" i="12"/>
  <c r="AW57" i="12"/>
  <c r="AW36" i="12"/>
  <c r="V64" i="12"/>
  <c r="AW64" i="12"/>
  <c r="AW59" i="12"/>
  <c r="AM67" i="12"/>
  <c r="AW56" i="12"/>
  <c r="AA62" i="12"/>
  <c r="AR67" i="12"/>
  <c r="AW42" i="12"/>
  <c r="V61" i="12"/>
  <c r="AA57" i="12"/>
  <c r="AA39" i="12"/>
  <c r="V42" i="12"/>
  <c r="AW61" i="12"/>
  <c r="AW41" i="12"/>
  <c r="I61" i="12"/>
  <c r="AW22" i="12"/>
  <c r="M18" i="10"/>
  <c r="O18" i="10" s="1"/>
  <c r="D15" i="10"/>
  <c r="I15" i="10"/>
  <c r="I9" i="10"/>
  <c r="I11" i="10"/>
  <c r="I10" i="10"/>
  <c r="I14" i="10"/>
  <c r="I13" i="10"/>
  <c r="I12" i="10"/>
  <c r="D9" i="10"/>
  <c r="D10" i="10"/>
  <c r="D13" i="10"/>
  <c r="D11" i="10"/>
  <c r="D12" i="10"/>
  <c r="D14" i="10"/>
  <c r="AN21" i="12" l="1"/>
  <c r="AW25" i="12"/>
  <c r="AX20" i="12" s="1"/>
  <c r="AS7" i="12"/>
  <c r="AN19" i="12"/>
  <c r="AS17" i="12"/>
  <c r="AS20" i="12"/>
  <c r="AS16" i="12"/>
  <c r="AS5" i="12"/>
  <c r="AS18" i="12"/>
  <c r="AS10" i="12"/>
  <c r="AS13" i="12"/>
  <c r="AS14" i="12"/>
  <c r="AS8" i="12"/>
  <c r="AS12" i="12"/>
  <c r="AS6" i="12"/>
  <c r="AS11" i="12"/>
  <c r="AS19" i="12"/>
  <c r="AS15" i="12"/>
  <c r="AS9" i="12"/>
  <c r="AM28" i="12"/>
  <c r="AR28" i="12"/>
  <c r="AN5" i="12"/>
  <c r="AN20" i="12"/>
  <c r="AN8" i="12"/>
  <c r="AN18" i="12"/>
  <c r="AN16" i="12"/>
  <c r="AN12" i="12"/>
  <c r="AN15" i="12"/>
  <c r="AN7" i="12"/>
  <c r="AN14" i="12"/>
  <c r="AN10" i="12"/>
  <c r="AN11" i="12"/>
  <c r="AN13" i="12"/>
  <c r="AN17" i="12"/>
  <c r="AN6" i="12"/>
  <c r="AN9" i="12"/>
  <c r="AN22" i="12"/>
  <c r="AF6" i="12"/>
  <c r="AF8" i="12"/>
  <c r="AF21" i="12"/>
  <c r="AF7" i="12"/>
  <c r="AF12" i="12"/>
  <c r="AF5" i="12"/>
  <c r="AF10" i="12"/>
  <c r="AF16" i="12"/>
  <c r="AF17" i="12"/>
  <c r="AF13" i="12"/>
  <c r="AF18" i="12"/>
  <c r="AF15" i="12"/>
  <c r="AF20" i="12"/>
  <c r="AF11" i="12"/>
  <c r="AF19" i="12"/>
  <c r="AF9" i="12"/>
  <c r="AF14" i="12"/>
  <c r="AE28" i="12"/>
  <c r="AF22" i="12"/>
  <c r="W21" i="12"/>
  <c r="W20" i="12" s="1"/>
  <c r="W19" i="12" s="1"/>
  <c r="W18" i="12" s="1"/>
  <c r="W17" i="12" s="1"/>
  <c r="W16" i="12" s="1"/>
  <c r="W15" i="12" s="1"/>
  <c r="W14" i="12" s="1"/>
  <c r="W13" i="12" s="1"/>
  <c r="W12" i="12" s="1"/>
  <c r="W11" i="12" s="1"/>
  <c r="W10" i="12" s="1"/>
  <c r="W9" i="12" s="1"/>
  <c r="W8" i="12" s="1"/>
  <c r="W7" i="12" s="1"/>
  <c r="W6" i="12" s="1"/>
  <c r="W5" i="12" s="1"/>
  <c r="N19" i="12"/>
  <c r="AB21" i="12"/>
  <c r="AB20" i="12" s="1"/>
  <c r="AB19" i="12" s="1"/>
  <c r="AB18" i="12" s="1"/>
  <c r="AB17" i="12" s="1"/>
  <c r="AB16" i="12" s="1"/>
  <c r="AB15" i="12" s="1"/>
  <c r="AB14" i="12" s="1"/>
  <c r="AB13" i="12" s="1"/>
  <c r="AB12" i="12" s="1"/>
  <c r="AB11" i="12" s="1"/>
  <c r="AB10" i="12" s="1"/>
  <c r="AB9" i="12" s="1"/>
  <c r="AB8" i="12" s="1"/>
  <c r="AB7" i="12" s="1"/>
  <c r="AB6" i="12" s="1"/>
  <c r="AB5" i="12" s="1"/>
  <c r="N22" i="12"/>
  <c r="N17" i="12"/>
  <c r="N15" i="12"/>
  <c r="N9" i="12"/>
  <c r="N5" i="12"/>
  <c r="N13" i="12"/>
  <c r="N12" i="12"/>
  <c r="N20" i="12"/>
  <c r="N18" i="12"/>
  <c r="N10" i="12"/>
  <c r="N16" i="12"/>
  <c r="N7" i="12"/>
  <c r="N11" i="12"/>
  <c r="N8" i="12"/>
  <c r="N6" i="12"/>
  <c r="N14" i="12"/>
  <c r="N21" i="12"/>
  <c r="J21" i="12"/>
  <c r="J20" i="12" s="1"/>
  <c r="J19" i="12" s="1"/>
  <c r="J18" i="12" s="1"/>
  <c r="J17" i="12" s="1"/>
  <c r="J16" i="12" s="1"/>
  <c r="J15" i="12" s="1"/>
  <c r="J14" i="12" s="1"/>
  <c r="J13" i="12" s="1"/>
  <c r="J12" i="12" s="1"/>
  <c r="J11" i="12" s="1"/>
  <c r="J10" i="12" s="1"/>
  <c r="J9" i="12" s="1"/>
  <c r="J8" i="12" s="1"/>
  <c r="J7" i="12" s="1"/>
  <c r="J6" i="12" s="1"/>
  <c r="J5" i="12" s="1"/>
  <c r="M28" i="12"/>
  <c r="E21" i="12"/>
  <c r="E20" i="12" s="1"/>
  <c r="E19" i="12" s="1"/>
  <c r="E18" i="12" s="1"/>
  <c r="E17" i="12" s="1"/>
  <c r="E16" i="12" s="1"/>
  <c r="E15" i="12" s="1"/>
  <c r="E14" i="12" s="1"/>
  <c r="E13" i="12" s="1"/>
  <c r="E12" i="12" s="1"/>
  <c r="E11" i="12" s="1"/>
  <c r="E10" i="12" s="1"/>
  <c r="E9" i="12" s="1"/>
  <c r="E8" i="12" s="1"/>
  <c r="E7" i="12" s="1"/>
  <c r="E6" i="12" s="1"/>
  <c r="E5" i="12" s="1"/>
  <c r="AB42" i="12"/>
  <c r="AB41" i="12" s="1"/>
  <c r="AB40" i="12" s="1"/>
  <c r="AB39" i="12" s="1"/>
  <c r="AB38" i="12" s="1"/>
  <c r="AB37" i="12" s="1"/>
  <c r="AB36" i="12" s="1"/>
  <c r="AB35" i="12" s="1"/>
  <c r="AN41" i="12"/>
  <c r="W63" i="12"/>
  <c r="W62" i="12" s="1"/>
  <c r="W61" i="12" s="1"/>
  <c r="W60" i="12" s="1"/>
  <c r="W59" i="12" s="1"/>
  <c r="W58" i="12" s="1"/>
  <c r="W57" i="12" s="1"/>
  <c r="W56" i="12" s="1"/>
  <c r="AN56" i="12"/>
  <c r="AN61" i="12"/>
  <c r="AN64" i="12"/>
  <c r="AN42" i="12"/>
  <c r="E42" i="12"/>
  <c r="E41" i="12" s="1"/>
  <c r="E40" i="12" s="1"/>
  <c r="E39" i="12" s="1"/>
  <c r="E38" i="12" s="1"/>
  <c r="E37" i="12" s="1"/>
  <c r="E36" i="12" s="1"/>
  <c r="E35" i="12" s="1"/>
  <c r="N61" i="12"/>
  <c r="AN36" i="12"/>
  <c r="AF43" i="12"/>
  <c r="N37" i="12"/>
  <c r="AB63" i="12"/>
  <c r="AB62" i="12" s="1"/>
  <c r="AB61" i="12" s="1"/>
  <c r="AB60" i="12" s="1"/>
  <c r="AB59" i="12" s="1"/>
  <c r="AB58" i="12" s="1"/>
  <c r="AB57" i="12" s="1"/>
  <c r="AB56" i="12" s="1"/>
  <c r="AE49" i="12"/>
  <c r="AN58" i="12"/>
  <c r="J42" i="12"/>
  <c r="J41" i="12" s="1"/>
  <c r="J40" i="12" s="1"/>
  <c r="J39" i="12" s="1"/>
  <c r="J38" i="12" s="1"/>
  <c r="J37" i="12" s="1"/>
  <c r="J36" i="12" s="1"/>
  <c r="J35" i="12" s="1"/>
  <c r="E63" i="12"/>
  <c r="E62" i="12" s="1"/>
  <c r="E61" i="12" s="1"/>
  <c r="E60" i="12" s="1"/>
  <c r="E59" i="12" s="1"/>
  <c r="E58" i="12" s="1"/>
  <c r="E57" i="12" s="1"/>
  <c r="E56" i="12" s="1"/>
  <c r="AS62" i="12"/>
  <c r="D3" i="12"/>
  <c r="AA33" i="12"/>
  <c r="AS58" i="12"/>
  <c r="I3" i="12"/>
  <c r="N64" i="12"/>
  <c r="N39" i="12"/>
  <c r="M70" i="12"/>
  <c r="AN39" i="12"/>
  <c r="J62" i="12"/>
  <c r="J61" i="12" s="1"/>
  <c r="J60" i="12" s="1"/>
  <c r="J59" i="12" s="1"/>
  <c r="J58" i="12" s="1"/>
  <c r="J57" i="12" s="1"/>
  <c r="J56" i="12" s="1"/>
  <c r="AN57" i="12"/>
  <c r="AN63" i="12"/>
  <c r="N60" i="12"/>
  <c r="AN60" i="12"/>
  <c r="AF41" i="12"/>
  <c r="V33" i="12"/>
  <c r="N57" i="12"/>
  <c r="D54" i="12"/>
  <c r="N54" i="12" s="1"/>
  <c r="N36" i="12"/>
  <c r="AN59" i="12"/>
  <c r="AN62" i="12"/>
  <c r="N62" i="12"/>
  <c r="V54" i="12"/>
  <c r="AF54" i="12" s="1"/>
  <c r="AF42" i="12"/>
  <c r="AS39" i="12"/>
  <c r="AF37" i="12"/>
  <c r="AF36" i="12"/>
  <c r="AA3" i="12"/>
  <c r="AF3" i="12" s="1"/>
  <c r="AS63" i="12"/>
  <c r="AE70" i="12"/>
  <c r="AS37" i="12"/>
  <c r="AF64" i="12"/>
  <c r="AS56" i="12"/>
  <c r="N59" i="12"/>
  <c r="N58" i="12"/>
  <c r="AF63" i="12"/>
  <c r="W42" i="12"/>
  <c r="W41" i="12" s="1"/>
  <c r="W40" i="12" s="1"/>
  <c r="W39" i="12" s="1"/>
  <c r="W38" i="12" s="1"/>
  <c r="W37" i="12" s="1"/>
  <c r="W36" i="12" s="1"/>
  <c r="W35" i="12" s="1"/>
  <c r="I33" i="12"/>
  <c r="AF38" i="12"/>
  <c r="AS41" i="12"/>
  <c r="AS60" i="12"/>
  <c r="AF58" i="12"/>
  <c r="AW46" i="12"/>
  <c r="AX60" i="12" s="1"/>
  <c r="AS36" i="12"/>
  <c r="AS42" i="12"/>
  <c r="AF56" i="12"/>
  <c r="AF62" i="12"/>
  <c r="AF40" i="12"/>
  <c r="AS64" i="12"/>
  <c r="AF39" i="12"/>
  <c r="AN43" i="12"/>
  <c r="AN38" i="12"/>
  <c r="N43" i="12"/>
  <c r="D33" i="12"/>
  <c r="AR70" i="12"/>
  <c r="N38" i="12"/>
  <c r="M49" i="12"/>
  <c r="N42" i="12"/>
  <c r="N35" i="12"/>
  <c r="AF60" i="12"/>
  <c r="N63" i="12"/>
  <c r="AM49" i="12"/>
  <c r="AN37" i="12"/>
  <c r="AW67" i="12"/>
  <c r="AM70" i="12"/>
  <c r="AF35" i="12"/>
  <c r="AR49" i="12"/>
  <c r="AF59" i="12"/>
  <c r="AS57" i="12"/>
  <c r="AS38" i="12"/>
  <c r="AS22" i="12"/>
  <c r="AS40" i="12"/>
  <c r="AF61" i="12"/>
  <c r="AN40" i="12"/>
  <c r="N56" i="12"/>
  <c r="AS43" i="12"/>
  <c r="N40" i="12"/>
  <c r="AS61" i="12"/>
  <c r="AS59" i="12"/>
  <c r="N10" i="10"/>
  <c r="N14" i="10"/>
  <c r="N9" i="10"/>
  <c r="N11" i="10"/>
  <c r="N13" i="10"/>
  <c r="N12" i="10"/>
  <c r="N15" i="10"/>
  <c r="E14" i="10"/>
  <c r="E13" i="10" s="1"/>
  <c r="E12" i="10" s="1"/>
  <c r="E11" i="10" s="1"/>
  <c r="I6" i="10"/>
  <c r="J14" i="10"/>
  <c r="D6" i="10"/>
  <c r="B7" i="6"/>
  <c r="B8" i="6"/>
  <c r="C8" i="6" l="1"/>
  <c r="AT21" i="12"/>
  <c r="AX19" i="12"/>
  <c r="AX18" i="12"/>
  <c r="AX13" i="12"/>
  <c r="AX5" i="12"/>
  <c r="AX6" i="12"/>
  <c r="AX22" i="12"/>
  <c r="AX15" i="12"/>
  <c r="AX14" i="12"/>
  <c r="AX12" i="12"/>
  <c r="AX8" i="12"/>
  <c r="AX7" i="12"/>
  <c r="AX16" i="12"/>
  <c r="AX21" i="12"/>
  <c r="AX10" i="12"/>
  <c r="AX11" i="12"/>
  <c r="AX17" i="12"/>
  <c r="AX9" i="12"/>
  <c r="AG21" i="12"/>
  <c r="AG20" i="12" s="1"/>
  <c r="AG19" i="12" s="1"/>
  <c r="AG18" i="12" s="1"/>
  <c r="AG17" i="12" s="1"/>
  <c r="AW28" i="12"/>
  <c r="AO21" i="12"/>
  <c r="AO20" i="12" s="1"/>
  <c r="AO19" i="12" s="1"/>
  <c r="AO18" i="12" s="1"/>
  <c r="AO17" i="12" s="1"/>
  <c r="AO16" i="12" s="1"/>
  <c r="AO15" i="12" s="1"/>
  <c r="AO14" i="12" s="1"/>
  <c r="AO13" i="12" s="1"/>
  <c r="AO12" i="12" s="1"/>
  <c r="AO11" i="12" s="1"/>
  <c r="AO10" i="12" s="1"/>
  <c r="AO9" i="12" s="1"/>
  <c r="AO8" i="12" s="1"/>
  <c r="AO7" i="12" s="1"/>
  <c r="AO6" i="12" s="1"/>
  <c r="AO5" i="12" s="1"/>
  <c r="O21" i="12"/>
  <c r="O20" i="12" s="1"/>
  <c r="O19" i="12" s="1"/>
  <c r="O18" i="12" s="1"/>
  <c r="O17" i="12" s="1"/>
  <c r="O16" i="12" s="1"/>
  <c r="O15" i="12" s="1"/>
  <c r="O14" i="12" s="1"/>
  <c r="O13" i="12" s="1"/>
  <c r="O12" i="12" s="1"/>
  <c r="O11" i="12" s="1"/>
  <c r="O10" i="12" s="1"/>
  <c r="O9" i="12" s="1"/>
  <c r="O8" i="12" s="1"/>
  <c r="O7" i="12" s="1"/>
  <c r="O6" i="12" s="1"/>
  <c r="O5" i="12" s="1"/>
  <c r="AO63" i="12"/>
  <c r="AO62" i="12" s="1"/>
  <c r="AO61" i="12" s="1"/>
  <c r="AO60" i="12" s="1"/>
  <c r="AO59" i="12" s="1"/>
  <c r="AO58" i="12" s="1"/>
  <c r="AO57" i="12" s="1"/>
  <c r="AO56" i="12" s="1"/>
  <c r="AX39" i="12"/>
  <c r="AG42" i="12"/>
  <c r="AG41" i="12" s="1"/>
  <c r="AG40" i="12" s="1"/>
  <c r="AG39" i="12" s="1"/>
  <c r="AG38" i="12" s="1"/>
  <c r="AG37" i="12" s="1"/>
  <c r="AG36" i="12" s="1"/>
  <c r="AG35" i="12" s="1"/>
  <c r="AO42" i="12"/>
  <c r="AO41" i="12" s="1"/>
  <c r="AO40" i="12" s="1"/>
  <c r="AO39" i="12" s="1"/>
  <c r="AO38" i="12" s="1"/>
  <c r="AO37" i="12" s="1"/>
  <c r="AO36" i="12" s="1"/>
  <c r="AO35" i="12" s="1"/>
  <c r="O63" i="12"/>
  <c r="O62" i="12" s="1"/>
  <c r="O61" i="12" s="1"/>
  <c r="O60" i="12" s="1"/>
  <c r="O59" i="12" s="1"/>
  <c r="O58" i="12" s="1"/>
  <c r="O57" i="12" s="1"/>
  <c r="O56" i="12" s="1"/>
  <c r="AF33" i="12"/>
  <c r="BB54" i="12"/>
  <c r="AX35" i="12"/>
  <c r="AX64" i="12"/>
  <c r="N3" i="12"/>
  <c r="AX42" i="12"/>
  <c r="AX37" i="12"/>
  <c r="AW49" i="12"/>
  <c r="AX43" i="12"/>
  <c r="AX40" i="12"/>
  <c r="AT42" i="12"/>
  <c r="AT41" i="12" s="1"/>
  <c r="AT40" i="12" s="1"/>
  <c r="AT39" i="12" s="1"/>
  <c r="AT38" i="12" s="1"/>
  <c r="AT37" i="12" s="1"/>
  <c r="AT36" i="12" s="1"/>
  <c r="AT35" i="12" s="1"/>
  <c r="AX56" i="12"/>
  <c r="AT63" i="12"/>
  <c r="AT62" i="12" s="1"/>
  <c r="AT61" i="12" s="1"/>
  <c r="AT60" i="12" s="1"/>
  <c r="AT59" i="12" s="1"/>
  <c r="AT58" i="12" s="1"/>
  <c r="AT57" i="12" s="1"/>
  <c r="AT56" i="12" s="1"/>
  <c r="AG63" i="12"/>
  <c r="AG62" i="12" s="1"/>
  <c r="AG61" i="12" s="1"/>
  <c r="AG60" i="12" s="1"/>
  <c r="AG59" i="12" s="1"/>
  <c r="AG58" i="12" s="1"/>
  <c r="AG57" i="12" s="1"/>
  <c r="AG56" i="12" s="1"/>
  <c r="N33" i="12"/>
  <c r="AX58" i="12"/>
  <c r="AX36" i="12"/>
  <c r="AX61" i="12"/>
  <c r="AN54" i="12"/>
  <c r="AW70" i="12"/>
  <c r="AN3" i="12"/>
  <c r="AS3" i="12"/>
  <c r="AN33" i="12"/>
  <c r="BB33" i="12"/>
  <c r="AS33" i="12"/>
  <c r="AS54" i="12"/>
  <c r="AX57" i="12"/>
  <c r="O42" i="12"/>
  <c r="O41" i="12" s="1"/>
  <c r="O40" i="12" s="1"/>
  <c r="O39" i="12" s="1"/>
  <c r="O38" i="12" s="1"/>
  <c r="O37" i="12" s="1"/>
  <c r="O36" i="12" s="1"/>
  <c r="O35" i="12" s="1"/>
  <c r="AX62" i="12"/>
  <c r="AX38" i="12"/>
  <c r="AX63" i="12"/>
  <c r="AX41" i="12"/>
  <c r="AX59" i="12"/>
  <c r="B10" i="6"/>
  <c r="H4" i="6" s="1"/>
  <c r="E10" i="10"/>
  <c r="E9" i="10" s="1"/>
  <c r="J13" i="10"/>
  <c r="J12" i="10" s="1"/>
  <c r="J11" i="10" s="1"/>
  <c r="J10" i="10" s="1"/>
  <c r="J9" i="10" s="1"/>
  <c r="O14" i="10"/>
  <c r="O13" i="10" s="1"/>
  <c r="O12" i="10" s="1"/>
  <c r="O11" i="10" s="1"/>
  <c r="O10" i="10" s="1"/>
  <c r="O9" i="10" s="1"/>
  <c r="N6" i="10"/>
  <c r="E5" i="6"/>
  <c r="E8" i="6"/>
  <c r="E4" i="6"/>
  <c r="E7" i="6"/>
  <c r="AY21" i="12" l="1"/>
  <c r="AY20" i="12" s="1"/>
  <c r="AY19" i="12" s="1"/>
  <c r="AY18" i="12" s="1"/>
  <c r="AY17" i="12" s="1"/>
  <c r="AY16" i="12" s="1"/>
  <c r="AY15" i="12" s="1"/>
  <c r="AY14" i="12" s="1"/>
  <c r="AY13" i="12" s="1"/>
  <c r="AY12" i="12" s="1"/>
  <c r="AY11" i="12" s="1"/>
  <c r="AY10" i="12" s="1"/>
  <c r="AY9" i="12" s="1"/>
  <c r="AY8" i="12" s="1"/>
  <c r="AY7" i="12" s="1"/>
  <c r="AY6" i="12" s="1"/>
  <c r="AY5" i="12" s="1"/>
  <c r="AG16" i="12"/>
  <c r="AG15" i="12" s="1"/>
  <c r="AG14" i="12" s="1"/>
  <c r="AG13" i="12" s="1"/>
  <c r="AG12" i="12" s="1"/>
  <c r="AG11" i="12" s="1"/>
  <c r="AG10" i="12" s="1"/>
  <c r="AG9" i="12" s="1"/>
  <c r="AG8" i="12" s="1"/>
  <c r="AG7" i="12" s="1"/>
  <c r="AG6" i="12" s="1"/>
  <c r="AG5" i="12" s="1"/>
  <c r="AT20" i="12"/>
  <c r="AT19" i="12" s="1"/>
  <c r="AT18" i="12" s="1"/>
  <c r="AT17" i="12" s="1"/>
  <c r="AT16" i="12" s="1"/>
  <c r="AT15" i="12" s="1"/>
  <c r="AT14" i="12" s="1"/>
  <c r="AT13" i="12" s="1"/>
  <c r="AT12" i="12" s="1"/>
  <c r="AT11" i="12" s="1"/>
  <c r="AT10" i="12" s="1"/>
  <c r="AT9" i="12" s="1"/>
  <c r="AT8" i="12" s="1"/>
  <c r="AT7" i="12" s="1"/>
  <c r="AT6" i="12" s="1"/>
  <c r="AT5" i="12" s="1"/>
  <c r="AY42" i="12"/>
  <c r="AY41" i="12" s="1"/>
  <c r="AY40" i="12" s="1"/>
  <c r="AY39" i="12" s="1"/>
  <c r="AY38" i="12" s="1"/>
  <c r="AY37" i="12" s="1"/>
  <c r="AY36" i="12" s="1"/>
  <c r="AY35" i="12" s="1"/>
  <c r="AY63" i="12"/>
  <c r="AY62" i="12" s="1"/>
  <c r="AY61" i="12" s="1"/>
  <c r="AY60" i="12" s="1"/>
  <c r="AY59" i="12" s="1"/>
  <c r="AY58" i="12" s="1"/>
  <c r="AY57" i="12" s="1"/>
  <c r="AY56" i="12" s="1"/>
  <c r="AX54" i="12"/>
  <c r="AX33" i="12"/>
  <c r="AX3" i="12"/>
  <c r="E10" i="6"/>
  <c r="E12" i="6" s="1"/>
  <c r="J5" i="6"/>
  <c r="K4" i="6"/>
  <c r="H7" i="6"/>
  <c r="G8" i="6"/>
  <c r="G7" i="6"/>
  <c r="G4" i="6"/>
  <c r="G5" i="6"/>
</calcChain>
</file>

<file path=xl/sharedStrings.xml><?xml version="1.0" encoding="utf-8"?>
<sst xmlns="http://schemas.openxmlformats.org/spreadsheetml/2006/main" count="7343" uniqueCount="1769">
  <si>
    <t>ASTURIAS</t>
  </si>
  <si>
    <t>CALLE</t>
  </si>
  <si>
    <t>NIF</t>
  </si>
  <si>
    <t>TITULAR</t>
  </si>
  <si>
    <t>07</t>
  </si>
  <si>
    <t>0076</t>
  </si>
  <si>
    <t>ES77</t>
  </si>
  <si>
    <t>OVIEDO</t>
  </si>
  <si>
    <t>3ºC</t>
  </si>
  <si>
    <t>OTERO</t>
  </si>
  <si>
    <t>10547035V</t>
  </si>
  <si>
    <t>LOPEZ</t>
  </si>
  <si>
    <t>0006233936</t>
  </si>
  <si>
    <t>0081</t>
  </si>
  <si>
    <t>ES30</t>
  </si>
  <si>
    <t>5ºB</t>
  </si>
  <si>
    <t>71701721A</t>
  </si>
  <si>
    <t>0049</t>
  </si>
  <si>
    <t>ES75</t>
  </si>
  <si>
    <t>7º E</t>
  </si>
  <si>
    <t>10886100Q</t>
  </si>
  <si>
    <t>FUERTES</t>
  </si>
  <si>
    <t>SANTIAGO</t>
  </si>
  <si>
    <t>0365</t>
  </si>
  <si>
    <t>2º</t>
  </si>
  <si>
    <t>10865788J</t>
  </si>
  <si>
    <t>0201553484</t>
  </si>
  <si>
    <t>0602</t>
  </si>
  <si>
    <t>0182</t>
  </si>
  <si>
    <t>ES89</t>
  </si>
  <si>
    <t>MARISOBIA@GMAIL.COM</t>
  </si>
  <si>
    <t>GIJÓN</t>
  </si>
  <si>
    <t>5ºC</t>
  </si>
  <si>
    <t>BALEARES</t>
  </si>
  <si>
    <t>10805838R</t>
  </si>
  <si>
    <t>PATALLO</t>
  </si>
  <si>
    <t>0865</t>
  </si>
  <si>
    <t>ES60</t>
  </si>
  <si>
    <t>LANGREO</t>
  </si>
  <si>
    <t>CLAUDIO SANCHEZ ALBORNOZ</t>
  </si>
  <si>
    <t>JACOBO</t>
  </si>
  <si>
    <t>10795695R</t>
  </si>
  <si>
    <t>CIURANA</t>
  </si>
  <si>
    <t>CÓNYUGE</t>
  </si>
  <si>
    <t>0003</t>
  </si>
  <si>
    <t xml:space="preserve">ASTURIAS </t>
  </si>
  <si>
    <t>11022109A</t>
  </si>
  <si>
    <t xml:space="preserve">JULIO </t>
  </si>
  <si>
    <t>53546412C</t>
  </si>
  <si>
    <t>0769</t>
  </si>
  <si>
    <t>ES05</t>
  </si>
  <si>
    <t>1E</t>
  </si>
  <si>
    <t>71702060C</t>
  </si>
  <si>
    <t>09361305Y</t>
  </si>
  <si>
    <t>CASTRO</t>
  </si>
  <si>
    <t>PEREDA</t>
  </si>
  <si>
    <t>AZUCENA</t>
  </si>
  <si>
    <t>0006093119</t>
  </si>
  <si>
    <t>ES85</t>
  </si>
  <si>
    <t>3º DCHA.</t>
  </si>
  <si>
    <t>SANZ CRESPO</t>
  </si>
  <si>
    <t>09366485B</t>
  </si>
  <si>
    <t>VELASCO</t>
  </si>
  <si>
    <t>FERNÁNDEZ</t>
  </si>
  <si>
    <t>REMIGIO</t>
  </si>
  <si>
    <t>71885576L</t>
  </si>
  <si>
    <t>0373</t>
  </si>
  <si>
    <t>15505525Y</t>
  </si>
  <si>
    <t>58435975J</t>
  </si>
  <si>
    <t xml:space="preserve">BLOQUE 15 </t>
  </si>
  <si>
    <t>GRUPO 1500</t>
  </si>
  <si>
    <t>10811555Z</t>
  </si>
  <si>
    <t>CARAVIA</t>
  </si>
  <si>
    <t>VICTORERO</t>
  </si>
  <si>
    <t>53540045R</t>
  </si>
  <si>
    <t>10797719R</t>
  </si>
  <si>
    <t>58436927E</t>
  </si>
  <si>
    <t>0100</t>
  </si>
  <si>
    <t>3ºB</t>
  </si>
  <si>
    <t>53540044T</t>
  </si>
  <si>
    <t>2º I</t>
  </si>
  <si>
    <t>SAN PAULINO</t>
  </si>
  <si>
    <t>53549078H</t>
  </si>
  <si>
    <t>JAIME</t>
  </si>
  <si>
    <t>ARROYO</t>
  </si>
  <si>
    <t>JACOBO@ZITRON.COM</t>
  </si>
  <si>
    <t>P05</t>
  </si>
  <si>
    <t>76952372F</t>
  </si>
  <si>
    <t>0271</t>
  </si>
  <si>
    <t>ES36</t>
  </si>
  <si>
    <t>ESC2-3ºD</t>
  </si>
  <si>
    <t xml:space="preserve">FRANCISCO BANCES CANDAMO </t>
  </si>
  <si>
    <t xml:space="preserve">9363283Y </t>
  </si>
  <si>
    <t>REY</t>
  </si>
  <si>
    <t>ORTIZ</t>
  </si>
  <si>
    <t>MARTA</t>
  </si>
  <si>
    <t>0330151047</t>
  </si>
  <si>
    <t>ES78</t>
  </si>
  <si>
    <t>5ºA</t>
  </si>
  <si>
    <t>MONTECERRAU</t>
  </si>
  <si>
    <t>9366355L</t>
  </si>
  <si>
    <t>CARMEN</t>
  </si>
  <si>
    <t>1465</t>
  </si>
  <si>
    <t>ES90</t>
  </si>
  <si>
    <t>2C</t>
  </si>
  <si>
    <t>PABLO NERUDA</t>
  </si>
  <si>
    <t>71517680P</t>
  </si>
  <si>
    <t>GALBAN</t>
  </si>
  <si>
    <t>ARIAS</t>
  </si>
  <si>
    <t>BENITO</t>
  </si>
  <si>
    <t>09081489P</t>
  </si>
  <si>
    <t>0705</t>
  </si>
  <si>
    <t>ISABEL</t>
  </si>
  <si>
    <t>0006</t>
  </si>
  <si>
    <t>ES67</t>
  </si>
  <si>
    <t>SALAS</t>
  </si>
  <si>
    <t>PRIERO</t>
  </si>
  <si>
    <t>PUEBLO</t>
  </si>
  <si>
    <t>CAMPO</t>
  </si>
  <si>
    <t>JOAQUIN</t>
  </si>
  <si>
    <t>ES32</t>
  </si>
  <si>
    <t>MADRID</t>
  </si>
  <si>
    <t>1ºDCHA</t>
  </si>
  <si>
    <t>SACROMONTE</t>
  </si>
  <si>
    <t>1ºC</t>
  </si>
  <si>
    <t>71627940Y</t>
  </si>
  <si>
    <t>0189</t>
  </si>
  <si>
    <t>ES38</t>
  </si>
  <si>
    <t>4ºD</t>
  </si>
  <si>
    <t>FAMILIA TOLLOS</t>
  </si>
  <si>
    <t>PLAZA</t>
  </si>
  <si>
    <t>9409269S</t>
  </si>
  <si>
    <t>GARCÍA</t>
  </si>
  <si>
    <t>ALVARO</t>
  </si>
  <si>
    <t>0092</t>
  </si>
  <si>
    <t>ES24</t>
  </si>
  <si>
    <t>4ºJ</t>
  </si>
  <si>
    <t>ALAVA</t>
  </si>
  <si>
    <t>11437169M</t>
  </si>
  <si>
    <t>SONIA</t>
  </si>
  <si>
    <t>0360</t>
  </si>
  <si>
    <t>ES40</t>
  </si>
  <si>
    <t>EVAMAR1985@GMAIL.COM</t>
  </si>
  <si>
    <t>1º A</t>
  </si>
  <si>
    <t>ANTONIO MAURA</t>
  </si>
  <si>
    <t>71664232G</t>
  </si>
  <si>
    <t>ALBA</t>
  </si>
  <si>
    <t>0201601546</t>
  </si>
  <si>
    <t>0681</t>
  </si>
  <si>
    <t>ASKDEMAC@GMAIL.COM</t>
  </si>
  <si>
    <t>4ºDCH</t>
  </si>
  <si>
    <t>LA TENDERINA ALTA</t>
  </si>
  <si>
    <t>72065905M</t>
  </si>
  <si>
    <t>ANGEL</t>
  </si>
  <si>
    <t xml:space="preserve">TITULAR </t>
  </si>
  <si>
    <t>71701350T</t>
  </si>
  <si>
    <t>ES42</t>
  </si>
  <si>
    <t>2ºC</t>
  </si>
  <si>
    <t>CARRETERA DE RUBIN</t>
  </si>
  <si>
    <t>11420374T</t>
  </si>
  <si>
    <t>SECADES</t>
  </si>
  <si>
    <t>ES31</t>
  </si>
  <si>
    <t>639 29 25 58</t>
  </si>
  <si>
    <t>NUEVA,  LLANES</t>
  </si>
  <si>
    <t>RIENSENA</t>
  </si>
  <si>
    <t>(LOCALIDAD)</t>
  </si>
  <si>
    <t>9399703V</t>
  </si>
  <si>
    <t>RUISANCHEZ</t>
  </si>
  <si>
    <t>0106</t>
  </si>
  <si>
    <t>1ºB</t>
  </si>
  <si>
    <t>MAR CANTABRICO</t>
  </si>
  <si>
    <t>AVENIDA</t>
  </si>
  <si>
    <t>53540850R</t>
  </si>
  <si>
    <t>ROJO</t>
  </si>
  <si>
    <t>MENÉNDEZ</t>
  </si>
  <si>
    <t>RAQUEL</t>
  </si>
  <si>
    <t>3ºDCHA</t>
  </si>
  <si>
    <t>ARZOBISPO LAUZURICA</t>
  </si>
  <si>
    <t>9414719Z</t>
  </si>
  <si>
    <t>3A</t>
  </si>
  <si>
    <t>CASTILLA</t>
  </si>
  <si>
    <t>10805156D</t>
  </si>
  <si>
    <t>MONTSERRAT</t>
  </si>
  <si>
    <t>0600294495</t>
  </si>
  <si>
    <t>0752</t>
  </si>
  <si>
    <t>1A</t>
  </si>
  <si>
    <t>PUERTO VALLARTA</t>
  </si>
  <si>
    <t>53533040B</t>
  </si>
  <si>
    <t>11075890X</t>
  </si>
  <si>
    <t>FARPÓN</t>
  </si>
  <si>
    <t>LIDIA</t>
  </si>
  <si>
    <t>0031</t>
  </si>
  <si>
    <t>ES11</t>
  </si>
  <si>
    <t>POLA DE LENA</t>
  </si>
  <si>
    <t>SANTA CRISTINA</t>
  </si>
  <si>
    <t>PALACIOS</t>
  </si>
  <si>
    <t>BARROS</t>
  </si>
  <si>
    <t>FRANCISCO JOSÉ</t>
  </si>
  <si>
    <t>ES68</t>
  </si>
  <si>
    <t>2 D</t>
  </si>
  <si>
    <t>20480401M</t>
  </si>
  <si>
    <t>SORIANO</t>
  </si>
  <si>
    <t>VALLE</t>
  </si>
  <si>
    <t>ALEJANDRO</t>
  </si>
  <si>
    <t>73383647P</t>
  </si>
  <si>
    <t>AGUILAR</t>
  </si>
  <si>
    <t>ANTONIO</t>
  </si>
  <si>
    <t>0100087632</t>
  </si>
  <si>
    <t>ES47</t>
  </si>
  <si>
    <t>5ºE</t>
  </si>
  <si>
    <t>JUANIN DE MIERES</t>
  </si>
  <si>
    <t>10857676C</t>
  </si>
  <si>
    <t>10903564T</t>
  </si>
  <si>
    <t>10826637P</t>
  </si>
  <si>
    <t>0142</t>
  </si>
  <si>
    <t>ES86</t>
  </si>
  <si>
    <t>12ºB</t>
  </si>
  <si>
    <t>71594645S</t>
  </si>
  <si>
    <t>0201689878</t>
  </si>
  <si>
    <t>09809366G</t>
  </si>
  <si>
    <t>53528302B</t>
  </si>
  <si>
    <t xml:space="preserve">ALBA </t>
  </si>
  <si>
    <t>VILLAVICIOSA</t>
  </si>
  <si>
    <t>PEON</t>
  </si>
  <si>
    <t>FONFRIA</t>
  </si>
  <si>
    <t>BARRIO</t>
  </si>
  <si>
    <t>10900577A</t>
  </si>
  <si>
    <t>BORBOLLA</t>
  </si>
  <si>
    <t>SIERRA</t>
  </si>
  <si>
    <t>JORGE</t>
  </si>
  <si>
    <t>10832926H</t>
  </si>
  <si>
    <t>09382294L</t>
  </si>
  <si>
    <t>76962633X</t>
  </si>
  <si>
    <t>MARCOS</t>
  </si>
  <si>
    <t>09425388B</t>
  </si>
  <si>
    <t>ROSA</t>
  </si>
  <si>
    <t>0051</t>
  </si>
  <si>
    <t>ES74</t>
  </si>
  <si>
    <t>MARMARF2@GMAIL.COM</t>
  </si>
  <si>
    <t>4ºA</t>
  </si>
  <si>
    <t xml:space="preserve">DE LA FLORIDA </t>
  </si>
  <si>
    <t>PASEO</t>
  </si>
  <si>
    <t>09429950L</t>
  </si>
  <si>
    <t>0100137009</t>
  </si>
  <si>
    <t>6ª P6</t>
  </si>
  <si>
    <t>71692121V</t>
  </si>
  <si>
    <t>ANIA</t>
  </si>
  <si>
    <t>10763646Z</t>
  </si>
  <si>
    <t xml:space="preserve">ANDRES </t>
  </si>
  <si>
    <t>CARLOS</t>
  </si>
  <si>
    <t>0201559627</t>
  </si>
  <si>
    <t>4ºB</t>
  </si>
  <si>
    <t>MARQUES DE URQUIJO</t>
  </si>
  <si>
    <t>53536737M</t>
  </si>
  <si>
    <t>ANDRES</t>
  </si>
  <si>
    <t>76959478 Y</t>
  </si>
  <si>
    <t>9711115D</t>
  </si>
  <si>
    <t>ES18</t>
  </si>
  <si>
    <t>1º B</t>
  </si>
  <si>
    <t>10545709W</t>
  </si>
  <si>
    <t>0330</t>
  </si>
  <si>
    <t>ES23</t>
  </si>
  <si>
    <t>58432903T</t>
  </si>
  <si>
    <t>PENDAS</t>
  </si>
  <si>
    <t>RIESGO</t>
  </si>
  <si>
    <t>DANA</t>
  </si>
  <si>
    <t>10885859M</t>
  </si>
  <si>
    <t>PATRICIA</t>
  </si>
  <si>
    <t>0030</t>
  </si>
  <si>
    <t>ES57</t>
  </si>
  <si>
    <t>2ºA</t>
  </si>
  <si>
    <t>PANADES</t>
  </si>
  <si>
    <t>10892023M</t>
  </si>
  <si>
    <t>DELFIN</t>
  </si>
  <si>
    <t>11316563B</t>
  </si>
  <si>
    <t>0007510960</t>
  </si>
  <si>
    <t>ES43</t>
  </si>
  <si>
    <t>3º F</t>
  </si>
  <si>
    <t>11316542J</t>
  </si>
  <si>
    <t>ES28</t>
  </si>
  <si>
    <t>11349800J</t>
  </si>
  <si>
    <t>0096</t>
  </si>
  <si>
    <t>ES46</t>
  </si>
  <si>
    <t>10876142V</t>
  </si>
  <si>
    <t>LORENZO</t>
  </si>
  <si>
    <t>10900827T</t>
  </si>
  <si>
    <t>ALONSO</t>
  </si>
  <si>
    <t>JAVIER</t>
  </si>
  <si>
    <t>3ºA</t>
  </si>
  <si>
    <t>ALBÉNIZ</t>
  </si>
  <si>
    <t>9439300P</t>
  </si>
  <si>
    <t>RODRÍGUEZ</t>
  </si>
  <si>
    <t>LAURA ESPERANZA</t>
  </si>
  <si>
    <t>0077</t>
  </si>
  <si>
    <t>ES55</t>
  </si>
  <si>
    <t>2ºB</t>
  </si>
  <si>
    <t>10468899N</t>
  </si>
  <si>
    <t>SUÁREZ</t>
  </si>
  <si>
    <t>JUAN JESÚS</t>
  </si>
  <si>
    <t>0330276607</t>
  </si>
  <si>
    <t>06</t>
  </si>
  <si>
    <t>9412172C</t>
  </si>
  <si>
    <t>COVADONGA</t>
  </si>
  <si>
    <t>10905206D</t>
  </si>
  <si>
    <t>ES56</t>
  </si>
  <si>
    <t>1 C</t>
  </si>
  <si>
    <t>53537322S</t>
  </si>
  <si>
    <t>0028</t>
  </si>
  <si>
    <t>ES64</t>
  </si>
  <si>
    <t>10806574R</t>
  </si>
  <si>
    <t>0006418548</t>
  </si>
  <si>
    <t>5ºD</t>
  </si>
  <si>
    <t>AMPURDAN</t>
  </si>
  <si>
    <t>CL</t>
  </si>
  <si>
    <t>TRABANCO</t>
  </si>
  <si>
    <t>ES33</t>
  </si>
  <si>
    <t>10ºP</t>
  </si>
  <si>
    <t>JUAN CARLOS I</t>
  </si>
  <si>
    <t>AVDA</t>
  </si>
  <si>
    <t>10821803G</t>
  </si>
  <si>
    <t>0001379845</t>
  </si>
  <si>
    <t>ES02</t>
  </si>
  <si>
    <t>71849510V</t>
  </si>
  <si>
    <t>VILLADEMOROS</t>
  </si>
  <si>
    <t xml:space="preserve">MARIO </t>
  </si>
  <si>
    <t>ROSALIA DE CASTRO</t>
  </si>
  <si>
    <t>10563894V</t>
  </si>
  <si>
    <t>10580042L</t>
  </si>
  <si>
    <t xml:space="preserve">LORDA </t>
  </si>
  <si>
    <t>MERES(SIERO)</t>
  </si>
  <si>
    <t>11B</t>
  </si>
  <si>
    <t>SAN JUAN DEL OBISPO</t>
  </si>
  <si>
    <t>10806440M</t>
  </si>
  <si>
    <t xml:space="preserve">JORGE LUIS </t>
  </si>
  <si>
    <t>BELLO</t>
  </si>
  <si>
    <t>44426522K</t>
  </si>
  <si>
    <t>CRISTINA</t>
  </si>
  <si>
    <t>0001061511</t>
  </si>
  <si>
    <t>00</t>
  </si>
  <si>
    <t>ES04</t>
  </si>
  <si>
    <t>3ºF</t>
  </si>
  <si>
    <t>JOSE REMIS OVALLE</t>
  </si>
  <si>
    <t>71503106Q</t>
  </si>
  <si>
    <t>FRANCISCO</t>
  </si>
  <si>
    <t>0001006704</t>
  </si>
  <si>
    <t>ES79</t>
  </si>
  <si>
    <t>C/</t>
  </si>
  <si>
    <t>10885354Y</t>
  </si>
  <si>
    <t>10867887L</t>
  </si>
  <si>
    <t>0100195469</t>
  </si>
  <si>
    <t>1º IZDA</t>
  </si>
  <si>
    <t>RUTA DEL ALBA</t>
  </si>
  <si>
    <t>10576839J</t>
  </si>
  <si>
    <t>PRESA</t>
  </si>
  <si>
    <t>COCAÑA</t>
  </si>
  <si>
    <t>AMELIA</t>
  </si>
  <si>
    <t>0117</t>
  </si>
  <si>
    <t>ES20</t>
  </si>
  <si>
    <t>4-C</t>
  </si>
  <si>
    <t>10891588F</t>
  </si>
  <si>
    <t>0134</t>
  </si>
  <si>
    <t>ES66</t>
  </si>
  <si>
    <t>6ºB</t>
  </si>
  <si>
    <t xml:space="preserve">SANTA JUSTA </t>
  </si>
  <si>
    <t xml:space="preserve">CALLE </t>
  </si>
  <si>
    <t>71764557A</t>
  </si>
  <si>
    <t xml:space="preserve">LOBO </t>
  </si>
  <si>
    <t xml:space="preserve">SANTIAGO </t>
  </si>
  <si>
    <t>0003042271</t>
  </si>
  <si>
    <t>4º A</t>
  </si>
  <si>
    <t>09404523F</t>
  </si>
  <si>
    <t>ES21</t>
  </si>
  <si>
    <t>1ºH</t>
  </si>
  <si>
    <t>09779352M</t>
  </si>
  <si>
    <t>10864430N</t>
  </si>
  <si>
    <t>GLEZ</t>
  </si>
  <si>
    <t xml:space="preserve">CARMEN </t>
  </si>
  <si>
    <t>0200044654</t>
  </si>
  <si>
    <t>13-8B</t>
  </si>
  <si>
    <t>HNOS.FELGUEROSO</t>
  </si>
  <si>
    <t>AV</t>
  </si>
  <si>
    <t>10841506 L</t>
  </si>
  <si>
    <t>MONASTERIO</t>
  </si>
  <si>
    <t>0201536818</t>
  </si>
  <si>
    <t>5G</t>
  </si>
  <si>
    <t>71624651Y</t>
  </si>
  <si>
    <t>0075</t>
  </si>
  <si>
    <t>5º -D</t>
  </si>
  <si>
    <t>10809058R</t>
  </si>
  <si>
    <t>PRADA</t>
  </si>
  <si>
    <t xml:space="preserve">ESCANDÓN </t>
  </si>
  <si>
    <t>VÍCTOR</t>
  </si>
  <si>
    <t>ES80</t>
  </si>
  <si>
    <t>4ºI</t>
  </si>
  <si>
    <t>ROCES</t>
  </si>
  <si>
    <t>53543369J</t>
  </si>
  <si>
    <t>DÍAZ</t>
  </si>
  <si>
    <t>LUCÍA</t>
  </si>
  <si>
    <t>0006033014</t>
  </si>
  <si>
    <t>ES26</t>
  </si>
  <si>
    <t>2D</t>
  </si>
  <si>
    <t>RIO EO</t>
  </si>
  <si>
    <t>53537857K</t>
  </si>
  <si>
    <t>BLANCO</t>
  </si>
  <si>
    <t>ELENA</t>
  </si>
  <si>
    <t>0019</t>
  </si>
  <si>
    <t>3 IZDA</t>
  </si>
  <si>
    <t>LIMA</t>
  </si>
  <si>
    <t>REDONDO</t>
  </si>
  <si>
    <t xml:space="preserve">BLANCO </t>
  </si>
  <si>
    <t>53546458C</t>
  </si>
  <si>
    <t xml:space="preserve">NIF </t>
  </si>
  <si>
    <t>BARBES</t>
  </si>
  <si>
    <t>MIGUEL ANGEL</t>
  </si>
  <si>
    <t>0727</t>
  </si>
  <si>
    <t>11ºC</t>
  </si>
  <si>
    <t xml:space="preserve">EZCURDIA </t>
  </si>
  <si>
    <t>53551160F</t>
  </si>
  <si>
    <t>SAN FRANCISCO</t>
  </si>
  <si>
    <t>FUEGO</t>
  </si>
  <si>
    <t>LAURA</t>
  </si>
  <si>
    <t xml:space="preserve">VALLINA </t>
  </si>
  <si>
    <t>MATEO</t>
  </si>
  <si>
    <t>76951619J</t>
  </si>
  <si>
    <t>ROSANA</t>
  </si>
  <si>
    <t>10899776F</t>
  </si>
  <si>
    <t>53646876C</t>
  </si>
  <si>
    <t>6º  I</t>
  </si>
  <si>
    <t>CAVEDA</t>
  </si>
  <si>
    <t>71625683A</t>
  </si>
  <si>
    <t>IGNACIO</t>
  </si>
  <si>
    <t>58483188F</t>
  </si>
  <si>
    <t>58455214R</t>
  </si>
  <si>
    <t>10895200P</t>
  </si>
  <si>
    <t>LOZOYA</t>
  </si>
  <si>
    <t>58470707S</t>
  </si>
  <si>
    <t>DANIEL</t>
  </si>
  <si>
    <t>58445623R</t>
  </si>
  <si>
    <t>SARA</t>
  </si>
  <si>
    <t>DEVA</t>
  </si>
  <si>
    <t>POZOS DE LA ARENA, 188 , DEVA</t>
  </si>
  <si>
    <t>CRTA.</t>
  </si>
  <si>
    <t>10892763D</t>
  </si>
  <si>
    <t>BEGOÑA</t>
  </si>
  <si>
    <t>TRODD</t>
  </si>
  <si>
    <t>COLEMAN</t>
  </si>
  <si>
    <t>JOSHUA</t>
  </si>
  <si>
    <t>BEN</t>
  </si>
  <si>
    <t>OUASSIM@ZITRON.COM</t>
  </si>
  <si>
    <t>CENTRO 5C</t>
  </si>
  <si>
    <t>X2925410V</t>
  </si>
  <si>
    <t>NIE</t>
  </si>
  <si>
    <t>KHEYYALI</t>
  </si>
  <si>
    <t>OUASSIM</t>
  </si>
  <si>
    <t>54305655X</t>
  </si>
  <si>
    <t>ASIER</t>
  </si>
  <si>
    <t>POLA DE SIERO</t>
  </si>
  <si>
    <t>PORTAL 5 BAJO A</t>
  </si>
  <si>
    <t>RIO ESVA</t>
  </si>
  <si>
    <t>53506418T</t>
  </si>
  <si>
    <t>LORDA</t>
  </si>
  <si>
    <t>ADRIAN</t>
  </si>
  <si>
    <t>76948964A</t>
  </si>
  <si>
    <t>VALLINA</t>
  </si>
  <si>
    <t>FERNANDO</t>
  </si>
  <si>
    <t>32886393G</t>
  </si>
  <si>
    <t>X8330031Y</t>
  </si>
  <si>
    <t>09388805K</t>
  </si>
  <si>
    <t>09815544X</t>
  </si>
  <si>
    <t>09813820L</t>
  </si>
  <si>
    <t>3ºD</t>
  </si>
  <si>
    <t>JAPON</t>
  </si>
  <si>
    <t>53535124W</t>
  </si>
  <si>
    <t>CORTINA</t>
  </si>
  <si>
    <t>53648097E</t>
  </si>
  <si>
    <t>DIEGO</t>
  </si>
  <si>
    <t xml:space="preserve">MORAIS SARMENTO </t>
  </si>
  <si>
    <t>INÊS</t>
  </si>
  <si>
    <t>4L</t>
  </si>
  <si>
    <t>MARGARITA SALAS</t>
  </si>
  <si>
    <t>53554253H</t>
  </si>
  <si>
    <t>NOSTI</t>
  </si>
  <si>
    <t>Y2362420N</t>
  </si>
  <si>
    <t>XAVIER MADUREIRA</t>
  </si>
  <si>
    <t xml:space="preserve">ANTONIO </t>
  </si>
  <si>
    <t>X9725309N</t>
  </si>
  <si>
    <t>REBECCA</t>
  </si>
  <si>
    <t>09363946W</t>
  </si>
  <si>
    <t>ROTELLA</t>
  </si>
  <si>
    <t>53549948Z</t>
  </si>
  <si>
    <t>71700924B</t>
  </si>
  <si>
    <t>3º</t>
  </si>
  <si>
    <t>53532124S</t>
  </si>
  <si>
    <t>X-1997427S</t>
  </si>
  <si>
    <t>8G</t>
  </si>
  <si>
    <t>53780479Q</t>
  </si>
  <si>
    <t>53549079L</t>
  </si>
  <si>
    <t>ALAN</t>
  </si>
  <si>
    <t>10814734L</t>
  </si>
  <si>
    <t>PANTN</t>
  </si>
  <si>
    <t>10802737M</t>
  </si>
  <si>
    <t>GALAN</t>
  </si>
  <si>
    <t>JULIO  MANUEL</t>
  </si>
  <si>
    <t>1º C</t>
  </si>
  <si>
    <t>27 C</t>
  </si>
  <si>
    <t>4ºO</t>
  </si>
  <si>
    <t>76946299Y</t>
  </si>
  <si>
    <t>9365177Z</t>
  </si>
  <si>
    <t xml:space="preserve">RAFAEL </t>
  </si>
  <si>
    <t>DE MOREDA</t>
  </si>
  <si>
    <t>53529145A</t>
  </si>
  <si>
    <t>CUETO</t>
  </si>
  <si>
    <t>DAVID</t>
  </si>
  <si>
    <t>09409448X</t>
  </si>
  <si>
    <t>7º D</t>
  </si>
  <si>
    <t>09422854F</t>
  </si>
  <si>
    <t>53550893Q</t>
  </si>
  <si>
    <t>SIERO</t>
  </si>
  <si>
    <t>7D</t>
  </si>
  <si>
    <t>POLADURA</t>
  </si>
  <si>
    <t>53534858N</t>
  </si>
  <si>
    <t>ADOLFO ANTONIO</t>
  </si>
  <si>
    <t>53527580W</t>
  </si>
  <si>
    <t xml:space="preserve">AINHOA </t>
  </si>
  <si>
    <t>53775938Y</t>
  </si>
  <si>
    <t>10820609Y</t>
  </si>
  <si>
    <t>53547246A</t>
  </si>
  <si>
    <t>PRADO</t>
  </si>
  <si>
    <t>SOFIA</t>
  </si>
  <si>
    <t>10806672F</t>
  </si>
  <si>
    <t>PANDO</t>
  </si>
  <si>
    <t>CIMADEVILLA Nº 160 QUINTES</t>
  </si>
  <si>
    <t>10803336Y</t>
  </si>
  <si>
    <t>FOMBONA</t>
  </si>
  <si>
    <t>35573863Q</t>
  </si>
  <si>
    <t>VERDE</t>
  </si>
  <si>
    <t xml:space="preserve">ISABEL </t>
  </si>
  <si>
    <t>3C</t>
  </si>
  <si>
    <t>FEIJOO</t>
  </si>
  <si>
    <t>53547531N</t>
  </si>
  <si>
    <t>53526225G</t>
  </si>
  <si>
    <t>SANTOS</t>
  </si>
  <si>
    <t>SEILA</t>
  </si>
  <si>
    <t>1º DERECHA</t>
  </si>
  <si>
    <t>ALCARRIA</t>
  </si>
  <si>
    <t>10902897T</t>
  </si>
  <si>
    <t>ÁLVAREZ</t>
  </si>
  <si>
    <t>BARBÓN</t>
  </si>
  <si>
    <t>MARCO FABIO</t>
  </si>
  <si>
    <t>10799785C</t>
  </si>
  <si>
    <t>SANTAMARINA</t>
  </si>
  <si>
    <t>CARBAJALES</t>
  </si>
  <si>
    <t>MARCELINO GONZALEZ</t>
  </si>
  <si>
    <t>10795752N</t>
  </si>
  <si>
    <t>JUAN LUIS</t>
  </si>
  <si>
    <t>2ºD</t>
  </si>
  <si>
    <t>10877574T</t>
  </si>
  <si>
    <t>JONATHAN</t>
  </si>
  <si>
    <t>53783899D</t>
  </si>
  <si>
    <t>RABANAL</t>
  </si>
  <si>
    <t>CADRECHA</t>
  </si>
  <si>
    <t>CLAUDIA</t>
  </si>
  <si>
    <t>10864228V</t>
  </si>
  <si>
    <t>ARGÜELLES</t>
  </si>
  <si>
    <t>IRENE</t>
  </si>
  <si>
    <t>6ºDCHA - ESC. IZQDA.</t>
  </si>
  <si>
    <t>VIZCAINA</t>
  </si>
  <si>
    <t>CTRA.</t>
  </si>
  <si>
    <t>10881726N</t>
  </si>
  <si>
    <t>X7576874F</t>
  </si>
  <si>
    <t>FONOV</t>
  </si>
  <si>
    <t>OLEG</t>
  </si>
  <si>
    <t>2B</t>
  </si>
  <si>
    <t>09804851C</t>
  </si>
  <si>
    <t>58455213T</t>
  </si>
  <si>
    <t>53535641J</t>
  </si>
  <si>
    <t>53538078N</t>
  </si>
  <si>
    <t>VACAS</t>
  </si>
  <si>
    <t>MONICA</t>
  </si>
  <si>
    <t>SEPA</t>
  </si>
  <si>
    <t>ZITRON</t>
  </si>
  <si>
    <t>S</t>
  </si>
  <si>
    <t>1B</t>
  </si>
  <si>
    <t>1C</t>
  </si>
  <si>
    <t>2A</t>
  </si>
  <si>
    <t>MONTESERIN</t>
  </si>
  <si>
    <t>11082417M</t>
  </si>
  <si>
    <t>AVDA.</t>
  </si>
  <si>
    <t>DE LA COSTA</t>
  </si>
  <si>
    <t>9º IZQDA.</t>
  </si>
  <si>
    <t>0136</t>
  </si>
  <si>
    <t>DANIELA</t>
  </si>
  <si>
    <t>58445027A</t>
  </si>
  <si>
    <t>1D</t>
  </si>
  <si>
    <t>2E</t>
  </si>
  <si>
    <t>3B</t>
  </si>
  <si>
    <t>43663412M</t>
  </si>
  <si>
    <t>4B</t>
  </si>
  <si>
    <t>4A</t>
  </si>
  <si>
    <t>5A</t>
  </si>
  <si>
    <t>5B</t>
  </si>
  <si>
    <t>5C</t>
  </si>
  <si>
    <t>6A</t>
  </si>
  <si>
    <t>7A</t>
  </si>
  <si>
    <t>7B</t>
  </si>
  <si>
    <t>8A</t>
  </si>
  <si>
    <t>8B</t>
  </si>
  <si>
    <t>9A</t>
  </si>
  <si>
    <t>10A</t>
  </si>
  <si>
    <t>11A</t>
  </si>
  <si>
    <t>12A</t>
  </si>
  <si>
    <t>13A</t>
  </si>
  <si>
    <t>13B</t>
  </si>
  <si>
    <t>13C</t>
  </si>
  <si>
    <t>14A</t>
  </si>
  <si>
    <t>14B</t>
  </si>
  <si>
    <t>14C</t>
  </si>
  <si>
    <t>15A</t>
  </si>
  <si>
    <t>15B</t>
  </si>
  <si>
    <t>15C</t>
  </si>
  <si>
    <t>16A</t>
  </si>
  <si>
    <t>16B</t>
  </si>
  <si>
    <t>16C</t>
  </si>
  <si>
    <t>17A</t>
  </si>
  <si>
    <t>18A</t>
  </si>
  <si>
    <t>18B</t>
  </si>
  <si>
    <t>18C</t>
  </si>
  <si>
    <t>19A</t>
  </si>
  <si>
    <t>20A</t>
  </si>
  <si>
    <t>20B</t>
  </si>
  <si>
    <t>21A</t>
  </si>
  <si>
    <t>21B</t>
  </si>
  <si>
    <t>22A</t>
  </si>
  <si>
    <t>23A</t>
  </si>
  <si>
    <t>24A</t>
  </si>
  <si>
    <t>25A</t>
  </si>
  <si>
    <t>26A</t>
  </si>
  <si>
    <t>27A</t>
  </si>
  <si>
    <t>27B</t>
  </si>
  <si>
    <t>29A</t>
  </si>
  <si>
    <t>29B</t>
  </si>
  <si>
    <t>29C</t>
  </si>
  <si>
    <t>30A</t>
  </si>
  <si>
    <t>30B</t>
  </si>
  <si>
    <t>30C</t>
  </si>
  <si>
    <t>30D</t>
  </si>
  <si>
    <t>M</t>
  </si>
  <si>
    <t>31A</t>
  </si>
  <si>
    <t>31B</t>
  </si>
  <si>
    <t>31C</t>
  </si>
  <si>
    <t>32A</t>
  </si>
  <si>
    <t>33A</t>
  </si>
  <si>
    <t>34A</t>
  </si>
  <si>
    <t>34B</t>
  </si>
  <si>
    <t>34C</t>
  </si>
  <si>
    <t>35A</t>
  </si>
  <si>
    <t>36A</t>
  </si>
  <si>
    <t>36B</t>
  </si>
  <si>
    <t>37B</t>
  </si>
  <si>
    <t>37A</t>
  </si>
  <si>
    <t>37C</t>
  </si>
  <si>
    <t>38A</t>
  </si>
  <si>
    <t>38B</t>
  </si>
  <si>
    <t>FLOR</t>
  </si>
  <si>
    <t>71655521X</t>
  </si>
  <si>
    <t>H</t>
  </si>
  <si>
    <t>GIL BLAS</t>
  </si>
  <si>
    <t>JORGE.FLORBLANCO@GMAIL.COM</t>
  </si>
  <si>
    <t>MÉNDEZ-LAIZ</t>
  </si>
  <si>
    <t>PENDÁS</t>
  </si>
  <si>
    <t>71651423Y</t>
  </si>
  <si>
    <t>39A</t>
  </si>
  <si>
    <t>39B</t>
  </si>
  <si>
    <t>BERNARDO</t>
  </si>
  <si>
    <t>DEL FUEYO</t>
  </si>
  <si>
    <t>10901389X</t>
  </si>
  <si>
    <t>ORAN</t>
  </si>
  <si>
    <t>3º J</t>
  </si>
  <si>
    <t>40A</t>
  </si>
  <si>
    <t xml:space="preserve">CAMACHO </t>
  </si>
  <si>
    <t>CABANILLAS</t>
  </si>
  <si>
    <t>02285218F</t>
  </si>
  <si>
    <t>TORDELILLOS</t>
  </si>
  <si>
    <t>DCAMACHO@ZITRON.COM</t>
  </si>
  <si>
    <t>41A</t>
  </si>
  <si>
    <t>42A</t>
  </si>
  <si>
    <t>42B</t>
  </si>
  <si>
    <t>43A</t>
  </si>
  <si>
    <t>43B</t>
  </si>
  <si>
    <t>44A</t>
  </si>
  <si>
    <t>45A</t>
  </si>
  <si>
    <t>46A</t>
  </si>
  <si>
    <t>46B</t>
  </si>
  <si>
    <t>47A</t>
  </si>
  <si>
    <t>47B</t>
  </si>
  <si>
    <t>48A</t>
  </si>
  <si>
    <t>49A</t>
  </si>
  <si>
    <t>49B</t>
  </si>
  <si>
    <t>50A</t>
  </si>
  <si>
    <t>51A</t>
  </si>
  <si>
    <t>52A</t>
  </si>
  <si>
    <t>53A</t>
  </si>
  <si>
    <t>54A</t>
  </si>
  <si>
    <t>55A</t>
  </si>
  <si>
    <t>55B</t>
  </si>
  <si>
    <t>56A</t>
  </si>
  <si>
    <t>56B</t>
  </si>
  <si>
    <t>57A</t>
  </si>
  <si>
    <t>57B</t>
  </si>
  <si>
    <t>57C</t>
  </si>
  <si>
    <t>58A</t>
  </si>
  <si>
    <t>58B</t>
  </si>
  <si>
    <t>59A</t>
  </si>
  <si>
    <t>59B</t>
  </si>
  <si>
    <t>60A</t>
  </si>
  <si>
    <t>61A</t>
  </si>
  <si>
    <t>62A</t>
  </si>
  <si>
    <t>63A</t>
  </si>
  <si>
    <t>64A</t>
  </si>
  <si>
    <t>65A</t>
  </si>
  <si>
    <t>66A</t>
  </si>
  <si>
    <t>67A</t>
  </si>
  <si>
    <t>68A</t>
  </si>
  <si>
    <t>68B</t>
  </si>
  <si>
    <t>98A</t>
  </si>
  <si>
    <t>69A</t>
  </si>
  <si>
    <t>70A</t>
  </si>
  <si>
    <t>70B</t>
  </si>
  <si>
    <t>53529456S</t>
  </si>
  <si>
    <t>N</t>
  </si>
  <si>
    <t>S16</t>
  </si>
  <si>
    <t>ZITRON JUB</t>
  </si>
  <si>
    <t>S14</t>
  </si>
  <si>
    <t>S2</t>
  </si>
  <si>
    <t>25B</t>
  </si>
  <si>
    <t>25C</t>
  </si>
  <si>
    <t>S6</t>
  </si>
  <si>
    <t>71A</t>
  </si>
  <si>
    <t>71B</t>
  </si>
  <si>
    <t>28A</t>
  </si>
  <si>
    <t>71C</t>
  </si>
  <si>
    <t>72A</t>
  </si>
  <si>
    <t>73A</t>
  </si>
  <si>
    <t>73B</t>
  </si>
  <si>
    <t>73C</t>
  </si>
  <si>
    <t>74A</t>
  </si>
  <si>
    <t>74B</t>
  </si>
  <si>
    <t>74C</t>
  </si>
  <si>
    <t>75A</t>
  </si>
  <si>
    <t>76A</t>
  </si>
  <si>
    <t>76B</t>
  </si>
  <si>
    <t>76C</t>
  </si>
  <si>
    <t>77A</t>
  </si>
  <si>
    <t>78A</t>
  </si>
  <si>
    <t>78B</t>
  </si>
  <si>
    <t>79A</t>
  </si>
  <si>
    <t>79B</t>
  </si>
  <si>
    <t>79C</t>
  </si>
  <si>
    <t>80A</t>
  </si>
  <si>
    <t>80B</t>
  </si>
  <si>
    <t>80C</t>
  </si>
  <si>
    <t>81A</t>
  </si>
  <si>
    <t>82A</t>
  </si>
  <si>
    <t>82B</t>
  </si>
  <si>
    <t>83A</t>
  </si>
  <si>
    <t>84A</t>
  </si>
  <si>
    <t>85A</t>
  </si>
  <si>
    <t>86A</t>
  </si>
  <si>
    <t>87A</t>
  </si>
  <si>
    <t>87B</t>
  </si>
  <si>
    <t>88A</t>
  </si>
  <si>
    <t>87C</t>
  </si>
  <si>
    <t>89A</t>
  </si>
  <si>
    <t>90A</t>
  </si>
  <si>
    <t>91A</t>
  </si>
  <si>
    <t>92A</t>
  </si>
  <si>
    <t>93A</t>
  </si>
  <si>
    <t>94A</t>
  </si>
  <si>
    <t>94B</t>
  </si>
  <si>
    <t>95A</t>
  </si>
  <si>
    <t>95B</t>
  </si>
  <si>
    <t>97A</t>
  </si>
  <si>
    <t>96A</t>
  </si>
  <si>
    <t>99A</t>
  </si>
  <si>
    <t>100A</t>
  </si>
  <si>
    <t>101A</t>
  </si>
  <si>
    <t>101B</t>
  </si>
  <si>
    <t>101C</t>
  </si>
  <si>
    <t>101D</t>
  </si>
  <si>
    <t>102A</t>
  </si>
  <si>
    <t>102B</t>
  </si>
  <si>
    <t>103A</t>
  </si>
  <si>
    <t>103B</t>
  </si>
  <si>
    <t>104A</t>
  </si>
  <si>
    <t>104B</t>
  </si>
  <si>
    <t>105A</t>
  </si>
  <si>
    <t>105B</t>
  </si>
  <si>
    <t>106A</t>
  </si>
  <si>
    <t>106B</t>
  </si>
  <si>
    <t>107A</t>
  </si>
  <si>
    <t>99B</t>
  </si>
  <si>
    <t>99C</t>
  </si>
  <si>
    <t>108A</t>
  </si>
  <si>
    <t>109A</t>
  </si>
  <si>
    <t>ASCAZ HOSPITALARIA</t>
  </si>
  <si>
    <t>ASCAZ AMBULATORIA</t>
  </si>
  <si>
    <t>28B</t>
  </si>
  <si>
    <t>ZITRON PRE</t>
  </si>
  <si>
    <t>DC</t>
  </si>
  <si>
    <t>IBAN</t>
  </si>
  <si>
    <t>ANT 2011</t>
  </si>
  <si>
    <t>DESP</t>
  </si>
  <si>
    <t>S1</t>
  </si>
  <si>
    <t>ANT2011</t>
  </si>
  <si>
    <t>HERMAN@</t>
  </si>
  <si>
    <t>HIJ@</t>
  </si>
  <si>
    <t>TI@</t>
  </si>
  <si>
    <t>A</t>
  </si>
  <si>
    <t>PROGENITOR@</t>
  </si>
  <si>
    <t>Nº SOCIO</t>
  </si>
  <si>
    <t>VINCULACION</t>
  </si>
  <si>
    <t>FECHA DE ALTA</t>
  </si>
  <si>
    <t>FECHA BAJA</t>
  </si>
  <si>
    <t>S. MEDICO</t>
  </si>
  <si>
    <t>MODALIDAD</t>
  </si>
  <si>
    <t>PARENTESCO</t>
  </si>
  <si>
    <t>NOMBRE</t>
  </si>
  <si>
    <t>APELLIDO 1</t>
  </si>
  <si>
    <t>APELLIDO 2</t>
  </si>
  <si>
    <t>DOC.</t>
  </si>
  <si>
    <t>NÚMERO NIF</t>
  </si>
  <si>
    <t>SEXO</t>
  </si>
  <si>
    <t>TIPO VÍA</t>
  </si>
  <si>
    <t>DIRECCIÓN</t>
  </si>
  <si>
    <t>RESTO</t>
  </si>
  <si>
    <t>PROVINCIA</t>
  </si>
  <si>
    <t>POBLACIÓN</t>
  </si>
  <si>
    <t>TELÉFONO</t>
  </si>
  <si>
    <t>E-MAIL</t>
  </si>
  <si>
    <t>BANCO</t>
  </si>
  <si>
    <t>SUCURSAL</t>
  </si>
  <si>
    <t>CUENTA</t>
  </si>
  <si>
    <t>INSCRIPCION</t>
  </si>
  <si>
    <t>MONTSERRATDECARDENAS@GMAIL.COM</t>
  </si>
  <si>
    <t>JOSÉ CARLOS</t>
  </si>
  <si>
    <t>ALVARO DE ALBORNOZ</t>
  </si>
  <si>
    <t>JCOTEROJR@GMAIL.COM</t>
  </si>
  <si>
    <t>CAMPOS</t>
  </si>
  <si>
    <t>PERI</t>
  </si>
  <si>
    <t>GADÍA</t>
  </si>
  <si>
    <t>NELA</t>
  </si>
  <si>
    <t>CAROLINA</t>
  </si>
  <si>
    <t>SANJURJO</t>
  </si>
  <si>
    <t>PEDRO PABLO</t>
  </si>
  <si>
    <t>CALIBLANCOS@GMAIL.COM</t>
  </si>
  <si>
    <t xml:space="preserve">RIVERO </t>
  </si>
  <si>
    <t>CAMINO</t>
  </si>
  <si>
    <t>DE LA LLOSA</t>
  </si>
  <si>
    <t>LA FRESNEDA</t>
  </si>
  <si>
    <t>OLEG.FONOV@GMAIL.COM</t>
  </si>
  <si>
    <t>CADRECHA@GMAIL.COM</t>
  </si>
  <si>
    <t>JONGARCAR@GMAIL.COM</t>
  </si>
  <si>
    <t>JLFOMBONA@GMAIL.COM</t>
  </si>
  <si>
    <t>MARCOFABIOBARBON@GMAIL.COM</t>
  </si>
  <si>
    <t>PUERTAS</t>
  </si>
  <si>
    <t>JAVIERPUERTAS82@GMAIL.COM</t>
  </si>
  <si>
    <t>IPEREZVERDE@GMAIL.COM</t>
  </si>
  <si>
    <t xml:space="preserve">JAMF.QUINTES@GMAIL.COM </t>
  </si>
  <si>
    <t>SOFIAPRADO85@GMAIL.COM</t>
  </si>
  <si>
    <t>NEMESIO ENRIQUE</t>
  </si>
  <si>
    <t>PARAJÓN</t>
  </si>
  <si>
    <t>SOLARES</t>
  </si>
  <si>
    <t>SAN RAFAEL</t>
  </si>
  <si>
    <t>PARAJONENRIQUE@GMAIL.COM</t>
  </si>
  <si>
    <t>AMAYA</t>
  </si>
  <si>
    <t>ANTÓN</t>
  </si>
  <si>
    <t>ENRIQUE</t>
  </si>
  <si>
    <t>ADRIALORDA@YAHOO.ES</t>
  </si>
  <si>
    <t>ADOLFO.TRABANCO@GMAIL.COM</t>
  </si>
  <si>
    <t>GONZALEZ BESADA</t>
  </si>
  <si>
    <t>MARTAFER3107@GMAIL.COM</t>
  </si>
  <si>
    <t xml:space="preserve">DAVID </t>
  </si>
  <si>
    <t>DAVIDYATUSABES84@GMAIL.COM</t>
  </si>
  <si>
    <t>BEGOMARSU@GMAIL.COM</t>
  </si>
  <si>
    <t>RAFAMDEZ123@GMAIL.COM</t>
  </si>
  <si>
    <t>AVDA. ROCES</t>
  </si>
  <si>
    <t>ALEVALLI@HOTMAIL.ES</t>
  </si>
  <si>
    <t>LUIS ALBERTO</t>
  </si>
  <si>
    <t>10901147K</t>
  </si>
  <si>
    <t>CARRETERA VIZCAINA</t>
  </si>
  <si>
    <t>LORETO</t>
  </si>
  <si>
    <t>AVELLO</t>
  </si>
  <si>
    <t>71643810Y</t>
  </si>
  <si>
    <t>JMAG1000@GMAIL.COM</t>
  </si>
  <si>
    <t>ALAN@ZITRON.COM</t>
  </si>
  <si>
    <t>ASMA</t>
  </si>
  <si>
    <t>OUAZZANI</t>
  </si>
  <si>
    <t>TOUHAMI</t>
  </si>
  <si>
    <t>OUAZZANI@ZITRON.COM</t>
  </si>
  <si>
    <t xml:space="preserve">YUNLONG </t>
  </si>
  <si>
    <t>ZHAO</t>
  </si>
  <si>
    <t>LA PLAYA</t>
  </si>
  <si>
    <t>YLZTELECO@GMAIL.COM</t>
  </si>
  <si>
    <t>AVELINO</t>
  </si>
  <si>
    <t>CADIERNO</t>
  </si>
  <si>
    <t>LA ALEGRÍA</t>
  </si>
  <si>
    <t>AD.CADIERNO@GMAIL.COM</t>
  </si>
  <si>
    <t>FLOREZ</t>
  </si>
  <si>
    <t>GABRIELACADIERNOFLOREZ@HOTMAIL.COM</t>
  </si>
  <si>
    <t>ISAAC</t>
  </si>
  <si>
    <t>VILLAVERDE</t>
  </si>
  <si>
    <t>SAGRADO CORAZÓN</t>
  </si>
  <si>
    <t>ISAACVICU@GMAIL.COM</t>
  </si>
  <si>
    <t>VALDÉS</t>
  </si>
  <si>
    <t>URRACA</t>
  </si>
  <si>
    <t>FERNANDO VILLAAMIL</t>
  </si>
  <si>
    <t>DAVURRACA@HOTMAIL.COM</t>
  </si>
  <si>
    <t xml:space="preserve">BEGOÑA </t>
  </si>
  <si>
    <t>XURDESIERRA@GMAIL.COM</t>
  </si>
  <si>
    <t>ALBUUX@GMAIL.COM</t>
  </si>
  <si>
    <t>IVELASCO@ZITRON.COM</t>
  </si>
  <si>
    <t>ROSA.PALACIOS27@GMAIL.COM</t>
  </si>
  <si>
    <t>LUCIA.FDEZ.PALACIOS@GMAIL.COM</t>
  </si>
  <si>
    <t>ICAMADUREIRA@GMAIL.COM</t>
  </si>
  <si>
    <t>LUCIAESCANDON@GMAIL.COM</t>
  </si>
  <si>
    <t>DIEGO_PATALLO@ICLOUD.COM</t>
  </si>
  <si>
    <t>ADRIAN.MENCOR@GMAIL.COM</t>
  </si>
  <si>
    <t>JUAN CARLOS</t>
  </si>
  <si>
    <t xml:space="preserve">ALONSO </t>
  </si>
  <si>
    <t>CANDANEDO</t>
  </si>
  <si>
    <t>TORNER</t>
  </si>
  <si>
    <t>PISO 2IZQ</t>
  </si>
  <si>
    <t>LUGONES</t>
  </si>
  <si>
    <t>ALONSCAND@GMAIL.COM</t>
  </si>
  <si>
    <t>JENNIFER</t>
  </si>
  <si>
    <t>DA SILVA</t>
  </si>
  <si>
    <t>CALLADO</t>
  </si>
  <si>
    <t>JENNYX_@HOTMAIL.COM</t>
  </si>
  <si>
    <t>PAULA</t>
  </si>
  <si>
    <t>JUSTO</t>
  </si>
  <si>
    <t>ANGEL MUÑIZ TOCA</t>
  </si>
  <si>
    <t>JUSTOSUAR@GMAIL.COM</t>
  </si>
  <si>
    <t>VICTORIA KATE</t>
  </si>
  <si>
    <t>TILLEY</t>
  </si>
  <si>
    <t>LA REGUERA</t>
  </si>
  <si>
    <t>VKTILLEY33@GMAIL.COM</t>
  </si>
  <si>
    <t>JOSE IGNACIO</t>
  </si>
  <si>
    <t>ANTUÑA</t>
  </si>
  <si>
    <t>NACHO.CHOSS@GMAIL.COM</t>
  </si>
  <si>
    <t>ROSANA@ZITRON.COM</t>
  </si>
  <si>
    <t>FERNANDO.VALLINA@INGEMAS.COM</t>
  </si>
  <si>
    <t>DOMÍNGUEZ</t>
  </si>
  <si>
    <t>PIÑERES</t>
  </si>
  <si>
    <t>CANDÁS</t>
  </si>
  <si>
    <t>ENRIQUE@ZITRON.COM</t>
  </si>
  <si>
    <t>ANA MARÍA</t>
  </si>
  <si>
    <t>HERNÁNDEZ</t>
  </si>
  <si>
    <t>ANAHDEZAYF@HOTMAIL.COM</t>
  </si>
  <si>
    <t>IRE.LAIZ@GMAIL.COM</t>
  </si>
  <si>
    <t>BERNAR2009@HOTMAIL.ES</t>
  </si>
  <si>
    <t>EVAGMONTESERIN@GMAIL.COM</t>
  </si>
  <si>
    <t>LAURAFUEGO@GMAIL.COM</t>
  </si>
  <si>
    <t>MABARBES@GMAIL.COM</t>
  </si>
  <si>
    <t>ADELA.BLARED@GMAIL.COM</t>
  </si>
  <si>
    <t>ELEFDEZBLANCO@GMAIL.COM</t>
  </si>
  <si>
    <t>LUGIJON@HOTMAIL.COM</t>
  </si>
  <si>
    <t>MANUEL A.</t>
  </si>
  <si>
    <t>RIONDA</t>
  </si>
  <si>
    <t>DANIEL MOYANO</t>
  </si>
  <si>
    <t>MMRIONDA@GMAIL.COM</t>
  </si>
  <si>
    <t>09429949H</t>
  </si>
  <si>
    <t>MOLIN LA CASUCA</t>
  </si>
  <si>
    <t xml:space="preserve">FERMARCOS.FDEZ@GMAIL.COM </t>
  </si>
  <si>
    <t>ANMOBEN@YAHOO.ES</t>
  </si>
  <si>
    <t xml:space="preserve">IGNACIO </t>
  </si>
  <si>
    <t>RIVERO</t>
  </si>
  <si>
    <t>AV.</t>
  </si>
  <si>
    <t>IGNACIORIVEROFDEZ@GMAIL.COM</t>
  </si>
  <si>
    <t>JOSÉ JAVIER</t>
  </si>
  <si>
    <t>LARRACELETA</t>
  </si>
  <si>
    <t>GANADEROS ASTURIANOS</t>
  </si>
  <si>
    <t>JJALARRA@YAHOO.ES</t>
  </si>
  <si>
    <t>SANTIAGODLOBO@GMAIL.COM</t>
  </si>
  <si>
    <t>HECTOR ERADIO</t>
  </si>
  <si>
    <t>DONOSO CORTES</t>
  </si>
  <si>
    <t>HECTOR.ERADIO@GMAIL.COM</t>
  </si>
  <si>
    <t>ANA PILAR</t>
  </si>
  <si>
    <t>MALNERO</t>
  </si>
  <si>
    <t>ANAMALNERO1969@GMAIL.COM</t>
  </si>
  <si>
    <t>LUIS LEANDRO</t>
  </si>
  <si>
    <t xml:space="preserve">MILLÁN </t>
  </si>
  <si>
    <t>LAVOISIN1973@GMAIL.COM</t>
  </si>
  <si>
    <t>RAFAEL</t>
  </si>
  <si>
    <t>EZCURDIA</t>
  </si>
  <si>
    <t>LOZOYAMX@GMAIL.COM</t>
  </si>
  <si>
    <t>MERCEDES</t>
  </si>
  <si>
    <t>ARRIBAS</t>
  </si>
  <si>
    <t>MERCEVAK@TELECABLE.ES</t>
  </si>
  <si>
    <t>FRANGGARCI@HOTMAIL.COM</t>
  </si>
  <si>
    <t>CRISBELLOD@HOTMAIL.COM</t>
  </si>
  <si>
    <t>NOFERTRA@HOTMAIL.COM</t>
  </si>
  <si>
    <t>ASPIROZ</t>
  </si>
  <si>
    <t>MELCÓN</t>
  </si>
  <si>
    <t>CERIÑOLA</t>
  </si>
  <si>
    <t>ASPIMEL@GMAIL.COM</t>
  </si>
  <si>
    <t>NOEMÍ</t>
  </si>
  <si>
    <t>NOEMIDE6@GMAIL.COM</t>
  </si>
  <si>
    <t>LUIS JAVIER</t>
  </si>
  <si>
    <t>53527470F</t>
  </si>
  <si>
    <t>LUISJA@ZITRON.COM</t>
  </si>
  <si>
    <t>COVITIN@HOTMAIL.COM</t>
  </si>
  <si>
    <t>LMR4765@ICAOVIEDO.ES</t>
  </si>
  <si>
    <t>LOS MIRACALES, CARBAYIN BAJO (STA. MARTA)</t>
  </si>
  <si>
    <t>JAVIMA666@GMAIL.COM</t>
  </si>
  <si>
    <t>ANGELES</t>
  </si>
  <si>
    <t>GUERRA</t>
  </si>
  <si>
    <t xml:space="preserve">PEREZ DE LA SALA </t>
  </si>
  <si>
    <t>ESC A 1º C</t>
  </si>
  <si>
    <t>RAMONA</t>
  </si>
  <si>
    <t xml:space="preserve">ARGÜELLES </t>
  </si>
  <si>
    <t xml:space="preserve">ROSARIO </t>
  </si>
  <si>
    <t>PATRICIAPENMAR@HOTMAIL.ES</t>
  </si>
  <si>
    <t>NAYARA</t>
  </si>
  <si>
    <t>53647653S</t>
  </si>
  <si>
    <t>PICASSO</t>
  </si>
  <si>
    <t>5ºIZ</t>
  </si>
  <si>
    <t>NAYARAMS1987@GMAIL.COM</t>
  </si>
  <si>
    <t>MARISAFERVAL@GMAIL.COM</t>
  </si>
  <si>
    <t>CARLOSASTUR11@GMAIL.COM</t>
  </si>
  <si>
    <t>VILLAR</t>
  </si>
  <si>
    <t>71646736B</t>
  </si>
  <si>
    <t>CABO PEÑAS</t>
  </si>
  <si>
    <t>JMVCOKE@HOTMAIL.COM</t>
  </si>
  <si>
    <t>EL SABINAR</t>
  </si>
  <si>
    <t>LEÓN</t>
  </si>
  <si>
    <t>SUSU152@HOTMAIL.ES</t>
  </si>
  <si>
    <t>JOSÉ DANIEL</t>
  </si>
  <si>
    <t>JUAN ALVARGONZALEZ</t>
  </si>
  <si>
    <t>JOSÉ GABRIEL</t>
  </si>
  <si>
    <t>CUSTODIA</t>
  </si>
  <si>
    <t>GABROALDI@GMAIL.COM</t>
  </si>
  <si>
    <t>ES71</t>
  </si>
  <si>
    <t>NATALIA</t>
  </si>
  <si>
    <t>BIBIANO</t>
  </si>
  <si>
    <t>FUEYO</t>
  </si>
  <si>
    <t>58456315K</t>
  </si>
  <si>
    <t>LAASTURIANA37@HOTMAIL.COM</t>
  </si>
  <si>
    <t>ALEJANDRA</t>
  </si>
  <si>
    <t>TRAVIESA</t>
  </si>
  <si>
    <t>71641207W</t>
  </si>
  <si>
    <t>SOR JUANA INES DE LA CRUZ</t>
  </si>
  <si>
    <t>BRICIA1977@GMAIL.COM</t>
  </si>
  <si>
    <t>11071222B</t>
  </si>
  <si>
    <t>1º IZQ.</t>
  </si>
  <si>
    <t>FBARROSPALACIOS@GMAIL.COM</t>
  </si>
  <si>
    <t>CARMEN@GRUPOINDECO.ES</t>
  </si>
  <si>
    <t>RASIDRI@HOTMAIL.COM</t>
  </si>
  <si>
    <t>CARMENGEMELOS@TELECABLE.ES</t>
  </si>
  <si>
    <t>SADAJCMA@YAHOO.ES</t>
  </si>
  <si>
    <t>ROBERTO</t>
  </si>
  <si>
    <t>SIERRA@AST-INGENIERIA.COM</t>
  </si>
  <si>
    <t>JUNCAL</t>
  </si>
  <si>
    <t>GUERRERO</t>
  </si>
  <si>
    <t>MUÑOZ</t>
  </si>
  <si>
    <t xml:space="preserve">ALEJANDRO </t>
  </si>
  <si>
    <t>ALGARPER@HOTMAIL.COM</t>
  </si>
  <si>
    <t>ROSARIO</t>
  </si>
  <si>
    <t>PEDRO MIÑOR</t>
  </si>
  <si>
    <t>SARISF3@GMAIL.COM</t>
  </si>
  <si>
    <t>ABEL</t>
  </si>
  <si>
    <t>GIRÓN</t>
  </si>
  <si>
    <t>MARTÍN</t>
  </si>
  <si>
    <t>ABELGIRONMARTIN@GMAIL.COM</t>
  </si>
  <si>
    <t>VANESSA</t>
  </si>
  <si>
    <t>SALADRIGAS</t>
  </si>
  <si>
    <t>ALFÉREZ</t>
  </si>
  <si>
    <t>52307852X</t>
  </si>
  <si>
    <t>NESSANISHA@GMAIL.COM</t>
  </si>
  <si>
    <t>ES41</t>
  </si>
  <si>
    <t>EDDNAH</t>
  </si>
  <si>
    <t>EB1TK@EB1TK.COM</t>
  </si>
  <si>
    <t>CORTIZREY@GMAIL.COM</t>
  </si>
  <si>
    <t>MORTIZRE@HOTMAIL.COM</t>
  </si>
  <si>
    <t>MARTIN.DOHA@ZITRON.COM</t>
  </si>
  <si>
    <t>OLIVER DAVID</t>
  </si>
  <si>
    <t>GUARDADO</t>
  </si>
  <si>
    <t>CESAR MAESE ALONSO</t>
  </si>
  <si>
    <t>OLIVERMG@GMAIL.COM</t>
  </si>
  <si>
    <t>PELAYO</t>
  </si>
  <si>
    <t>BARRAGÁN</t>
  </si>
  <si>
    <t>NIEVES</t>
  </si>
  <si>
    <t>HECTOR</t>
  </si>
  <si>
    <t>PORTAL2 4-IZD</t>
  </si>
  <si>
    <t>SARA.30996@GMAIL.COM</t>
  </si>
  <si>
    <t>VITORERO</t>
  </si>
  <si>
    <t>LETICIA</t>
  </si>
  <si>
    <t>PRIDA</t>
  </si>
  <si>
    <t>SANTA EMILIA</t>
  </si>
  <si>
    <t>BAJO</t>
  </si>
  <si>
    <t>LETIBOOP2000@GMAIL.COM</t>
  </si>
  <si>
    <t>CANEL</t>
  </si>
  <si>
    <t>REMIVELASCO@HOTMAIL.COM</t>
  </si>
  <si>
    <t>RIUMEDIU@GMAIL.COM</t>
  </si>
  <si>
    <t>BASTIAN</t>
  </si>
  <si>
    <t>PEÑA DE LOS CUATRO JUECES</t>
  </si>
  <si>
    <t>DAVBASTIK@GMAIL.COM</t>
  </si>
  <si>
    <t>ARÁNTZAZU</t>
  </si>
  <si>
    <t>COLUNGA</t>
  </si>
  <si>
    <t>TXANTXINA@GMAIL.COM</t>
  </si>
  <si>
    <t xml:space="preserve">DE LA LLOMBA </t>
  </si>
  <si>
    <t>JULIOGGG@YAHOO.ES</t>
  </si>
  <si>
    <t>MAITE@MAITECIURANA.COM</t>
  </si>
  <si>
    <t>FUENTE DEL REAL</t>
  </si>
  <si>
    <t>S_D_F@HOTMAIL.COM</t>
  </si>
  <si>
    <t>ES10</t>
  </si>
  <si>
    <t>ES25</t>
  </si>
  <si>
    <t>ES88</t>
  </si>
  <si>
    <t>05</t>
  </si>
  <si>
    <t>0120</t>
  </si>
  <si>
    <t>0001137418</t>
  </si>
  <si>
    <t>ES73</t>
  </si>
  <si>
    <t>MORAIS SARMENTO</t>
  </si>
  <si>
    <t>Nº</t>
  </si>
  <si>
    <t>C.P.</t>
  </si>
  <si>
    <t>EVA MARÍA</t>
  </si>
  <si>
    <t>JOSÉ</t>
  </si>
  <si>
    <t>JOSÉ MANUEL</t>
  </si>
  <si>
    <t>JOSÉ LUIS</t>
  </si>
  <si>
    <t>MARÍA</t>
  </si>
  <si>
    <t>MARÍA GABRIELA</t>
  </si>
  <si>
    <t>MARÍA LUZ</t>
  </si>
  <si>
    <t>MARÍA ANTONIA</t>
  </si>
  <si>
    <t>MARÍA CARMEN</t>
  </si>
  <si>
    <t>MARÍA TERESA</t>
  </si>
  <si>
    <t>ROSA MARÍA</t>
  </si>
  <si>
    <t>MARÍA DEL CARMEN</t>
  </si>
  <si>
    <t>PATRICIA MARÍA</t>
  </si>
  <si>
    <t>MARÍA JOSE</t>
  </si>
  <si>
    <t>MARÍA LUISA</t>
  </si>
  <si>
    <t>NOELIA MARÍA</t>
  </si>
  <si>
    <t>ARQUITECTO MARÍANO MEDARDE</t>
  </si>
  <si>
    <t>MARÍA DEL MAR</t>
  </si>
  <si>
    <t>MARÍA BELEN</t>
  </si>
  <si>
    <t>MARÍA LAURA</t>
  </si>
  <si>
    <t>MARÍA ADELA</t>
  </si>
  <si>
    <t>FERNÁNDEZ-ESCANDON</t>
  </si>
  <si>
    <t>GONZÁLEZ</t>
  </si>
  <si>
    <t>GUTIÉRREZ</t>
  </si>
  <si>
    <t>CÁRDENAS</t>
  </si>
  <si>
    <t>MARTÍNEZ</t>
  </si>
  <si>
    <t>MORÁN</t>
  </si>
  <si>
    <t xml:space="preserve">PÉREZ </t>
  </si>
  <si>
    <t>PÉREZ</t>
  </si>
  <si>
    <t>BENÍTEZ</t>
  </si>
  <si>
    <t>DÍEZ</t>
  </si>
  <si>
    <t>HORACIO FERNÁNDEZ INGUANZO</t>
  </si>
  <si>
    <t>JUAN ANDRES SUAREZ GARCÍA</t>
  </si>
  <si>
    <t>JIMÉNEZ</t>
  </si>
  <si>
    <t>LÓPEZ</t>
  </si>
  <si>
    <t>SÁNCHEZ</t>
  </si>
  <si>
    <t>VALLÍN</t>
  </si>
  <si>
    <t>VÁZQUEZ</t>
  </si>
  <si>
    <t>10843192A</t>
  </si>
  <si>
    <t>10804183W</t>
  </si>
  <si>
    <t>3415832X</t>
  </si>
  <si>
    <t>3410321L</t>
  </si>
  <si>
    <t>09420008J</t>
  </si>
  <si>
    <t>09446050L</t>
  </si>
  <si>
    <t>24070342Z</t>
  </si>
  <si>
    <t>71618922G</t>
  </si>
  <si>
    <t>5665</t>
  </si>
  <si>
    <t>25</t>
  </si>
  <si>
    <t>0001109015</t>
  </si>
  <si>
    <t>ZITRON-ASCAZ HOSPITALARIA</t>
  </si>
  <si>
    <t>ZITRON-ASCAZ AMBULATORIA</t>
  </si>
  <si>
    <t>33314</t>
  </si>
  <si>
    <t>CECILIA</t>
  </si>
  <si>
    <t>58448546A</t>
  </si>
  <si>
    <t>55C</t>
  </si>
  <si>
    <t>12/01/2018</t>
  </si>
  <si>
    <t>SUSANA</t>
  </si>
  <si>
    <t>110A</t>
  </si>
  <si>
    <t>09427961P</t>
  </si>
  <si>
    <t>BUENAVISTA</t>
  </si>
  <si>
    <t>10</t>
  </si>
  <si>
    <t>1ºA</t>
  </si>
  <si>
    <t>33006</t>
  </si>
  <si>
    <t>618728421</t>
  </si>
  <si>
    <t>SURODIAZ@GMAIL.COM</t>
  </si>
  <si>
    <t>5312</t>
  </si>
  <si>
    <t>17</t>
  </si>
  <si>
    <t>0006106719</t>
  </si>
  <si>
    <t>ZITRON DPL</t>
  </si>
  <si>
    <t>GREGORIO MARAÑON</t>
  </si>
  <si>
    <t>4</t>
  </si>
  <si>
    <t>1 D</t>
  </si>
  <si>
    <t>33203</t>
  </si>
  <si>
    <t>111A</t>
  </si>
  <si>
    <t>15/01/2018</t>
  </si>
  <si>
    <t>JORGE LUIS</t>
  </si>
  <si>
    <t>BERICUA</t>
  </si>
  <si>
    <t>10892517Q</t>
  </si>
  <si>
    <t>DAOIZ Y VELARDE</t>
  </si>
  <si>
    <t>33212</t>
  </si>
  <si>
    <t>668577513</t>
  </si>
  <si>
    <t>JORGEBERICUA@GMAIL.COM</t>
  </si>
  <si>
    <t>ES82</t>
  </si>
  <si>
    <t>0601</t>
  </si>
  <si>
    <t>0208522217</t>
  </si>
  <si>
    <t>58</t>
  </si>
  <si>
    <t>S15</t>
  </si>
  <si>
    <t>S3</t>
  </si>
  <si>
    <t>S10</t>
  </si>
  <si>
    <t xml:space="preserve">GIJÓN </t>
  </si>
  <si>
    <t>URBANIZACION</t>
  </si>
  <si>
    <t>GUARDAMOLINOS</t>
  </si>
  <si>
    <t>11</t>
  </si>
  <si>
    <t>GUADARRAMA</t>
  </si>
  <si>
    <t>28440</t>
  </si>
  <si>
    <t>TOTALES</t>
  </si>
  <si>
    <t>ASOCIADOS</t>
  </si>
  <si>
    <t>PRECIO</t>
  </si>
  <si>
    <t>&gt;50-60</t>
  </si>
  <si>
    <t>&gt;40-50</t>
  </si>
  <si>
    <t>&gt;30-40</t>
  </si>
  <si>
    <t>&gt;20-30</t>
  </si>
  <si>
    <t>&gt;10-20</t>
  </si>
  <si>
    <t>0-10</t>
  </si>
  <si>
    <t>edad media</t>
  </si>
  <si>
    <t>ASCAZ</t>
  </si>
  <si>
    <t>AMBULATORIA</t>
  </si>
  <si>
    <t>HOSPITALARIA</t>
  </si>
  <si>
    <t>TOTAL</t>
  </si>
  <si>
    <t>&gt;60-70</t>
  </si>
  <si>
    <t>&gt;70-80</t>
  </si>
  <si>
    <t>&gt;80</t>
  </si>
  <si>
    <t>ZITRON-ASCAZ</t>
  </si>
  <si>
    <t>RANGO DE EDADES</t>
  </si>
  <si>
    <t>&gt;65</t>
  </si>
  <si>
    <t>&gt;50-65</t>
  </si>
  <si>
    <t>Edad media</t>
  </si>
  <si>
    <t>F. NACIMIENTO</t>
  </si>
  <si>
    <t>Vrf</t>
  </si>
  <si>
    <t>112A</t>
  </si>
  <si>
    <t>JULIA</t>
  </si>
  <si>
    <t>ZHURAVLOVA</t>
  </si>
  <si>
    <t>X7784410Z</t>
  </si>
  <si>
    <t>MANUEL HEVIA CARRILES</t>
  </si>
  <si>
    <t>55</t>
  </si>
  <si>
    <t>0201597308</t>
  </si>
  <si>
    <t>S4</t>
  </si>
  <si>
    <t>113A</t>
  </si>
  <si>
    <t>113B</t>
  </si>
  <si>
    <t>PELÁEZ</t>
  </si>
  <si>
    <t>MANCISIDOR</t>
  </si>
  <si>
    <t>PRINCIPAL</t>
  </si>
  <si>
    <t>2º C</t>
  </si>
  <si>
    <t>PIEDRAS BLANCAS</t>
  </si>
  <si>
    <t>10877751Q</t>
  </si>
  <si>
    <t>5010</t>
  </si>
  <si>
    <t>57</t>
  </si>
  <si>
    <t>0201548541</t>
  </si>
  <si>
    <t>IPELAEZ.ZITRON@GMAIL.COM</t>
  </si>
  <si>
    <t>BEAMSUAREZ@GMAIL.COM</t>
  </si>
  <si>
    <t>BEATRIZ</t>
  </si>
  <si>
    <t>MORO</t>
  </si>
  <si>
    <t>11444811B</t>
  </si>
  <si>
    <t>114A</t>
  </si>
  <si>
    <t>NAOMI</t>
  </si>
  <si>
    <t>ORDIALES</t>
  </si>
  <si>
    <t>CÓRDOBA</t>
  </si>
  <si>
    <t>53508155N</t>
  </si>
  <si>
    <t>EL REBOLLAR</t>
  </si>
  <si>
    <t>NAOMIORDIALES@GMAIL.COM</t>
  </si>
  <si>
    <t>ES06</t>
  </si>
  <si>
    <t>5284</t>
  </si>
  <si>
    <t>30</t>
  </si>
  <si>
    <t>2893329960</t>
  </si>
  <si>
    <t>38C</t>
  </si>
  <si>
    <t>OLAYA</t>
  </si>
  <si>
    <t>58445867S</t>
  </si>
  <si>
    <t>115A</t>
  </si>
  <si>
    <t>MARÍA EUGENIA</t>
  </si>
  <si>
    <t>POMAR</t>
  </si>
  <si>
    <t>9415000L</t>
  </si>
  <si>
    <t>MENENDEZ Y PELAYO</t>
  </si>
  <si>
    <t>2048</t>
  </si>
  <si>
    <t>0062</t>
  </si>
  <si>
    <t>3004011643</t>
  </si>
  <si>
    <t>116A</t>
  </si>
  <si>
    <t>VALERIANO ANTONIO</t>
  </si>
  <si>
    <t>ROCHO</t>
  </si>
  <si>
    <t>PINIELLA</t>
  </si>
  <si>
    <t>9383260L</t>
  </si>
  <si>
    <t>TONIROCHO@GMAIL.COM</t>
  </si>
  <si>
    <t>56</t>
  </si>
  <si>
    <t>CARRETERA</t>
  </si>
  <si>
    <t>DE SANTANDER</t>
  </si>
  <si>
    <t>130B</t>
  </si>
  <si>
    <t>3ºE</t>
  </si>
  <si>
    <t>PILAR</t>
  </si>
  <si>
    <t>IGLESIAS</t>
  </si>
  <si>
    <t>NAVARRO</t>
  </si>
  <si>
    <t>10077092X</t>
  </si>
  <si>
    <t>VICENTE MIRANDA</t>
  </si>
  <si>
    <t>PIGLENA@GMAIL.COM</t>
  </si>
  <si>
    <t>ES09</t>
  </si>
  <si>
    <t>0457</t>
  </si>
  <si>
    <t>75</t>
  </si>
  <si>
    <t>4010025294</t>
  </si>
  <si>
    <t>EVA LARA</t>
  </si>
  <si>
    <t>53675517A</t>
  </si>
  <si>
    <t>S83</t>
  </si>
  <si>
    <t>0330491600</t>
  </si>
  <si>
    <t>LUIS.OTERO.FERNANDEZ@GMAIL.COM</t>
  </si>
  <si>
    <t>S_ALVAREZ2001@HOTMAIL.COM</t>
  </si>
  <si>
    <t xml:space="preserve">JDANIELSUAREZGARCIA@GMAIL.COM </t>
  </si>
  <si>
    <t>0364</t>
  </si>
  <si>
    <t>31</t>
  </si>
  <si>
    <t>3640005433</t>
  </si>
  <si>
    <t>ES07</t>
  </si>
  <si>
    <t>2108</t>
  </si>
  <si>
    <t>4779</t>
  </si>
  <si>
    <t>82</t>
  </si>
  <si>
    <t>0033054856</t>
  </si>
  <si>
    <t>&gt;70-75</t>
  </si>
  <si>
    <t>&gt;75-80</t>
  </si>
  <si>
    <t>&gt;65-70</t>
  </si>
  <si>
    <t>&gt;60-65</t>
  </si>
  <si>
    <t>&gt;55-60</t>
  </si>
  <si>
    <t>&gt;50-55</t>
  </si>
  <si>
    <t>&gt;45-50</t>
  </si>
  <si>
    <t>&gt;40-45</t>
  </si>
  <si>
    <t>&gt;35-40</t>
  </si>
  <si>
    <t>&gt;30-35</t>
  </si>
  <si>
    <t>&gt;25-30</t>
  </si>
  <si>
    <t>&gt;20-25</t>
  </si>
  <si>
    <t>&gt;15-20</t>
  </si>
  <si>
    <t>&gt;10-15</t>
  </si>
  <si>
    <t>&gt;5-10</t>
  </si>
  <si>
    <t>0-5</t>
  </si>
  <si>
    <t>&gt;80-85</t>
  </si>
  <si>
    <t>&gt;85</t>
  </si>
  <si>
    <t>118A</t>
  </si>
  <si>
    <t>117A</t>
  </si>
  <si>
    <t>NURIA</t>
  </si>
  <si>
    <t>GARZÓN</t>
  </si>
  <si>
    <t>MIERES</t>
  </si>
  <si>
    <t>10893910Y</t>
  </si>
  <si>
    <t>PANAMÁ</t>
  </si>
  <si>
    <t>ATICO</t>
  </si>
  <si>
    <t>53</t>
  </si>
  <si>
    <t>3404002422</t>
  </si>
  <si>
    <t>S35</t>
  </si>
  <si>
    <t>S101</t>
  </si>
  <si>
    <t>119A</t>
  </si>
  <si>
    <t>9391168S</t>
  </si>
  <si>
    <t xml:space="preserve">PLAZA </t>
  </si>
  <si>
    <t>EDUARDO URCULO</t>
  </si>
  <si>
    <t>CARANAS3@HOTMAIL.COM</t>
  </si>
  <si>
    <t>ES27</t>
  </si>
  <si>
    <t>5051</t>
  </si>
  <si>
    <t>51</t>
  </si>
  <si>
    <t>0006207133</t>
  </si>
  <si>
    <t>120A</t>
  </si>
  <si>
    <t>120B</t>
  </si>
  <si>
    <t>10902083Z</t>
  </si>
  <si>
    <t>53541567M</t>
  </si>
  <si>
    <t>JESUSMORANPANDO@GMAIL.COM</t>
  </si>
  <si>
    <t xml:space="preserve">JESÚS </t>
  </si>
  <si>
    <t>121A</t>
  </si>
  <si>
    <t>URIA</t>
  </si>
  <si>
    <t>71772986Z</t>
  </si>
  <si>
    <t>MONTE LLOSORIO</t>
  </si>
  <si>
    <t>5º IZDA</t>
  </si>
  <si>
    <t>ADRIAN_URIA@HOTMAIL.ES</t>
  </si>
  <si>
    <t>ES91</t>
  </si>
  <si>
    <t>0608</t>
  </si>
  <si>
    <t>71</t>
  </si>
  <si>
    <t>0201545313</t>
  </si>
  <si>
    <t>3007</t>
  </si>
  <si>
    <t>0005</t>
  </si>
  <si>
    <t>98</t>
  </si>
  <si>
    <t>2014585612</t>
  </si>
  <si>
    <t>ES72</t>
  </si>
  <si>
    <t>5660</t>
  </si>
  <si>
    <t>16</t>
  </si>
  <si>
    <t>0006321245</t>
  </si>
  <si>
    <t>ES94</t>
  </si>
  <si>
    <t>19</t>
  </si>
  <si>
    <t>0208556745</t>
  </si>
  <si>
    <t>1752</t>
  </si>
  <si>
    <t>35</t>
  </si>
  <si>
    <t>2190017253</t>
  </si>
  <si>
    <t>5189</t>
  </si>
  <si>
    <t>70</t>
  </si>
  <si>
    <t>0001063012</t>
  </si>
  <si>
    <t>2100</t>
  </si>
  <si>
    <t>2899</t>
  </si>
  <si>
    <t>2200035830</t>
  </si>
  <si>
    <t>ES81</t>
  </si>
  <si>
    <t>0001102920</t>
  </si>
  <si>
    <t>5066</t>
  </si>
  <si>
    <t>ES69</t>
  </si>
  <si>
    <t>1579031210</t>
  </si>
  <si>
    <t>1705666124</t>
  </si>
  <si>
    <t>6247</t>
  </si>
  <si>
    <t>2516068020</t>
  </si>
  <si>
    <t>ES22</t>
  </si>
  <si>
    <t>99</t>
  </si>
  <si>
    <t>1718590631</t>
  </si>
  <si>
    <t>5646</t>
  </si>
  <si>
    <t>0001103412</t>
  </si>
  <si>
    <t>122A</t>
  </si>
  <si>
    <t>GONZALEZ</t>
  </si>
  <si>
    <t>NORNIELLA</t>
  </si>
  <si>
    <t>53543223M</t>
  </si>
  <si>
    <t xml:space="preserve">EMILIO TUYA </t>
  </si>
  <si>
    <t>JORGE.G.NORNIELLA@GMAIL.COM</t>
  </si>
  <si>
    <t>122B</t>
  </si>
  <si>
    <t>53548025T</t>
  </si>
  <si>
    <t>CRIS.82.GP@GMAIL.COM</t>
  </si>
  <si>
    <t>123A</t>
  </si>
  <si>
    <t>FRANCISCO JAVIER</t>
  </si>
  <si>
    <t>CASERO</t>
  </si>
  <si>
    <t>8937167B</t>
  </si>
  <si>
    <t>MAR MEDITERRANEO</t>
  </si>
  <si>
    <t>VALDEMORO</t>
  </si>
  <si>
    <t>ENRIQUETAJAVI@HOTMAIL.COM</t>
  </si>
  <si>
    <t>0466</t>
  </si>
  <si>
    <t>03</t>
  </si>
  <si>
    <t>0001087809</t>
  </si>
  <si>
    <t>124A</t>
  </si>
  <si>
    <t>TOLIVIA</t>
  </si>
  <si>
    <t>53530401V</t>
  </si>
  <si>
    <t>PORTUGAL</t>
  </si>
  <si>
    <t>CARLOSTOLIVIA@GMAIL.COM</t>
  </si>
  <si>
    <t>5658</t>
  </si>
  <si>
    <t>94</t>
  </si>
  <si>
    <t>0006212727</t>
  </si>
  <si>
    <t>125A</t>
  </si>
  <si>
    <t>125B</t>
  </si>
  <si>
    <t>126A</t>
  </si>
  <si>
    <t>125C</t>
  </si>
  <si>
    <t>125D</t>
  </si>
  <si>
    <t>CHRISTIAN</t>
  </si>
  <si>
    <t>RODRIGUEZ</t>
  </si>
  <si>
    <t>TORRE</t>
  </si>
  <si>
    <t>HAYNEE</t>
  </si>
  <si>
    <t>CONSTANTINO</t>
  </si>
  <si>
    <t>ÁNGELES</t>
  </si>
  <si>
    <t>52615849Z</t>
  </si>
  <si>
    <t>53527004R</t>
  </si>
  <si>
    <t>10820029R</t>
  </si>
  <si>
    <t>10804747Z</t>
  </si>
  <si>
    <t>LA FELGUERA</t>
  </si>
  <si>
    <t>ATICO DERECHA</t>
  </si>
  <si>
    <t>MANUEL</t>
  </si>
  <si>
    <t>VILLA</t>
  </si>
  <si>
    <t>10871306B</t>
  </si>
  <si>
    <t>DE LA LLOSICA (LA PEDRERA)</t>
  </si>
  <si>
    <t>MANU1_VILLA@HOTMAIL.ES</t>
  </si>
  <si>
    <t>24B</t>
  </si>
  <si>
    <t>24C</t>
  </si>
  <si>
    <t>GUANYONG</t>
  </si>
  <si>
    <t>JI</t>
  </si>
  <si>
    <t>JIANYING</t>
  </si>
  <si>
    <t>X-0937055N</t>
  </si>
  <si>
    <t>X-0955642S</t>
  </si>
  <si>
    <t>127A</t>
  </si>
  <si>
    <t>MIGUEL</t>
  </si>
  <si>
    <t>BORRAZ</t>
  </si>
  <si>
    <t>71465275C</t>
  </si>
  <si>
    <t>DE LA LLOSA (LA FRESNEDA)</t>
  </si>
  <si>
    <t>MIGUELBG.CONTACTO@GMAIL.COM</t>
  </si>
  <si>
    <t>S46</t>
  </si>
  <si>
    <t>AIDA</t>
  </si>
  <si>
    <t>JUNQUERA</t>
  </si>
  <si>
    <t>53535960X</t>
  </si>
  <si>
    <t>FUENTE VIEJO</t>
  </si>
  <si>
    <t>AIDAJ.GRAFICA@GMAIL.COM</t>
  </si>
  <si>
    <t>83</t>
  </si>
  <si>
    <t>1727340297</t>
  </si>
  <si>
    <t>ES61</t>
  </si>
  <si>
    <t>2080</t>
  </si>
  <si>
    <t>3040016390</t>
  </si>
  <si>
    <t>0128</t>
  </si>
  <si>
    <t>0151</t>
  </si>
  <si>
    <t>61</t>
  </si>
  <si>
    <t>0100015864</t>
  </si>
  <si>
    <t>ES13</t>
  </si>
  <si>
    <t>7170</t>
  </si>
  <si>
    <t>40</t>
  </si>
  <si>
    <t>0000135271</t>
  </si>
  <si>
    <t>PATRICIA@SINTAR.ES</t>
  </si>
  <si>
    <t>0052</t>
  </si>
  <si>
    <t>81</t>
  </si>
  <si>
    <t>3400034596</t>
  </si>
  <si>
    <t>ES48</t>
  </si>
  <si>
    <t>1541294417</t>
  </si>
  <si>
    <t>0960</t>
  </si>
  <si>
    <t>3000025922</t>
  </si>
  <si>
    <t>3040010162</t>
  </si>
  <si>
    <t>ES17</t>
  </si>
  <si>
    <t>0209</t>
  </si>
  <si>
    <t>15</t>
  </si>
  <si>
    <t>0700055869</t>
  </si>
  <si>
    <t>ES83</t>
  </si>
  <si>
    <t>3059</t>
  </si>
  <si>
    <t>2231956018</t>
  </si>
  <si>
    <t>ES12</t>
  </si>
  <si>
    <t>0130</t>
  </si>
  <si>
    <t>3053</t>
  </si>
  <si>
    <t>0106238903</t>
  </si>
  <si>
    <t>ES08</t>
  </si>
  <si>
    <t>0002776485</t>
  </si>
  <si>
    <t>ES84</t>
  </si>
  <si>
    <t>2007062017</t>
  </si>
  <si>
    <t>5157</t>
  </si>
  <si>
    <t>60</t>
  </si>
  <si>
    <t>0001338436</t>
  </si>
  <si>
    <t>ES53</t>
  </si>
  <si>
    <t>1551209818</t>
  </si>
  <si>
    <t>4804</t>
  </si>
  <si>
    <t>01</t>
  </si>
  <si>
    <t>2100155183</t>
  </si>
  <si>
    <t>ES49</t>
  </si>
  <si>
    <t>4937</t>
  </si>
  <si>
    <t>28</t>
  </si>
  <si>
    <t>0201507684</t>
  </si>
  <si>
    <t>0170</t>
  </si>
  <si>
    <t>3000028295</t>
  </si>
  <si>
    <t>50</t>
  </si>
  <si>
    <t>2200145969</t>
  </si>
  <si>
    <t>12</t>
  </si>
  <si>
    <t>0201505713</t>
  </si>
  <si>
    <t>ES16</t>
  </si>
  <si>
    <t>0025</t>
  </si>
  <si>
    <t>3000148768</t>
  </si>
  <si>
    <t>14</t>
  </si>
  <si>
    <t>2078558117</t>
  </si>
  <si>
    <t>0006150230</t>
  </si>
  <si>
    <t>2803</t>
  </si>
  <si>
    <t>0201574569</t>
  </si>
  <si>
    <t>ES58</t>
  </si>
  <si>
    <t>0007</t>
  </si>
  <si>
    <t>2020546319</t>
  </si>
  <si>
    <t>63</t>
  </si>
  <si>
    <t>2958885010</t>
  </si>
  <si>
    <t>ES14</t>
  </si>
  <si>
    <t>5855</t>
  </si>
  <si>
    <t>38</t>
  </si>
  <si>
    <t>0100068606</t>
  </si>
  <si>
    <t>0715</t>
  </si>
  <si>
    <t>46</t>
  </si>
  <si>
    <t>0201553722</t>
  </si>
  <si>
    <t>5303</t>
  </si>
  <si>
    <t>90</t>
  </si>
  <si>
    <t>0006356843</t>
  </si>
  <si>
    <t>95</t>
  </si>
  <si>
    <t>1711314375</t>
  </si>
  <si>
    <t>ES03</t>
  </si>
  <si>
    <t>0041</t>
  </si>
  <si>
    <t>65</t>
  </si>
  <si>
    <t>3000180867</t>
  </si>
  <si>
    <t>ES29</t>
  </si>
  <si>
    <t>2216060240</t>
  </si>
  <si>
    <t>1707917511</t>
  </si>
  <si>
    <t>5652</t>
  </si>
  <si>
    <t>0001240927</t>
  </si>
  <si>
    <t>1718962132</t>
  </si>
  <si>
    <t>NUYISOYYO@GMAIL.COM</t>
  </si>
  <si>
    <t>VALERA_VLADOVYCH@LIST.RU</t>
  </si>
  <si>
    <t>GUSOGIJON@GMAIL.COM</t>
  </si>
  <si>
    <t>CARMENCP79@GMAIL.COM</t>
  </si>
  <si>
    <t>ojo pagada</t>
  </si>
  <si>
    <t>0001</t>
  </si>
  <si>
    <t>0002</t>
  </si>
  <si>
    <t>0004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</si>
  <si>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</si>
  <si>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</si>
  <si>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</si>
  <si>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</si>
  <si>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</si>
  <si>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</si>
  <si>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</si>
  <si>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</si>
  <si>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</si>
  <si>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</si>
  <si>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</si>
  <si>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0020</t>
  </si>
  <si>
    <t>0021</t>
  </si>
  <si>
    <t>0022</t>
  </si>
  <si>
    <t>0023</t>
  </si>
  <si>
    <t>0024</t>
  </si>
  <si>
    <t>0026</t>
  </si>
  <si>
    <t>0027</t>
  </si>
  <si>
    <t>0029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</si>
  <si>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</si>
  <si>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</si>
  <si>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</si>
  <si>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</si>
  <si>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</si>
  <si>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</si>
  <si>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</si>
  <si>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</si>
  <si>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</si>
  <si>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0042</t>
  </si>
  <si>
    <t>0043</t>
  </si>
  <si>
    <t>0044</t>
  </si>
  <si>
    <t>0045</t>
  </si>
  <si>
    <t>0046</t>
  </si>
  <si>
    <t>0047</t>
  </si>
  <si>
    <t>0048</t>
  </si>
  <si>
    <t>0050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</si>
  <si>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</si>
  <si>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</si>
  <si>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</si>
  <si>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</si>
  <si>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</si>
  <si>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</si>
  <si>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</si>
  <si>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</si>
  <si>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</si>
  <si>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</si>
  <si>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</si>
  <si>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</si>
  <si>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</si>
  <si>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</si>
  <si>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</si>
  <si>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</si>
  <si>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</si>
  <si>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</si>
  <si>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</si>
  <si>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</si>
  <si>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</si>
  <si>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0078</t>
  </si>
  <si>
    <t>0079</t>
  </si>
  <si>
    <t>0080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</si>
  <si>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</si>
  <si>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</si>
  <si>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</si>
  <si>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</si>
  <si>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</si>
  <si>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</si>
  <si>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</si>
  <si>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</si>
  <si>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</si>
  <si>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</si>
  <si>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0093</t>
  </si>
  <si>
    <t>0094</t>
  </si>
  <si>
    <t>0095</t>
  </si>
  <si>
    <t>0097</t>
  </si>
  <si>
    <t>0098</t>
  </si>
  <si>
    <t>0099</t>
  </si>
  <si>
    <t>0101</t>
  </si>
  <si>
    <t>0102</t>
  </si>
  <si>
    <t>0103</t>
  </si>
  <si>
    <t>0104</t>
  </si>
  <si>
    <t>0105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</si>
  <si>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</si>
  <si>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</si>
  <si>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</si>
  <si>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</si>
  <si>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</si>
  <si>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</si>
  <si>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</si>
  <si>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</si>
  <si>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</si>
  <si>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</si>
  <si>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0118</t>
  </si>
  <si>
    <t>0119</t>
  </si>
  <si>
    <t>0121</t>
  </si>
  <si>
    <t>0122</t>
  </si>
  <si>
    <t>0123</t>
  </si>
  <si>
    <t>0124</t>
  </si>
  <si>
    <t>0125</t>
  </si>
  <si>
    <t>0126</t>
  </si>
  <si>
    <t>0127</t>
  </si>
  <si>
    <t>3035</t>
  </si>
  <si>
    <t>29</t>
  </si>
  <si>
    <t>0705162632</t>
  </si>
  <si>
    <t>2038</t>
  </si>
  <si>
    <t>4102</t>
  </si>
  <si>
    <t>73</t>
  </si>
  <si>
    <t>3000841580</t>
  </si>
  <si>
    <t>13</t>
  </si>
  <si>
    <t>2886090022</t>
  </si>
  <si>
    <t>1715740701</t>
  </si>
  <si>
    <t>ES37</t>
  </si>
  <si>
    <t>128A</t>
  </si>
  <si>
    <t>129A</t>
  </si>
  <si>
    <t>129B</t>
  </si>
  <si>
    <t>129C</t>
  </si>
  <si>
    <t>S11</t>
  </si>
  <si>
    <t>AURORA</t>
  </si>
  <si>
    <t>MARA</t>
  </si>
  <si>
    <t>58481187F</t>
  </si>
  <si>
    <t>10902084S</t>
  </si>
  <si>
    <t>76946821E</t>
  </si>
  <si>
    <t>SANTA DORADIA</t>
  </si>
  <si>
    <t>5º DCHA</t>
  </si>
  <si>
    <t>JAVIERMORANPANDO@GMAIL.COM</t>
  </si>
  <si>
    <t>AURODERM@GMAIL.COM</t>
  </si>
  <si>
    <t>8720</t>
  </si>
  <si>
    <t>0001027271</t>
  </si>
  <si>
    <t>0129</t>
  </si>
  <si>
    <t>130A</t>
  </si>
  <si>
    <t>S001</t>
  </si>
  <si>
    <t>OMAR</t>
  </si>
  <si>
    <t>PARDO</t>
  </si>
  <si>
    <t>CHICHAS</t>
  </si>
  <si>
    <t>PANADÉS</t>
  </si>
  <si>
    <t>7º B</t>
  </si>
  <si>
    <t>INFO@OMARPARDO.COM</t>
  </si>
  <si>
    <t>32</t>
  </si>
  <si>
    <t>3404001492</t>
  </si>
  <si>
    <t>Y</t>
  </si>
  <si>
    <t>y</t>
  </si>
  <si>
    <t>131A</t>
  </si>
  <si>
    <t>RUBIO</t>
  </si>
  <si>
    <t>53531727D</t>
  </si>
  <si>
    <t>53532705K</t>
  </si>
  <si>
    <t>S0040</t>
  </si>
  <si>
    <t>0131</t>
  </si>
  <si>
    <t>BENITO OTERO MARTINEZ</t>
  </si>
  <si>
    <t>PATRIRUGAR@HOTMAIL.COM</t>
  </si>
  <si>
    <t>ES70</t>
  </si>
  <si>
    <t>0160</t>
  </si>
  <si>
    <t>3000041430</t>
  </si>
  <si>
    <t>02271649P</t>
  </si>
  <si>
    <t>SOY.JOSEBA@GMAIL.COM</t>
  </si>
  <si>
    <t>C.DIAZCORDERO@GMAIL.COM</t>
  </si>
  <si>
    <t>YUNXIABEBE@HOTMAIL.COM</t>
  </si>
  <si>
    <t>JESSICAMARTINEZFOTOGRAFA@GMAIL.COM</t>
  </si>
  <si>
    <t>EXPULSADO</t>
  </si>
  <si>
    <t>0132</t>
  </si>
  <si>
    <t>132A</t>
  </si>
  <si>
    <t>S0130</t>
  </si>
  <si>
    <t>MARTINEZ</t>
  </si>
  <si>
    <t>MÁRQUEZ</t>
  </si>
  <si>
    <t>JÉSSICA</t>
  </si>
  <si>
    <t>53647418X</t>
  </si>
  <si>
    <t>1ºE</t>
  </si>
  <si>
    <t>ES39</t>
  </si>
  <si>
    <t>3730013166</t>
  </si>
  <si>
    <t>0133</t>
  </si>
  <si>
    <t>133A</t>
  </si>
  <si>
    <t>MARÍA CONCEPCIÓN</t>
  </si>
  <si>
    <t>CORDERO</t>
  </si>
  <si>
    <t>POLLEDO</t>
  </si>
  <si>
    <t>ENRIQUEZ</t>
  </si>
  <si>
    <t>9404630E</t>
  </si>
  <si>
    <t>52613423A</t>
  </si>
  <si>
    <t>PURITA DE LA RIVA</t>
  </si>
  <si>
    <t>5300</t>
  </si>
  <si>
    <t>0006347444</t>
  </si>
  <si>
    <t>133B</t>
  </si>
  <si>
    <t>PEDRO</t>
  </si>
  <si>
    <t>MADUREIRA</t>
  </si>
  <si>
    <t>FERNANDEZ-ESCANDON</t>
  </si>
  <si>
    <t>32D</t>
  </si>
  <si>
    <t>HERMANA</t>
  </si>
  <si>
    <t>YUNXIA</t>
  </si>
  <si>
    <t>X-1997436R</t>
  </si>
  <si>
    <t>s</t>
  </si>
  <si>
    <t>aaaaAPELLIDO 1</t>
  </si>
  <si>
    <t>EDAD</t>
  </si>
  <si>
    <t>baja voluntaria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</si>
</sst>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0.0%"/>
  </numFmts>
  <fonts count="42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indexed="12"/>
      <name val="Calibri"/>
      <family val="2"/>
      <charset val="1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rgb="FFFFFFFF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2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4"/>
      <name val="Arial"/>
      <family val="2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840C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5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dotted">
        <color rgb="FF969696"/>
      </left>
      <right style="dotted">
        <color rgb="FF969696"/>
      </right>
      <top style="medium">
        <color rgb="FF969696"/>
      </top>
      <bottom style="medium">
        <color rgb="FF969696"/>
      </bottom>
      <diagonal/>
    </border>
    <border>
      <left/>
      <right style="dotted">
        <color rgb="FF969696"/>
      </right>
      <top style="medium">
        <color rgb="FF969696"/>
      </top>
      <bottom style="medium">
        <color rgb="FF969696"/>
      </bottom>
      <diagonal/>
    </border>
    <border>
      <left style="dotted">
        <color rgb="FF969696"/>
      </left>
      <right/>
      <top style="medium">
        <color rgb="FF969696"/>
      </top>
      <bottom style="medium">
        <color rgb="FF969696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 style="thick">
        <color theme="4" tint="0.59996337778862885"/>
      </right>
      <top style="thick">
        <color theme="4" tint="0.59996337778862885"/>
      </top>
      <bottom style="dashed">
        <color theme="4" tint="0.59996337778862885"/>
      </bottom>
      <diagonal/>
    </border>
    <border>
      <left style="thick">
        <color theme="4" tint="0.59996337778862885"/>
      </left>
      <right style="thick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 style="thick">
        <color theme="4" tint="0.59996337778862885"/>
      </left>
      <right style="thick">
        <color theme="4" tint="0.59996337778862885"/>
      </right>
      <top style="dashed">
        <color theme="4" tint="0.59996337778862885"/>
      </top>
      <bottom style="thick">
        <color theme="4" tint="0.59996337778862885"/>
      </bottom>
      <diagonal/>
    </border>
    <border>
      <left/>
      <right/>
      <top/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theme="4" tint="0.59996337778862885"/>
      </bottom>
      <diagonal/>
    </border>
    <border>
      <left style="thick">
        <color theme="4" tint="0.59996337778862885"/>
      </left>
      <right/>
      <top style="thin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/>
      <top/>
      <bottom/>
      <diagonal/>
    </border>
    <border>
      <left style="thick">
        <color theme="4" tint="0.59996337778862885"/>
      </left>
      <right style="thick">
        <color theme="4" tint="0.59996337778862885"/>
      </right>
      <top style="thick">
        <color theme="4" tint="0.59996337778862885"/>
      </top>
      <bottom style="thin">
        <color theme="4" tint="0.59996337778862885"/>
      </bottom>
      <diagonal/>
    </border>
    <border>
      <left style="thick">
        <color theme="4" tint="0.59996337778862885"/>
      </left>
      <right style="thick">
        <color theme="4" tint="0.59996337778862885"/>
      </right>
      <top style="thin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 style="thick">
        <color theme="4" tint="0.59996337778862885"/>
      </right>
      <top/>
      <bottom style="thick">
        <color theme="4" tint="0.59996337778862885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dashed">
        <color theme="4" tint="0.59996337778862885"/>
      </bottom>
      <diagonal/>
    </border>
    <border>
      <left style="thick">
        <color theme="4" tint="0.59996337778862885"/>
      </left>
      <right/>
      <top style="dashed">
        <color theme="4" tint="0.59996337778862885"/>
      </top>
      <bottom style="dashed">
        <color theme="4" tint="0.59996337778862885"/>
      </bottom>
      <diagonal/>
    </border>
    <border>
      <left style="thick">
        <color theme="4" tint="0.59996337778862885"/>
      </left>
      <right/>
      <top style="dashed">
        <color theme="4" tint="0.59996337778862885"/>
      </top>
      <bottom style="thick">
        <color theme="4" tint="0.59996337778862885"/>
      </bottom>
      <diagonal/>
    </border>
    <border>
      <left style="dashed">
        <color theme="4" tint="0.59996337778862885"/>
      </left>
      <right style="dashed">
        <color theme="4" tint="0.59996337778862885"/>
      </right>
      <top style="thick">
        <color theme="4" tint="0.59996337778862885"/>
      </top>
      <bottom style="dashed">
        <color theme="4" tint="0.59996337778862885"/>
      </bottom>
      <diagonal/>
    </border>
    <border>
      <left style="dashed">
        <color theme="4" tint="0.59996337778862885"/>
      </left>
      <right style="thick">
        <color theme="4" tint="0.59996337778862885"/>
      </right>
      <top style="thick">
        <color theme="4" tint="0.59996337778862885"/>
      </top>
      <bottom style="dashed">
        <color theme="4" tint="0.59996337778862885"/>
      </bottom>
      <diagonal/>
    </border>
    <border>
      <left style="thick">
        <color theme="4" tint="0.59996337778862885"/>
      </left>
      <right style="dashed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 style="dashed">
        <color theme="4" tint="0.59996337778862885"/>
      </left>
      <right style="dashed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 style="dashed">
        <color theme="4" tint="0.59996337778862885"/>
      </left>
      <right style="thick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 style="dashed">
        <color theme="4" tint="0.59996337778862885"/>
      </left>
      <right style="dashed">
        <color theme="4" tint="0.59996337778862885"/>
      </right>
      <top style="dashed">
        <color theme="4" tint="0.59996337778862885"/>
      </top>
      <bottom style="thick">
        <color theme="4" tint="0.59996337778862885"/>
      </bottom>
      <diagonal/>
    </border>
    <border>
      <left style="dashed">
        <color theme="4" tint="0.59996337778862885"/>
      </left>
      <right style="thick">
        <color theme="4" tint="0.59996337778862885"/>
      </right>
      <top style="dashed">
        <color theme="4" tint="0.59996337778862885"/>
      </top>
      <bottom style="thick">
        <color theme="4" tint="0.59996337778862885"/>
      </bottom>
      <diagonal/>
    </border>
    <border>
      <left/>
      <right style="dashed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/>
      <right style="dashed">
        <color theme="4" tint="0.59996337778862885"/>
      </right>
      <top style="dashed">
        <color theme="4" tint="0.59996337778862885"/>
      </top>
      <bottom style="thick">
        <color theme="4" tint="0.59996337778862885"/>
      </bottom>
      <diagonal/>
    </border>
    <border>
      <left/>
      <right style="dashed">
        <color theme="4" tint="0.59996337778862885"/>
      </right>
      <top style="thick">
        <color theme="4" tint="0.59996337778862885"/>
      </top>
      <bottom style="dashed">
        <color theme="4" tint="0.59996337778862885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5">
    <xf numFmtId="0" fontId="0" fillId="0" borderId="0"/>
    <xf numFmtId="0" fontId="1" fillId="0" borderId="0">
      <alignment vertical="top"/>
      <protection locked="0"/>
    </xf>
    <xf numFmtId="0" fontId="2" fillId="0" borderId="0">
      <alignment vertical="center"/>
    </xf>
    <xf numFmtId="0" fontId="3" fillId="0" borderId="0"/>
    <xf numFmtId="0" fontId="4" fillId="0" borderId="0"/>
    <xf numFmtId="0" fontId="5" fillId="0" borderId="0"/>
    <xf numFmtId="0" fontId="6" fillId="0" borderId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7" fillId="0" borderId="6" applyNumberFormat="0" applyFill="0" applyAlignment="0" applyProtection="0"/>
    <xf numFmtId="0" fontId="32" fillId="15" borderId="0" applyNumberFormat="0" applyBorder="0" applyAlignment="0" applyProtection="0"/>
    <xf numFmtId="0" fontId="34" fillId="0" borderId="0" applyNumberFormat="0" applyFill="0" applyBorder="0" applyAlignment="0" applyProtection="0"/>
    <xf numFmtId="0" fontId="40" fillId="0" borderId="0"/>
    <xf numFmtId="0" fontId="39" fillId="0" borderId="0"/>
    <xf numFmtId="0" fontId="4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39" fillId="0" borderId="0"/>
    <xf numFmtId="0" fontId="39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87">
    <xf numFmtId="0" fontId="0" fillId="0" borderId="0" xfId="0"/>
    <xf numFmtId="14" fontId="0" fillId="0" borderId="0" xfId="0" applyNumberFormat="1"/>
    <xf numFmtId="14" fontId="10" fillId="0" borderId="0" xfId="0" applyNumberFormat="1" applyFont="1" applyAlignment="1">
      <alignment horizontal="center" vertical="center"/>
    </xf>
    <xf numFmtId="14" fontId="12" fillId="3" borderId="0" xfId="0" applyNumberFormat="1" applyFont="1" applyFill="1" applyAlignment="1">
      <alignment horizontal="center" vertical="center" wrapText="1"/>
    </xf>
    <xf numFmtId="14" fontId="10" fillId="3" borderId="0" xfId="0" applyNumberFormat="1" applyFont="1" applyFill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0" fillId="3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Fill="1" applyAlignment="1" applyProtection="1">
      <alignment horizontal="center" vertical="center"/>
      <protection hidden="1"/>
    </xf>
    <xf numFmtId="0" fontId="18" fillId="0" borderId="8" xfId="8" applyFill="1" applyBorder="1" applyAlignment="1" applyProtection="1">
      <alignment horizontal="center" vertical="center"/>
      <protection hidden="1"/>
    </xf>
    <xf numFmtId="0" fontId="18" fillId="0" borderId="9" xfId="8" applyFill="1" applyBorder="1" applyAlignment="1" applyProtection="1">
      <alignment horizontal="center" vertical="center"/>
      <protection hidden="1"/>
    </xf>
    <xf numFmtId="0" fontId="18" fillId="0" borderId="10" xfId="8" applyFill="1" applyBorder="1" applyAlignment="1" applyProtection="1">
      <alignment horizontal="center" vertical="center"/>
      <protection hidden="1"/>
    </xf>
    <xf numFmtId="0" fontId="18" fillId="0" borderId="11" xfId="8" applyFill="1" applyBorder="1" applyAlignment="1" applyProtection="1">
      <alignment horizontal="center" vertical="center"/>
      <protection hidden="1"/>
    </xf>
    <xf numFmtId="0" fontId="18" fillId="0" borderId="12" xfId="8" applyFill="1" applyBorder="1" applyAlignment="1" applyProtection="1">
      <alignment horizontal="center" vertical="center"/>
      <protection hidden="1"/>
    </xf>
    <xf numFmtId="44" fontId="0" fillId="0" borderId="0" xfId="0" applyNumberFormat="1" applyFill="1" applyAlignment="1" applyProtection="1">
      <alignment horizontal="center" vertical="center"/>
      <protection hidden="1"/>
    </xf>
    <xf numFmtId="0" fontId="7" fillId="0" borderId="13" xfId="9" applyNumberFormat="1" applyFill="1" applyBorder="1" applyAlignment="1" applyProtection="1">
      <alignment horizontal="center" vertical="center"/>
      <protection hidden="1"/>
    </xf>
    <xf numFmtId="44" fontId="7" fillId="0" borderId="13" xfId="9" applyNumberForma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20" fillId="8" borderId="14" xfId="0" applyFont="1" applyFill="1" applyBorder="1" applyProtection="1">
      <protection hidden="1"/>
    </xf>
    <xf numFmtId="0" fontId="0" fillId="9" borderId="15" xfId="0" applyFill="1" applyBorder="1" applyProtection="1">
      <protection hidden="1"/>
    </xf>
    <xf numFmtId="0" fontId="0" fillId="9" borderId="16" xfId="0" applyFill="1" applyBorder="1" applyProtection="1">
      <protection hidden="1"/>
    </xf>
    <xf numFmtId="0" fontId="20" fillId="8" borderId="17" xfId="0" applyFont="1" applyFill="1" applyBorder="1" applyProtection="1">
      <protection hidden="1"/>
    </xf>
    <xf numFmtId="0" fontId="0" fillId="9" borderId="0" xfId="0" applyFill="1" applyBorder="1" applyProtection="1">
      <protection hidden="1"/>
    </xf>
    <xf numFmtId="0" fontId="0" fillId="9" borderId="18" xfId="0" applyFill="1" applyBorder="1" applyProtection="1">
      <protection hidden="1"/>
    </xf>
    <xf numFmtId="0" fontId="0" fillId="9" borderId="17" xfId="0" applyFill="1" applyBorder="1" applyProtection="1"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164" fontId="0" fillId="0" borderId="0" xfId="0" applyNumberFormat="1" applyBorder="1" applyProtection="1">
      <protection hidden="1"/>
    </xf>
    <xf numFmtId="17" fontId="0" fillId="0" borderId="0" xfId="0" applyNumberFormat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0" fontId="0" fillId="0" borderId="0" xfId="0" applyBorder="1" applyProtection="1">
      <protection hidden="1"/>
    </xf>
    <xf numFmtId="1" fontId="0" fillId="0" borderId="0" xfId="0" applyNumberFormat="1" applyBorder="1" applyAlignment="1" applyProtection="1">
      <alignment horizontal="center" vertic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0" fontId="0" fillId="9" borderId="19" xfId="0" applyFill="1" applyBorder="1" applyProtection="1">
      <protection hidden="1"/>
    </xf>
    <xf numFmtId="0" fontId="0" fillId="9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Protection="1">
      <protection hidden="1"/>
    </xf>
    <xf numFmtId="0" fontId="0" fillId="8" borderId="21" xfId="0" applyFill="1" applyBorder="1" applyProtection="1">
      <protection hidden="1"/>
    </xf>
    <xf numFmtId="0" fontId="0" fillId="0" borderId="0" xfId="0" applyFill="1" applyProtection="1">
      <protection hidden="1"/>
    </xf>
    <xf numFmtId="0" fontId="0" fillId="12" borderId="15" xfId="0" applyFill="1" applyBorder="1" applyProtection="1">
      <protection hidden="1"/>
    </xf>
    <xf numFmtId="0" fontId="0" fillId="12" borderId="16" xfId="0" applyFill="1" applyBorder="1" applyProtection="1">
      <protection hidden="1"/>
    </xf>
    <xf numFmtId="0" fontId="0" fillId="12" borderId="0" xfId="0" applyFill="1" applyBorder="1" applyProtection="1">
      <protection hidden="1"/>
    </xf>
    <xf numFmtId="0" fontId="0" fillId="12" borderId="18" xfId="0" applyFill="1" applyBorder="1" applyProtection="1">
      <protection hidden="1"/>
    </xf>
    <xf numFmtId="0" fontId="0" fillId="12" borderId="17" xfId="0" applyFill="1" applyBorder="1" applyProtection="1">
      <protection hidden="1"/>
    </xf>
    <xf numFmtId="0" fontId="0" fillId="12" borderId="19" xfId="0" applyFill="1" applyBorder="1" applyProtection="1">
      <protection hidden="1"/>
    </xf>
    <xf numFmtId="0" fontId="0" fillId="12" borderId="20" xfId="0" applyFill="1" applyBorder="1" applyAlignment="1" applyProtection="1">
      <alignment horizontal="center" vertical="center"/>
      <protection hidden="1"/>
    </xf>
    <xf numFmtId="0" fontId="0" fillId="12" borderId="20" xfId="0" applyFill="1" applyBorder="1" applyProtection="1">
      <protection hidden="1"/>
    </xf>
    <xf numFmtId="0" fontId="0" fillId="13" borderId="15" xfId="0" applyFill="1" applyBorder="1" applyProtection="1">
      <protection hidden="1"/>
    </xf>
    <xf numFmtId="0" fontId="0" fillId="13" borderId="16" xfId="0" applyFill="1" applyBorder="1" applyProtection="1">
      <protection hidden="1"/>
    </xf>
    <xf numFmtId="0" fontId="0" fillId="13" borderId="0" xfId="0" applyFill="1" applyBorder="1" applyProtection="1">
      <protection hidden="1"/>
    </xf>
    <xf numFmtId="0" fontId="0" fillId="13" borderId="18" xfId="0" applyFill="1" applyBorder="1" applyProtection="1">
      <protection hidden="1"/>
    </xf>
    <xf numFmtId="0" fontId="0" fillId="13" borderId="17" xfId="0" applyFill="1" applyBorder="1" applyProtection="1">
      <protection hidden="1"/>
    </xf>
    <xf numFmtId="0" fontId="0" fillId="13" borderId="19" xfId="0" applyFill="1" applyBorder="1" applyProtection="1">
      <protection hidden="1"/>
    </xf>
    <xf numFmtId="0" fontId="0" fillId="13" borderId="20" xfId="0" applyFill="1" applyBorder="1" applyAlignment="1" applyProtection="1">
      <alignment horizontal="center" vertical="center"/>
      <protection hidden="1"/>
    </xf>
    <xf numFmtId="0" fontId="0" fillId="13" borderId="20" xfId="0" applyFill="1" applyBorder="1" applyProtection="1">
      <protection hidden="1"/>
    </xf>
    <xf numFmtId="164" fontId="0" fillId="0" borderId="0" xfId="0" applyNumberFormat="1" applyFill="1" applyAlignment="1" applyProtection="1">
      <alignment horizontal="center" vertical="center"/>
      <protection hidden="1"/>
    </xf>
    <xf numFmtId="164" fontId="27" fillId="0" borderId="23" xfId="0" applyNumberFormat="1" applyFont="1" applyFill="1" applyBorder="1" applyAlignment="1" applyProtection="1">
      <alignment horizontal="center" vertical="center"/>
      <protection hidden="1"/>
    </xf>
    <xf numFmtId="164" fontId="27" fillId="0" borderId="24" xfId="0" applyNumberFormat="1" applyFont="1" applyFill="1" applyBorder="1" applyAlignment="1" applyProtection="1">
      <alignment horizontal="center" vertical="center"/>
      <protection hidden="1"/>
    </xf>
    <xf numFmtId="0" fontId="18" fillId="0" borderId="0" xfId="8" applyFill="1" applyBorder="1" applyAlignment="1" applyProtection="1">
      <alignment horizontal="center" vertical="center"/>
      <protection hidden="1"/>
    </xf>
    <xf numFmtId="44" fontId="7" fillId="0" borderId="0" xfId="9" applyNumberFormat="1" applyFill="1" applyBorder="1" applyAlignment="1" applyProtection="1">
      <alignment horizontal="center" vertical="center"/>
      <protection hidden="1"/>
    </xf>
    <xf numFmtId="44" fontId="0" fillId="0" borderId="25" xfId="0" applyNumberFormat="1" applyFill="1" applyBorder="1" applyAlignment="1" applyProtection="1">
      <alignment horizontal="center" vertical="center"/>
      <protection hidden="1"/>
    </xf>
    <xf numFmtId="0" fontId="17" fillId="0" borderId="0" xfId="7" applyFill="1" applyBorder="1" applyAlignment="1" applyProtection="1">
      <alignment horizontal="center" vertical="center"/>
      <protection hidden="1"/>
    </xf>
    <xf numFmtId="0" fontId="21" fillId="9" borderId="0" xfId="0" applyFont="1" applyFill="1" applyBorder="1" applyAlignment="1" applyProtection="1">
      <alignment horizontal="center" vertical="center"/>
      <protection hidden="1"/>
    </xf>
    <xf numFmtId="164" fontId="22" fillId="9" borderId="0" xfId="0" applyNumberFormat="1" applyFont="1" applyFill="1" applyBorder="1" applyAlignment="1" applyProtection="1">
      <alignment horizontal="center" vertical="center"/>
      <protection hidden="1"/>
    </xf>
    <xf numFmtId="164" fontId="23" fillId="9" borderId="0" xfId="0" applyNumberFormat="1" applyFont="1" applyFill="1" applyBorder="1" applyAlignment="1" applyProtection="1">
      <alignment horizontal="center" vertical="center"/>
      <protection hidden="1"/>
    </xf>
    <xf numFmtId="0" fontId="20" fillId="10" borderId="14" xfId="0" applyFont="1" applyFill="1" applyBorder="1" applyProtection="1">
      <protection hidden="1"/>
    </xf>
    <xf numFmtId="0" fontId="20" fillId="10" borderId="17" xfId="0" applyFont="1" applyFill="1" applyBorder="1" applyProtection="1">
      <protection hidden="1"/>
    </xf>
    <xf numFmtId="0" fontId="0" fillId="10" borderId="21" xfId="0" applyFill="1" applyBorder="1" applyProtection="1">
      <protection hidden="1"/>
    </xf>
    <xf numFmtId="0" fontId="20" fillId="11" borderId="14" xfId="0" applyFont="1" applyFill="1" applyBorder="1" applyProtection="1">
      <protection hidden="1"/>
    </xf>
    <xf numFmtId="0" fontId="20" fillId="11" borderId="17" xfId="0" applyFont="1" applyFill="1" applyBorder="1" applyProtection="1">
      <protection hidden="1"/>
    </xf>
    <xf numFmtId="0" fontId="0" fillId="11" borderId="21" xfId="0" applyFill="1" applyBorder="1" applyProtection="1">
      <protection hidden="1"/>
    </xf>
    <xf numFmtId="0" fontId="8" fillId="6" borderId="0" xfId="0" applyNumberFormat="1" applyFont="1" applyFill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2" borderId="3" xfId="0" applyNumberFormat="1" applyFont="1" applyFill="1" applyBorder="1" applyAlignment="1">
      <alignment vertical="center"/>
    </xf>
    <xf numFmtId="0" fontId="9" fillId="2" borderId="2" xfId="0" applyNumberFormat="1" applyFont="1" applyFill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left" vertical="center"/>
    </xf>
    <xf numFmtId="0" fontId="8" fillId="3" borderId="0" xfId="0" applyNumberFormat="1" applyFont="1" applyFill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10" fillId="4" borderId="0" xfId="0" applyNumberFormat="1" applyFont="1" applyFill="1" applyAlignment="1">
      <alignment vertical="center" wrapText="1"/>
    </xf>
    <xf numFmtId="0" fontId="12" fillId="3" borderId="0" xfId="0" applyNumberFormat="1" applyFont="1" applyFill="1" applyAlignment="1">
      <alignment horizontal="center" vertical="center"/>
    </xf>
    <xf numFmtId="0" fontId="12" fillId="3" borderId="0" xfId="0" applyNumberFormat="1" applyFont="1" applyFill="1" applyAlignment="1">
      <alignment horizontal="left" vertical="center"/>
    </xf>
    <xf numFmtId="0" fontId="15" fillId="3" borderId="0" xfId="0" applyNumberFormat="1" applyFon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7" fillId="3" borderId="0" xfId="0" applyNumberFormat="1" applyFont="1" applyFill="1" applyAlignment="1">
      <alignment horizontal="center" vertical="center"/>
    </xf>
    <xf numFmtId="0" fontId="13" fillId="3" borderId="0" xfId="0" applyNumberFormat="1" applyFont="1" applyFill="1" applyAlignment="1">
      <alignment horizontal="center" vertical="center"/>
    </xf>
    <xf numFmtId="0" fontId="10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0" fillId="14" borderId="0" xfId="0" applyNumberFormat="1" applyFont="1" applyFill="1" applyAlignment="1">
      <alignment horizontal="center" vertical="center"/>
    </xf>
    <xf numFmtId="0" fontId="10" fillId="3" borderId="0" xfId="0" applyNumberFormat="1" applyFont="1" applyFill="1" applyAlignment="1">
      <alignment horizontal="left" vertical="center"/>
    </xf>
    <xf numFmtId="0" fontId="4" fillId="3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left"/>
    </xf>
    <xf numFmtId="0" fontId="10" fillId="0" borderId="0" xfId="0" applyNumberFormat="1" applyFont="1" applyAlignment="1">
      <alignment horizontal="left" vertical="center" wrapText="1"/>
    </xf>
    <xf numFmtId="0" fontId="0" fillId="6" borderId="0" xfId="0" applyNumberFormat="1" applyFill="1"/>
    <xf numFmtId="0" fontId="0" fillId="0" borderId="0" xfId="0" applyNumberFormat="1" applyFont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 wrapText="1"/>
    </xf>
    <xf numFmtId="0" fontId="29" fillId="0" borderId="0" xfId="0" applyFont="1" applyBorder="1" applyAlignment="1" applyProtection="1">
      <alignment horizontal="center" vertical="center"/>
      <protection hidden="1"/>
    </xf>
    <xf numFmtId="0" fontId="27" fillId="0" borderId="0" xfId="0" applyFont="1" applyBorder="1" applyAlignment="1" applyProtection="1">
      <alignment horizontal="center" vertical="center"/>
      <protection hidden="1"/>
    </xf>
    <xf numFmtId="0" fontId="30" fillId="0" borderId="0" xfId="0" applyFont="1" applyBorder="1" applyAlignment="1" applyProtection="1">
      <alignment horizontal="right" vertical="center"/>
      <protection hidden="1"/>
    </xf>
    <xf numFmtId="1" fontId="28" fillId="0" borderId="0" xfId="0" applyNumberFormat="1" applyFont="1" applyAlignment="1" applyProtection="1">
      <alignment horizontal="left"/>
      <protection hidden="1"/>
    </xf>
    <xf numFmtId="22" fontId="31" fillId="2" borderId="2" xfId="0" applyNumberFormat="1" applyFont="1" applyFill="1" applyBorder="1" applyAlignment="1">
      <alignment vertical="center" wrapText="1"/>
    </xf>
    <xf numFmtId="0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left" vertical="center"/>
    </xf>
    <xf numFmtId="0" fontId="16" fillId="0" borderId="0" xfId="0" applyNumberFormat="1" applyFont="1" applyAlignment="1">
      <alignment horizontal="center" vertical="center"/>
    </xf>
    <xf numFmtId="0" fontId="33" fillId="0" borderId="0" xfId="0" applyNumberFormat="1" applyFont="1"/>
    <xf numFmtId="49" fontId="9" fillId="2" borderId="2" xfId="0" applyNumberFormat="1" applyFont="1" applyFill="1" applyBorder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49" fontId="10" fillId="5" borderId="0" xfId="0" applyNumberFormat="1" applyFont="1" applyFill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9" fillId="2" borderId="2" xfId="0" applyNumberFormat="1" applyFont="1" applyFill="1" applyBorder="1" applyAlignment="1">
      <alignment horizontal="center" vertical="center"/>
    </xf>
    <xf numFmtId="0" fontId="29" fillId="0" borderId="0" xfId="0" applyNumberFormat="1" applyFont="1" applyAlignment="1">
      <alignment horizontal="center" vertical="center"/>
    </xf>
    <xf numFmtId="0" fontId="29" fillId="14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7" fillId="0" borderId="0" xfId="9" applyNumberFormat="1" applyFill="1" applyBorder="1" applyAlignment="1" applyProtection="1">
      <alignment horizontal="center" vertical="center"/>
      <protection hidden="1"/>
    </xf>
    <xf numFmtId="0" fontId="0" fillId="0" borderId="34" xfId="0" applyFill="1" applyBorder="1" applyAlignment="1" applyProtection="1">
      <alignment horizontal="center" vertical="center"/>
      <protection locked="0"/>
    </xf>
    <xf numFmtId="44" fontId="0" fillId="0" borderId="35" xfId="0" applyNumberFormat="1" applyFill="1" applyBorder="1" applyAlignment="1" applyProtection="1">
      <alignment horizontal="center" vertical="center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0" fillId="0" borderId="37" xfId="0" applyFill="1" applyBorder="1" applyAlignment="1" applyProtection="1">
      <alignment horizontal="center" vertical="center"/>
      <protection hidden="1"/>
    </xf>
    <xf numFmtId="0" fontId="0" fillId="0" borderId="37" xfId="0" applyFill="1" applyBorder="1" applyAlignment="1" applyProtection="1">
      <alignment horizontal="center" vertical="center"/>
      <protection locked="0"/>
    </xf>
    <xf numFmtId="44" fontId="0" fillId="0" borderId="38" xfId="0" applyNumberFormat="1" applyFill="1" applyBorder="1" applyAlignment="1" applyProtection="1">
      <alignment horizontal="center" vertical="center"/>
      <protection hidden="1"/>
    </xf>
    <xf numFmtId="0" fontId="35" fillId="0" borderId="37" xfId="0" applyFont="1" applyFill="1" applyBorder="1" applyAlignment="1" applyProtection="1">
      <alignment horizontal="left" vertical="center"/>
      <protection hidden="1"/>
    </xf>
    <xf numFmtId="0" fontId="0" fillId="0" borderId="39" xfId="0" applyFill="1" applyBorder="1" applyAlignment="1" applyProtection="1">
      <alignment horizontal="center" vertical="center"/>
      <protection hidden="1"/>
    </xf>
    <xf numFmtId="44" fontId="0" fillId="0" borderId="40" xfId="0" applyNumberFormat="1" applyFill="1" applyBorder="1" applyAlignment="1" applyProtection="1">
      <alignment horizontal="center" vertical="center"/>
      <protection hidden="1"/>
    </xf>
    <xf numFmtId="0" fontId="0" fillId="0" borderId="32" xfId="0" applyFill="1" applyBorder="1" applyAlignment="1" applyProtection="1">
      <alignment horizontal="center" vertical="center"/>
      <protection hidden="1"/>
    </xf>
    <xf numFmtId="0" fontId="35" fillId="0" borderId="41" xfId="0" applyFont="1" applyFill="1" applyBorder="1" applyAlignment="1" applyProtection="1">
      <alignment vertical="center"/>
      <protection hidden="1"/>
    </xf>
    <xf numFmtId="0" fontId="0" fillId="0" borderId="33" xfId="0" applyFill="1" applyBorder="1" applyAlignment="1" applyProtection="1">
      <alignment horizontal="center" vertical="center"/>
      <protection hidden="1"/>
    </xf>
    <xf numFmtId="0" fontId="0" fillId="0" borderId="31" xfId="0" applyFill="1" applyBorder="1" applyAlignment="1" applyProtection="1">
      <alignment horizontal="center" vertical="center"/>
      <protection hidden="1"/>
    </xf>
    <xf numFmtId="0" fontId="0" fillId="0" borderId="43" xfId="0" applyFill="1" applyBorder="1" applyAlignment="1" applyProtection="1">
      <alignment horizontal="center" vertical="center"/>
      <protection hidden="1"/>
    </xf>
    <xf numFmtId="0" fontId="36" fillId="0" borderId="41" xfId="0" applyFont="1" applyFill="1" applyBorder="1" applyAlignment="1" applyProtection="1">
      <alignment horizontal="right"/>
      <protection hidden="1"/>
    </xf>
    <xf numFmtId="0" fontId="36" fillId="0" borderId="42" xfId="0" applyFont="1" applyFill="1" applyBorder="1" applyAlignment="1" applyProtection="1">
      <alignment horizontal="right"/>
      <protection hidden="1"/>
    </xf>
    <xf numFmtId="14" fontId="9" fillId="2" borderId="2" xfId="0" applyNumberFormat="1" applyFont="1" applyFill="1" applyBorder="1" applyAlignment="1">
      <alignment horizontal="center" vertical="center"/>
    </xf>
    <xf numFmtId="14" fontId="12" fillId="3" borderId="0" xfId="0" applyNumberFormat="1" applyFont="1" applyFill="1" applyAlignment="1">
      <alignment horizontal="center" vertical="center"/>
    </xf>
    <xf numFmtId="14" fontId="4" fillId="17" borderId="0" xfId="0" applyNumberFormat="1" applyFont="1" applyFill="1" applyAlignment="1">
      <alignment horizontal="center" vertical="center"/>
    </xf>
    <xf numFmtId="0" fontId="10" fillId="0" borderId="0" xfId="0" applyNumberFormat="1" applyFont="1" applyAlignment="1">
      <alignment horizontal="left" vertical="center"/>
    </xf>
    <xf numFmtId="0" fontId="10" fillId="0" borderId="0" xfId="0" applyNumberFormat="1" applyFont="1" applyAlignment="1">
      <alignment horizontal="left" vertical="center"/>
    </xf>
    <xf numFmtId="49" fontId="37" fillId="0" borderId="0" xfId="0" applyNumberFormat="1" applyFont="1" applyAlignment="1">
      <alignment horizontal="center"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center" vertical="center"/>
    </xf>
    <xf numFmtId="0" fontId="34" fillId="0" borderId="0" xfId="1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NumberFormat="1" applyFont="1" applyAlignment="1">
      <alignment horizontal="left" vertical="center"/>
    </xf>
    <xf numFmtId="0" fontId="10" fillId="0" borderId="0" xfId="0" applyNumberFormat="1" applyFont="1" applyAlignment="1">
      <alignment horizontal="left" vertical="center"/>
    </xf>
    <xf numFmtId="0" fontId="10" fillId="18" borderId="0" xfId="0" applyNumberFormat="1" applyFont="1" applyFill="1" applyAlignment="1">
      <alignment horizontal="center" vertical="center"/>
    </xf>
    <xf numFmtId="0" fontId="9" fillId="2" borderId="2" xfId="0" applyNumberFormat="1" applyFont="1" applyFill="1" applyBorder="1" applyAlignment="1">
      <alignment horizontal="center" vertical="center"/>
    </xf>
    <xf numFmtId="0" fontId="34" fillId="0" borderId="0" xfId="11" applyNumberFormat="1" applyAlignment="1">
      <alignment horizontal="center" vertical="center"/>
    </xf>
    <xf numFmtId="0" fontId="34" fillId="0" borderId="0" xfId="11" applyAlignment="1">
      <alignment horizontal="center" vertical="center"/>
    </xf>
    <xf numFmtId="0" fontId="9" fillId="2" borderId="0" xfId="0" applyNumberFormat="1" applyFont="1" applyFill="1" applyBorder="1" applyAlignment="1">
      <alignment horizontal="center" vertical="center"/>
    </xf>
    <xf numFmtId="49" fontId="9" fillId="2" borderId="3" xfId="0" applyNumberFormat="1" applyFont="1" applyFill="1" applyBorder="1" applyAlignment="1">
      <alignment vertical="center"/>
    </xf>
    <xf numFmtId="49" fontId="11" fillId="3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9" fillId="2" borderId="0" xfId="0" applyNumberFormat="1" applyFont="1" applyFill="1" applyBorder="1" applyAlignment="1">
      <alignment horizontal="left" vertical="center"/>
    </xf>
    <xf numFmtId="0" fontId="29" fillId="14" borderId="0" xfId="0" applyNumberFormat="1" applyFont="1" applyFill="1" applyAlignment="1">
      <alignment horizontal="left" vertical="center"/>
    </xf>
    <xf numFmtId="0" fontId="29" fillId="0" borderId="0" xfId="0" applyNumberFormat="1" applyFont="1" applyAlignment="1">
      <alignment horizontal="left" vertical="center"/>
    </xf>
    <xf numFmtId="14" fontId="38" fillId="2" borderId="2" xfId="0" applyNumberFormat="1" applyFont="1" applyFill="1" applyBorder="1" applyAlignment="1">
      <alignment horizontal="center" vertical="center"/>
    </xf>
    <xf numFmtId="14" fontId="15" fillId="3" borderId="0" xfId="0" applyNumberFormat="1" applyFont="1" applyFill="1" applyAlignment="1">
      <alignment horizontal="center" vertical="center"/>
    </xf>
    <xf numFmtId="14" fontId="4" fillId="16" borderId="0" xfId="0" applyNumberFormat="1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16" fillId="16" borderId="0" xfId="10" applyNumberFormat="1" applyFont="1" applyFill="1" applyAlignment="1">
      <alignment horizontal="center" vertical="center"/>
    </xf>
    <xf numFmtId="14" fontId="16" fillId="0" borderId="0" xfId="0" applyNumberFormat="1" applyFont="1"/>
    <xf numFmtId="0" fontId="10" fillId="0" borderId="0" xfId="0" applyNumberFormat="1" applyFont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vertical="center" wrapText="1"/>
    </xf>
    <xf numFmtId="14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29" fillId="0" borderId="0" xfId="0" applyNumberFormat="1" applyFont="1" applyFill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right"/>
    </xf>
    <xf numFmtId="0" fontId="34" fillId="0" borderId="0" xfId="11" applyNumberFormat="1" applyFill="1" applyAlignment="1">
      <alignment horizontal="center" vertical="center"/>
    </xf>
    <xf numFmtId="49" fontId="0" fillId="19" borderId="0" xfId="0" applyNumberFormat="1" applyFill="1" applyAlignment="1">
      <alignment vertical="center"/>
    </xf>
    <xf numFmtId="0" fontId="8" fillId="10" borderId="0" xfId="0" applyNumberFormat="1" applyFont="1" applyFill="1" applyAlignment="1">
      <alignment horizontal="center" vertical="center"/>
    </xf>
    <xf numFmtId="0" fontId="10" fillId="10" borderId="0" xfId="0" applyNumberFormat="1" applyFont="1" applyFill="1" applyAlignment="1">
      <alignment vertical="center" wrapText="1"/>
    </xf>
    <xf numFmtId="0" fontId="12" fillId="10" borderId="0" xfId="0" applyNumberFormat="1" applyFont="1" applyFill="1" applyAlignment="1">
      <alignment horizontal="center" vertical="center"/>
    </xf>
    <xf numFmtId="0" fontId="10" fillId="10" borderId="0" xfId="0" applyNumberFormat="1" applyFont="1" applyFill="1" applyAlignment="1">
      <alignment horizontal="center" vertical="center"/>
    </xf>
    <xf numFmtId="14" fontId="10" fillId="10" borderId="0" xfId="0" applyNumberFormat="1" applyFont="1" applyFill="1" applyAlignment="1">
      <alignment horizontal="center" vertical="center"/>
    </xf>
    <xf numFmtId="14" fontId="4" fillId="10" borderId="0" xfId="0" applyNumberFormat="1" applyFont="1" applyFill="1" applyAlignment="1">
      <alignment horizontal="center" vertical="center"/>
    </xf>
    <xf numFmtId="0" fontId="10" fillId="10" borderId="0" xfId="0" applyNumberFormat="1" applyFont="1" applyFill="1" applyAlignment="1">
      <alignment horizontal="left" vertical="center"/>
    </xf>
    <xf numFmtId="0" fontId="4" fillId="10" borderId="0" xfId="0" applyNumberFormat="1" applyFont="1" applyFill="1" applyAlignment="1">
      <alignment horizontal="center" vertical="center"/>
    </xf>
    <xf numFmtId="49" fontId="10" fillId="10" borderId="0" xfId="0" applyNumberFormat="1" applyFont="1" applyFill="1" applyAlignment="1">
      <alignment horizontal="center" vertical="center"/>
    </xf>
    <xf numFmtId="0" fontId="0" fillId="10" borderId="0" xfId="0" applyNumberFormat="1" applyFill="1" applyAlignment="1">
      <alignment horizontal="center" vertical="center"/>
    </xf>
    <xf numFmtId="0" fontId="7" fillId="10" borderId="0" xfId="0" applyNumberFormat="1" applyFont="1" applyFill="1" applyAlignment="1">
      <alignment horizontal="center" vertical="center"/>
    </xf>
    <xf numFmtId="0" fontId="29" fillId="10" borderId="0" xfId="0" applyNumberFormat="1" applyFont="1" applyFill="1" applyAlignment="1">
      <alignment horizontal="center" vertical="center"/>
    </xf>
    <xf numFmtId="0" fontId="0" fillId="10" borderId="0" xfId="0" applyNumberFormat="1" applyFill="1"/>
    <xf numFmtId="0" fontId="29" fillId="10" borderId="0" xfId="0" applyNumberFormat="1" applyFont="1" applyFill="1" applyAlignment="1">
      <alignment horizontal="left" vertical="center"/>
    </xf>
    <xf numFmtId="0" fontId="0" fillId="10" borderId="0" xfId="0" applyNumberFormat="1" applyFill="1" applyAlignment="1">
      <alignment horizontal="right"/>
    </xf>
    <xf numFmtId="0" fontId="11" fillId="10" borderId="0" xfId="0" applyNumberFormat="1" applyFont="1" applyFill="1" applyAlignment="1">
      <alignment horizontal="center" vertical="center"/>
    </xf>
    <xf numFmtId="49" fontId="11" fillId="10" borderId="0" xfId="0" applyNumberFormat="1" applyFont="1" applyFill="1" applyAlignment="1">
      <alignment horizontal="center" vertical="center"/>
    </xf>
    <xf numFmtId="0" fontId="34" fillId="0" borderId="0" xfId="11"/>
    <xf numFmtId="0" fontId="0" fillId="0" borderId="0" xfId="0" applyNumberFormat="1" applyAlignment="1">
      <alignment horizontal="center"/>
    </xf>
    <xf numFmtId="0" fontId="10" fillId="0" borderId="0" xfId="0" applyNumberFormat="1" applyFont="1" applyAlignment="1">
      <alignment horizontal="left" vertical="center"/>
    </xf>
    <xf numFmtId="0" fontId="10" fillId="0" borderId="0" xfId="0" applyNumberFormat="1" applyFont="1" applyAlignment="1">
      <alignment horizontal="left" vertical="center"/>
    </xf>
    <xf numFmtId="0" fontId="10" fillId="0" borderId="45" xfId="0" applyNumberFormat="1" applyFont="1" applyBorder="1" applyAlignment="1">
      <alignment horizontal="center" vertical="center"/>
    </xf>
    <xf numFmtId="0" fontId="10" fillId="0" borderId="45" xfId="0" applyNumberFormat="1" applyFont="1" applyBorder="1" applyAlignment="1">
      <alignment horizontal="left" vertical="center"/>
    </xf>
    <xf numFmtId="14" fontId="10" fillId="0" borderId="45" xfId="0" applyNumberFormat="1" applyFont="1" applyBorder="1" applyAlignment="1">
      <alignment horizontal="center" vertical="center"/>
    </xf>
    <xf numFmtId="0" fontId="10" fillId="0" borderId="46" xfId="0" applyNumberFormat="1" applyFont="1" applyFill="1" applyBorder="1" applyAlignment="1">
      <alignment horizontal="center" vertical="center"/>
    </xf>
    <xf numFmtId="0" fontId="14" fillId="0" borderId="48" xfId="0" applyNumberFormat="1" applyFont="1" applyBorder="1" applyAlignment="1">
      <alignment horizontal="center" vertical="center"/>
    </xf>
    <xf numFmtId="0" fontId="10" fillId="0" borderId="48" xfId="0" applyNumberFormat="1" applyFont="1" applyBorder="1" applyAlignment="1">
      <alignment horizontal="left" vertical="center"/>
    </xf>
    <xf numFmtId="0" fontId="10" fillId="0" borderId="48" xfId="0" applyNumberFormat="1" applyFont="1" applyBorder="1" applyAlignment="1">
      <alignment horizontal="center" vertical="center"/>
    </xf>
    <xf numFmtId="14" fontId="10" fillId="0" borderId="48" xfId="0" applyNumberFormat="1" applyFont="1" applyBorder="1" applyAlignment="1">
      <alignment horizontal="center" vertical="center"/>
    </xf>
    <xf numFmtId="0" fontId="10" fillId="0" borderId="49" xfId="0" applyNumberFormat="1" applyFont="1" applyFill="1" applyBorder="1" applyAlignment="1">
      <alignment horizontal="center" vertical="center"/>
    </xf>
    <xf numFmtId="0" fontId="10" fillId="0" borderId="48" xfId="0" applyNumberFormat="1" applyFont="1" applyFill="1" applyBorder="1" applyAlignment="1">
      <alignment horizontal="left" vertical="center"/>
    </xf>
    <xf numFmtId="0" fontId="10" fillId="0" borderId="48" xfId="0" applyNumberFormat="1" applyFont="1" applyFill="1" applyBorder="1" applyAlignment="1">
      <alignment horizontal="center" vertical="center"/>
    </xf>
    <xf numFmtId="14" fontId="10" fillId="0" borderId="48" xfId="0" applyNumberFormat="1" applyFont="1" applyFill="1" applyBorder="1" applyAlignment="1">
      <alignment horizontal="center" vertical="center"/>
    </xf>
    <xf numFmtId="0" fontId="10" fillId="0" borderId="48" xfId="0" applyNumberFormat="1" applyFont="1" applyBorder="1" applyAlignment="1">
      <alignment vertical="center"/>
    </xf>
    <xf numFmtId="0" fontId="0" fillId="0" borderId="48" xfId="0" applyNumberFormat="1" applyBorder="1" applyAlignment="1">
      <alignment horizontal="left"/>
    </xf>
    <xf numFmtId="14" fontId="0" fillId="0" borderId="48" xfId="0" applyNumberFormat="1" applyBorder="1"/>
    <xf numFmtId="0" fontId="14" fillId="0" borderId="51" xfId="0" applyNumberFormat="1" applyFont="1" applyBorder="1" applyAlignment="1">
      <alignment horizontal="center" vertical="center"/>
    </xf>
    <xf numFmtId="0" fontId="10" fillId="0" borderId="51" xfId="0" applyNumberFormat="1" applyFont="1" applyBorder="1" applyAlignment="1">
      <alignment horizontal="left" vertical="center"/>
    </xf>
    <xf numFmtId="0" fontId="10" fillId="0" borderId="51" xfId="0" applyNumberFormat="1" applyFont="1" applyBorder="1" applyAlignment="1">
      <alignment horizontal="center" vertical="center"/>
    </xf>
    <xf numFmtId="14" fontId="10" fillId="0" borderId="51" xfId="0" applyNumberFormat="1" applyFont="1" applyBorder="1" applyAlignment="1">
      <alignment horizontal="center" vertical="center"/>
    </xf>
    <xf numFmtId="0" fontId="10" fillId="0" borderId="52" xfId="0" applyNumberFormat="1" applyFont="1" applyFill="1" applyBorder="1" applyAlignment="1">
      <alignment horizontal="center" vertical="center"/>
    </xf>
    <xf numFmtId="0" fontId="9" fillId="2" borderId="53" xfId="0" applyNumberFormat="1" applyFont="1" applyFill="1" applyBorder="1" applyAlignment="1">
      <alignment vertical="center"/>
    </xf>
    <xf numFmtId="0" fontId="9" fillId="2" borderId="54" xfId="0" applyNumberFormat="1" applyFont="1" applyFill="1" applyBorder="1" applyAlignment="1">
      <alignment horizontal="center" vertical="center"/>
    </xf>
    <xf numFmtId="0" fontId="9" fillId="2" borderId="54" xfId="0" applyNumberFormat="1" applyFont="1" applyFill="1" applyBorder="1" applyAlignment="1">
      <alignment horizontal="left" vertical="center"/>
    </xf>
    <xf numFmtId="0" fontId="9" fillId="2" borderId="54" xfId="0" applyNumberFormat="1" applyFont="1" applyFill="1" applyBorder="1" applyAlignment="1">
      <alignment horizontal="center" vertical="center" wrapText="1"/>
    </xf>
    <xf numFmtId="0" fontId="9" fillId="2" borderId="55" xfId="0" applyNumberFormat="1" applyFont="1" applyFill="1" applyBorder="1" applyAlignment="1">
      <alignment horizontal="center" vertical="center" wrapText="1"/>
    </xf>
    <xf numFmtId="0" fontId="14" fillId="0" borderId="45" xfId="0" applyNumberFormat="1" applyFont="1" applyBorder="1" applyAlignment="1">
      <alignment horizontal="center" vertical="center"/>
    </xf>
    <xf numFmtId="0" fontId="10" fillId="0" borderId="44" xfId="0" applyNumberFormat="1" applyFont="1" applyFill="1" applyBorder="1" applyAlignment="1">
      <alignment horizontal="center" vertical="center"/>
    </xf>
    <xf numFmtId="0" fontId="10" fillId="0" borderId="47" xfId="0" applyNumberFormat="1" applyFont="1" applyFill="1" applyBorder="1" applyAlignment="1">
      <alignment horizontal="center" vertical="center"/>
    </xf>
    <xf numFmtId="0" fontId="10" fillId="0" borderId="50" xfId="0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0" fontId="35" fillId="0" borderId="46" xfId="0" applyFont="1" applyBorder="1" applyAlignment="1">
      <alignment horizontal="center" vertical="center"/>
    </xf>
    <xf numFmtId="0" fontId="35" fillId="0" borderId="47" xfId="0" applyFont="1" applyBorder="1" applyAlignment="1">
      <alignment horizontal="center" vertical="center"/>
    </xf>
    <xf numFmtId="0" fontId="35" fillId="0" borderId="48" xfId="0" applyFont="1" applyBorder="1" applyAlignment="1">
      <alignment horizontal="center" vertical="center"/>
    </xf>
    <xf numFmtId="0" fontId="35" fillId="0" borderId="49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35" fillId="0" borderId="51" xfId="0" applyFont="1" applyBorder="1" applyAlignment="1">
      <alignment horizontal="center" vertical="center"/>
    </xf>
    <xf numFmtId="0" fontId="35" fillId="0" borderId="52" xfId="0" applyFont="1" applyBorder="1" applyAlignment="1">
      <alignment horizontal="center" vertical="center"/>
    </xf>
    <xf numFmtId="0" fontId="10" fillId="0" borderId="0" xfId="0" applyNumberFormat="1" applyFont="1" applyAlignment="1">
      <alignment horizontal="left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center" vertical="center"/>
    </xf>
    <xf numFmtId="0" fontId="17" fillId="0" borderId="4" xfId="7" applyFill="1" applyAlignment="1" applyProtection="1">
      <alignment horizontal="center" vertical="center"/>
      <protection hidden="1"/>
    </xf>
    <xf numFmtId="164" fontId="26" fillId="0" borderId="26" xfId="0" applyNumberFormat="1" applyFont="1" applyFill="1" applyBorder="1" applyAlignment="1" applyProtection="1">
      <alignment horizontal="center" vertical="center"/>
      <protection hidden="1"/>
    </xf>
    <xf numFmtId="164" fontId="26" fillId="0" borderId="27" xfId="0" applyNumberFormat="1" applyFont="1" applyFill="1" applyBorder="1" applyAlignment="1" applyProtection="1">
      <alignment horizontal="center" vertical="center"/>
      <protection hidden="1"/>
    </xf>
    <xf numFmtId="164" fontId="27" fillId="0" borderId="28" xfId="0" applyNumberFormat="1" applyFont="1" applyFill="1" applyBorder="1" applyAlignment="1" applyProtection="1">
      <alignment horizontal="center" vertical="center"/>
      <protection hidden="1"/>
    </xf>
    <xf numFmtId="164" fontId="27" fillId="0" borderId="29" xfId="0" applyNumberFormat="1" applyFont="1" applyFill="1" applyBorder="1" applyAlignment="1" applyProtection="1">
      <alignment horizontal="center" vertical="center"/>
      <protection hidden="1"/>
    </xf>
    <xf numFmtId="164" fontId="27" fillId="0" borderId="30" xfId="0" applyNumberFormat="1" applyFont="1" applyFill="1" applyBorder="1" applyAlignment="1" applyProtection="1">
      <alignment horizontal="center" vertical="center"/>
      <protection hidden="1"/>
    </xf>
    <xf numFmtId="10" fontId="0" fillId="0" borderId="28" xfId="0" applyNumberFormat="1" applyFill="1" applyBorder="1" applyAlignment="1" applyProtection="1">
      <alignment horizontal="center" vertical="center"/>
      <protection hidden="1"/>
    </xf>
    <xf numFmtId="10" fontId="0" fillId="0" borderId="29" xfId="0" applyNumberFormat="1" applyFill="1" applyBorder="1" applyAlignment="1" applyProtection="1">
      <alignment horizontal="center" vertical="center"/>
      <protection hidden="1"/>
    </xf>
    <xf numFmtId="10" fontId="0" fillId="0" borderId="30" xfId="0" applyNumberFormat="1" applyFill="1" applyBorder="1" applyAlignment="1" applyProtection="1">
      <alignment horizontal="center" vertical="center"/>
      <protection hidden="1"/>
    </xf>
    <xf numFmtId="0" fontId="18" fillId="0" borderId="7" xfId="8" applyFill="1" applyBorder="1" applyAlignment="1" applyProtection="1">
      <alignment horizontal="center" vertical="center"/>
      <protection hidden="1"/>
    </xf>
    <xf numFmtId="0" fontId="18" fillId="0" borderId="8" xfId="8" applyFill="1" applyBorder="1" applyAlignment="1" applyProtection="1">
      <alignment horizontal="center" vertical="center"/>
      <protection hidden="1"/>
    </xf>
    <xf numFmtId="0" fontId="21" fillId="9" borderId="14" xfId="0" applyFont="1" applyFill="1" applyBorder="1" applyAlignment="1" applyProtection="1">
      <alignment horizontal="center" vertical="center"/>
      <protection hidden="1"/>
    </xf>
    <xf numFmtId="0" fontId="21" fillId="9" borderId="15" xfId="0" applyFont="1" applyFill="1" applyBorder="1" applyAlignment="1" applyProtection="1">
      <alignment horizontal="center" vertical="center"/>
      <protection hidden="1"/>
    </xf>
    <xf numFmtId="0" fontId="21" fillId="9" borderId="16" xfId="0" applyFont="1" applyFill="1" applyBorder="1" applyAlignment="1" applyProtection="1">
      <alignment horizontal="center" vertical="center"/>
      <protection hidden="1"/>
    </xf>
    <xf numFmtId="0" fontId="21" fillId="9" borderId="17" xfId="0" applyFont="1" applyFill="1" applyBorder="1" applyAlignment="1" applyProtection="1">
      <alignment horizontal="center" vertical="center"/>
      <protection hidden="1"/>
    </xf>
    <xf numFmtId="0" fontId="21" fillId="9" borderId="0" xfId="0" applyFont="1" applyFill="1" applyBorder="1" applyAlignment="1" applyProtection="1">
      <alignment horizontal="center" vertical="center"/>
      <protection hidden="1"/>
    </xf>
    <xf numFmtId="0" fontId="21" fillId="9" borderId="18" xfId="0" applyFont="1" applyFill="1" applyBorder="1" applyAlignment="1" applyProtection="1">
      <alignment horizontal="center" vertical="center"/>
      <protection hidden="1"/>
    </xf>
    <xf numFmtId="0" fontId="21" fillId="9" borderId="19" xfId="0" applyFont="1" applyFill="1" applyBorder="1" applyAlignment="1" applyProtection="1">
      <alignment horizontal="center" vertical="center"/>
      <protection hidden="1"/>
    </xf>
    <xf numFmtId="0" fontId="21" fillId="9" borderId="20" xfId="0" applyFont="1" applyFill="1" applyBorder="1" applyAlignment="1" applyProtection="1">
      <alignment horizontal="center" vertical="center"/>
      <protection hidden="1"/>
    </xf>
    <xf numFmtId="0" fontId="21" fillId="9" borderId="21" xfId="0" applyFont="1" applyFill="1" applyBorder="1" applyAlignment="1" applyProtection="1">
      <alignment horizontal="center" vertical="center"/>
      <protection hidden="1"/>
    </xf>
    <xf numFmtId="164" fontId="22" fillId="9" borderId="15" xfId="0" applyNumberFormat="1" applyFont="1" applyFill="1" applyBorder="1" applyAlignment="1" applyProtection="1">
      <alignment horizontal="center" vertical="center"/>
      <protection hidden="1"/>
    </xf>
    <xf numFmtId="164" fontId="22" fillId="9" borderId="0" xfId="0" applyNumberFormat="1" applyFont="1" applyFill="1" applyBorder="1" applyAlignment="1" applyProtection="1">
      <alignment horizontal="center" vertical="center"/>
      <protection hidden="1"/>
    </xf>
    <xf numFmtId="164" fontId="23" fillId="9" borderId="15" xfId="0" applyNumberFormat="1" applyFont="1" applyFill="1" applyBorder="1" applyAlignment="1" applyProtection="1">
      <alignment horizontal="center" vertical="center"/>
      <protection hidden="1"/>
    </xf>
    <xf numFmtId="164" fontId="23" fillId="9" borderId="0" xfId="0" applyNumberFormat="1" applyFont="1" applyFill="1" applyBorder="1" applyAlignment="1" applyProtection="1">
      <alignment horizontal="center" vertical="center"/>
      <protection hidden="1"/>
    </xf>
    <xf numFmtId="0" fontId="21" fillId="13" borderId="15" xfId="0" applyFont="1" applyFill="1" applyBorder="1" applyAlignment="1" applyProtection="1">
      <alignment horizontal="center" vertical="center"/>
      <protection hidden="1"/>
    </xf>
    <xf numFmtId="0" fontId="21" fillId="13" borderId="0" xfId="0" applyFont="1" applyFill="1" applyBorder="1" applyAlignment="1" applyProtection="1">
      <alignment horizontal="center" vertical="center"/>
      <protection hidden="1"/>
    </xf>
    <xf numFmtId="164" fontId="22" fillId="13" borderId="15" xfId="0" applyNumberFormat="1" applyFont="1" applyFill="1" applyBorder="1" applyAlignment="1" applyProtection="1">
      <alignment horizontal="center" vertical="center"/>
      <protection hidden="1"/>
    </xf>
    <xf numFmtId="164" fontId="22" fillId="13" borderId="0" xfId="0" applyNumberFormat="1" applyFont="1" applyFill="1" applyBorder="1" applyAlignment="1" applyProtection="1">
      <alignment horizontal="center" vertical="center"/>
      <protection hidden="1"/>
    </xf>
    <xf numFmtId="164" fontId="23" fillId="13" borderId="15" xfId="0" applyNumberFormat="1" applyFont="1" applyFill="1" applyBorder="1" applyAlignment="1" applyProtection="1">
      <alignment horizontal="center" vertical="center"/>
      <protection hidden="1"/>
    </xf>
    <xf numFmtId="164" fontId="23" fillId="13" borderId="0" xfId="0" applyNumberFormat="1" applyFont="1" applyFill="1" applyBorder="1" applyAlignment="1" applyProtection="1">
      <alignment horizontal="center" vertical="center"/>
      <protection hidden="1"/>
    </xf>
    <xf numFmtId="164" fontId="25" fillId="13" borderId="0" xfId="0" applyNumberFormat="1" applyFont="1" applyFill="1" applyAlignment="1" applyProtection="1">
      <alignment horizontal="center" vertical="center"/>
      <protection hidden="1"/>
    </xf>
    <xf numFmtId="164" fontId="23" fillId="12" borderId="15" xfId="0" applyNumberFormat="1" applyFont="1" applyFill="1" applyBorder="1" applyAlignment="1" applyProtection="1">
      <alignment horizontal="center" vertical="center"/>
      <protection hidden="1"/>
    </xf>
    <xf numFmtId="164" fontId="23" fillId="12" borderId="0" xfId="0" applyNumberFormat="1" applyFont="1" applyFill="1" applyBorder="1" applyAlignment="1" applyProtection="1">
      <alignment horizontal="center" vertical="center"/>
      <protection hidden="1"/>
    </xf>
    <xf numFmtId="164" fontId="24" fillId="12" borderId="0" xfId="0" applyNumberFormat="1" applyFont="1" applyFill="1" applyAlignment="1" applyProtection="1">
      <alignment horizontal="center" vertical="center"/>
      <protection hidden="1"/>
    </xf>
    <xf numFmtId="0" fontId="21" fillId="12" borderId="15" xfId="0" applyFont="1" applyFill="1" applyBorder="1" applyAlignment="1" applyProtection="1">
      <alignment horizontal="center" vertical="center"/>
      <protection hidden="1"/>
    </xf>
    <xf numFmtId="0" fontId="21" fillId="12" borderId="0" xfId="0" applyFont="1" applyFill="1" applyBorder="1" applyAlignment="1" applyProtection="1">
      <alignment horizontal="center" vertical="center"/>
      <protection hidden="1"/>
    </xf>
    <xf numFmtId="164" fontId="22" fillId="12" borderId="15" xfId="0" applyNumberFormat="1" applyFont="1" applyFill="1" applyBorder="1" applyAlignment="1" applyProtection="1">
      <alignment horizontal="center" vertical="center"/>
      <protection hidden="1"/>
    </xf>
    <xf numFmtId="164" fontId="22" fillId="12" borderId="0" xfId="0" applyNumberFormat="1" applyFont="1" applyFill="1" applyBorder="1" applyAlignment="1" applyProtection="1">
      <alignment horizontal="center" vertical="center"/>
      <protection hidden="1"/>
    </xf>
    <xf numFmtId="0" fontId="19" fillId="10" borderId="0" xfId="0" applyFont="1" applyFill="1" applyAlignment="1" applyProtection="1">
      <alignment horizontal="center"/>
      <protection hidden="1"/>
    </xf>
    <xf numFmtId="0" fontId="19" fillId="11" borderId="0" xfId="0" applyFont="1" applyFill="1" applyAlignment="1" applyProtection="1">
      <alignment horizontal="center"/>
      <protection hidden="1"/>
    </xf>
    <xf numFmtId="0" fontId="19" fillId="7" borderId="0" xfId="0" applyFont="1" applyFill="1" applyAlignment="1" applyProtection="1">
      <alignment horizontal="center"/>
      <protection hidden="1"/>
    </xf>
  </cellXfs>
  <cellStyles count="35">
    <cellStyle name="Buena" xfId="10" builtinId="26"/>
    <cellStyle name="Encabezado 1" xfId="7" builtinId="16"/>
    <cellStyle name="Excel Built-in Normal" xfId="6"/>
    <cellStyle name="Hipervínculo" xfId="11" builtinId="8"/>
    <cellStyle name="Hipervínculo 2" xfId="5"/>
    <cellStyle name="Hipervínculo 2 2" xfId="15"/>
    <cellStyle name="Hipervínculo 2 3" xfId="16"/>
    <cellStyle name="Hipervínculo 2 4" xfId="17"/>
    <cellStyle name="Hipervínculo 3" xfId="1"/>
    <cellStyle name="Hipervínculo 4 2" xfId="18"/>
    <cellStyle name="Hipervínculo 4 3" xfId="19"/>
    <cellStyle name="Hipervínculo 4 4" xfId="20"/>
    <cellStyle name="Normal" xfId="0" builtinId="0"/>
    <cellStyle name="Normal 2" xfId="14"/>
    <cellStyle name="Normal 2 2" xfId="13"/>
    <cellStyle name="Normal 2 3" xfId="21"/>
    <cellStyle name="Normal 2 4" xfId="22"/>
    <cellStyle name="Normal 2 5" xfId="23"/>
    <cellStyle name="Normal 2 5 2" xfId="4"/>
    <cellStyle name="Normal 3" xfId="12"/>
    <cellStyle name="Normal 3 2" xfId="24"/>
    <cellStyle name="Normal 3 3" xfId="25"/>
    <cellStyle name="Normal 3 4" xfId="26"/>
    <cellStyle name="Normal 3 5" xfId="34"/>
    <cellStyle name="Normal 4" xfId="3"/>
    <cellStyle name="Normal 4 2" xfId="27"/>
    <cellStyle name="Normal 4 3" xfId="28"/>
    <cellStyle name="Normal 4 4" xfId="29"/>
    <cellStyle name="Normal 5" xfId="30"/>
    <cellStyle name="Normal 5 2" xfId="31"/>
    <cellStyle name="Normal 6" xfId="32"/>
    <cellStyle name="Normal 6 2" xfId="33"/>
    <cellStyle name="Normal 7" xfId="2"/>
    <cellStyle name="Título 2" xfId="8" builtinId="17"/>
    <cellStyle name="Total" xfId="9" builtinId="25"/>
  </cellStyles>
  <dxfs count="18">
    <dxf>
      <font>
        <color theme="9"/>
      </font>
      <fill>
        <patternFill patternType="solid">
          <fgColor auto="1"/>
          <bgColor theme="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/>
      </font>
      <fill>
        <patternFill patternType="solid">
          <fgColor auto="1"/>
          <bgColor theme="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/>
      </font>
      <fill>
        <patternFill patternType="solid">
          <fgColor auto="1"/>
          <bgColor theme="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/>
      </font>
      <fill>
        <patternFill patternType="solid">
          <fgColor auto="1"/>
          <bgColor theme="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/>
      </font>
      <fill>
        <patternFill patternType="solid">
          <fgColor auto="1"/>
          <bgColor theme="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/>
      </font>
      <fill>
        <patternFill patternType="solid">
          <fgColor auto="1"/>
          <bgColor theme="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/>
      </font>
      <fill>
        <patternFill patternType="solid">
          <fgColor auto="1"/>
          <bgColor theme="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/>
      </font>
      <fill>
        <patternFill patternType="solid">
          <fgColor auto="1"/>
          <bgColor theme="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/>
      </font>
      <fill>
        <patternFill patternType="solid">
          <fgColor auto="1"/>
          <bgColor theme="9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D840C2"/>
      <color rgb="FFFFC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TRICIA@SINTAR.ES" TargetMode="External"/><Relationship Id="rId13" Type="http://schemas.openxmlformats.org/officeDocument/2006/relationships/hyperlink" Target="mailto:AIDAJ.GRAFICA@GMAIL.COM" TargetMode="External"/><Relationship Id="rId18" Type="http://schemas.openxmlformats.org/officeDocument/2006/relationships/hyperlink" Target="mailto:SANTIAGODLOBO@GMAIL.COM" TargetMode="External"/><Relationship Id="rId3" Type="http://schemas.openxmlformats.org/officeDocument/2006/relationships/hyperlink" Target="mailto:ENRIQUETAJAVI@HOTMAIL.COM" TargetMode="External"/><Relationship Id="rId21" Type="http://schemas.openxmlformats.org/officeDocument/2006/relationships/hyperlink" Target="mailto:ADRIAN.MENCOR@GMAIL.COM" TargetMode="External"/><Relationship Id="rId7" Type="http://schemas.openxmlformats.org/officeDocument/2006/relationships/hyperlink" Target="mailto:PATRICIAPENMAR@HOTMAIL.ES" TargetMode="External"/><Relationship Id="rId12" Type="http://schemas.openxmlformats.org/officeDocument/2006/relationships/hyperlink" Target="mailto:CARMENCP79@GMAIL.COM" TargetMode="External"/><Relationship Id="rId17" Type="http://schemas.openxmlformats.org/officeDocument/2006/relationships/hyperlink" Target="mailto:CARANAS3@HOTMAIL.COM" TargetMode="External"/><Relationship Id="rId2" Type="http://schemas.openxmlformats.org/officeDocument/2006/relationships/hyperlink" Target="mailto:CRIS.82.GP@GMAIL.COM" TargetMode="External"/><Relationship Id="rId16" Type="http://schemas.openxmlformats.org/officeDocument/2006/relationships/hyperlink" Target="mailto:MARTAFER3107@GMAIL.COM" TargetMode="External"/><Relationship Id="rId20" Type="http://schemas.openxmlformats.org/officeDocument/2006/relationships/hyperlink" Target="mailto:INFO@OMARPARDO.COM" TargetMode="External"/><Relationship Id="rId1" Type="http://schemas.openxmlformats.org/officeDocument/2006/relationships/hyperlink" Target="mailto:JORGE.G.NORNIELLA@GMAIL.COM" TargetMode="External"/><Relationship Id="rId6" Type="http://schemas.openxmlformats.org/officeDocument/2006/relationships/hyperlink" Target="mailto:MIGUELBG.CONTACTO@GMAIL.COM" TargetMode="External"/><Relationship Id="rId11" Type="http://schemas.openxmlformats.org/officeDocument/2006/relationships/hyperlink" Target="mailto:GUSOGIJON@GMAIL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MANU1_VILLA@HOTMAIL.ES" TargetMode="External"/><Relationship Id="rId15" Type="http://schemas.openxmlformats.org/officeDocument/2006/relationships/hyperlink" Target="mailto:AURODERM@GMAIL.COM" TargetMode="External"/><Relationship Id="rId23" Type="http://schemas.openxmlformats.org/officeDocument/2006/relationships/hyperlink" Target="mailto:SOY.JOSEBA@GMAIL.COM" TargetMode="External"/><Relationship Id="rId10" Type="http://schemas.openxmlformats.org/officeDocument/2006/relationships/hyperlink" Target="mailto:VALERA_VLADOVYCH@LIST.RU" TargetMode="External"/><Relationship Id="rId19" Type="http://schemas.openxmlformats.org/officeDocument/2006/relationships/hyperlink" Target="mailto:CARMENGEMELOS@TELECABLE.ES" TargetMode="External"/><Relationship Id="rId4" Type="http://schemas.openxmlformats.org/officeDocument/2006/relationships/hyperlink" Target="mailto:CARLOSTOLIVIA@GMAIL.COM" TargetMode="External"/><Relationship Id="rId9" Type="http://schemas.openxmlformats.org/officeDocument/2006/relationships/hyperlink" Target="mailto:NUYISOYYO@GMAIL.COM" TargetMode="External"/><Relationship Id="rId14" Type="http://schemas.openxmlformats.org/officeDocument/2006/relationships/hyperlink" Target="mailto:JAVIERMORANPANDO@GMAIL.COM" TargetMode="External"/><Relationship Id="rId22" Type="http://schemas.openxmlformats.org/officeDocument/2006/relationships/hyperlink" Target="mailto:PATRIRUGAR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ESUSMORANPANDO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TRICIA@SINTAR.ES" TargetMode="External"/><Relationship Id="rId13" Type="http://schemas.openxmlformats.org/officeDocument/2006/relationships/hyperlink" Target="mailto:AIDAJ.GRAFICA@GMAIL.COM" TargetMode="External"/><Relationship Id="rId18" Type="http://schemas.openxmlformats.org/officeDocument/2006/relationships/hyperlink" Target="mailto:CARMENGEMELOS@TELECABLE.ES" TargetMode="External"/><Relationship Id="rId3" Type="http://schemas.openxmlformats.org/officeDocument/2006/relationships/hyperlink" Target="mailto:ENRIQUETAJAVI@HOTMAIL.COM" TargetMode="External"/><Relationship Id="rId21" Type="http://schemas.openxmlformats.org/officeDocument/2006/relationships/hyperlink" Target="mailto:PATRIRUGAR@HOTMAIL.COM" TargetMode="External"/><Relationship Id="rId7" Type="http://schemas.openxmlformats.org/officeDocument/2006/relationships/hyperlink" Target="mailto:PATRICIAPENMAR@HOTMAIL.ES" TargetMode="External"/><Relationship Id="rId12" Type="http://schemas.openxmlformats.org/officeDocument/2006/relationships/hyperlink" Target="mailto:CARMENCP79@GMAIL.COM" TargetMode="External"/><Relationship Id="rId17" Type="http://schemas.openxmlformats.org/officeDocument/2006/relationships/hyperlink" Target="mailto:SANTIAGODLOBO@GMAIL.COM" TargetMode="External"/><Relationship Id="rId2" Type="http://schemas.openxmlformats.org/officeDocument/2006/relationships/hyperlink" Target="mailto:CRIS.82.GP@GMAIL.COM" TargetMode="External"/><Relationship Id="rId16" Type="http://schemas.openxmlformats.org/officeDocument/2006/relationships/hyperlink" Target="mailto:CARANAS3@HOTMAIL.COM" TargetMode="External"/><Relationship Id="rId20" Type="http://schemas.openxmlformats.org/officeDocument/2006/relationships/hyperlink" Target="mailto:ADRIAN.MENCOR@GMAIL.COM" TargetMode="External"/><Relationship Id="rId1" Type="http://schemas.openxmlformats.org/officeDocument/2006/relationships/hyperlink" Target="mailto:JORGE.G.NORNIELLA@GMAIL.COM" TargetMode="External"/><Relationship Id="rId6" Type="http://schemas.openxmlformats.org/officeDocument/2006/relationships/hyperlink" Target="mailto:MIGUELBG.CONTACTO@GMAIL.COM" TargetMode="External"/><Relationship Id="rId11" Type="http://schemas.openxmlformats.org/officeDocument/2006/relationships/hyperlink" Target="mailto:GUSOGIJON@GMAIL.COM" TargetMode="External"/><Relationship Id="rId24" Type="http://schemas.openxmlformats.org/officeDocument/2006/relationships/hyperlink" Target="mailto:JESSICAMARTINEZFOTOGRAFA@GMAIL.COM" TargetMode="External"/><Relationship Id="rId5" Type="http://schemas.openxmlformats.org/officeDocument/2006/relationships/hyperlink" Target="mailto:MANU1_VILLA@HOTMAIL.ES" TargetMode="External"/><Relationship Id="rId15" Type="http://schemas.openxmlformats.org/officeDocument/2006/relationships/hyperlink" Target="mailto:AURODERM@GMAIL.COM" TargetMode="External"/><Relationship Id="rId23" Type="http://schemas.openxmlformats.org/officeDocument/2006/relationships/hyperlink" Target="mailto:YUNXIABEBE@HOTMAIL.COM" TargetMode="External"/><Relationship Id="rId10" Type="http://schemas.openxmlformats.org/officeDocument/2006/relationships/hyperlink" Target="mailto:VALERA_VLADOVYCH@LIST.RU" TargetMode="External"/><Relationship Id="rId19" Type="http://schemas.openxmlformats.org/officeDocument/2006/relationships/hyperlink" Target="mailto:INFO@OMARPARDO.COM" TargetMode="External"/><Relationship Id="rId4" Type="http://schemas.openxmlformats.org/officeDocument/2006/relationships/hyperlink" Target="mailto:CARLOSTOLIVIA@GMAIL.COM" TargetMode="External"/><Relationship Id="rId9" Type="http://schemas.openxmlformats.org/officeDocument/2006/relationships/hyperlink" Target="mailto:NUYISOYYO@GMAIL.COM" TargetMode="External"/><Relationship Id="rId14" Type="http://schemas.openxmlformats.org/officeDocument/2006/relationships/hyperlink" Target="mailto:JAVIERMORANPANDO@GMAIL.COM" TargetMode="External"/><Relationship Id="rId22" Type="http://schemas.openxmlformats.org/officeDocument/2006/relationships/hyperlink" Target="mailto:C.DIAZCORDERO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364"/>
  <sheetViews>
    <sheetView tabSelected="1" view="pageBreakPreview" topLeftCell="C1" zoomScaleNormal="85" zoomScaleSheetLayoutView="100" workbookViewId="0">
      <pane ySplit="1" topLeftCell="A191" activePane="bottomLeft" state="frozen"/>
      <selection pane="bottomLeft" activeCell="P211" sqref="P211"/>
    </sheetView>
  </sheetViews>
  <sheetFormatPr baseColWidth="10" defaultRowHeight="15" customHeight="1" x14ac:dyDescent="0.25"/>
  <cols>
    <col min="1" max="1" width="4.140625" style="96" hidden="1" customWidth="1"/>
    <col min="2" max="2" width="6.140625" style="9" hidden="1" customWidth="1"/>
    <col min="3" max="3" width="12.7109375" style="113" bestFit="1" customWidth="1"/>
    <col min="4" max="4" width="5.85546875" style="9" customWidth="1"/>
    <col min="5" max="5" width="11.5703125" style="9" bestFit="1" customWidth="1"/>
    <col min="6" max="6" width="12.140625" style="9" customWidth="1"/>
    <col min="7" max="7" width="11.28515625" style="9" customWidth="1"/>
    <col min="8" max="8" width="10.7109375" style="1" customWidth="1"/>
    <col min="9" max="9" width="12.140625" style="168" customWidth="1"/>
    <col min="10" max="10" width="9.7109375" style="9" customWidth="1"/>
    <col min="11" max="11" width="19.7109375" style="9" customWidth="1"/>
    <col min="12" max="12" width="24.7109375" style="9" customWidth="1"/>
    <col min="13" max="13" width="31" style="9" customWidth="1"/>
    <col min="14" max="14" width="12.5703125" style="9" customWidth="1"/>
    <col min="15" max="15" width="10.7109375" style="9" customWidth="1"/>
    <col min="16" max="16" width="16.5703125" style="9" customWidth="1"/>
    <col min="17" max="19" width="20.7109375" style="94" customWidth="1"/>
    <col min="20" max="20" width="8.140625" style="9" customWidth="1"/>
    <col min="21" max="21" width="11.42578125" style="9" customWidth="1"/>
    <col min="22" max="22" width="5.5703125" style="9" customWidth="1"/>
    <col min="23" max="23" width="15.140625" style="1" customWidth="1"/>
    <col min="24" max="24" width="4.28515625" style="9" customWidth="1"/>
    <col min="25" max="25" width="12.42578125" style="9" customWidth="1"/>
    <col min="26" max="26" width="45.7109375" style="94" customWidth="1"/>
    <col min="27" max="27" width="11.85546875" style="9" customWidth="1"/>
    <col min="28" max="28" width="20.7109375" style="9" customWidth="1"/>
    <col min="29" max="29" width="10.7109375" style="9" customWidth="1"/>
    <col min="30" max="30" width="19.140625" style="9" customWidth="1"/>
    <col min="31" max="31" width="9.140625" style="9" customWidth="1"/>
    <col min="32" max="32" width="11.7109375" style="9" customWidth="1"/>
    <col min="33" max="33" width="40.85546875" style="97" customWidth="1"/>
    <col min="34" max="37" width="9.7109375" style="114" customWidth="1"/>
    <col min="38" max="38" width="20.85546875" style="114" customWidth="1"/>
    <col min="39" max="39" width="3" style="9" customWidth="1"/>
    <col min="40" max="41" width="12.7109375" style="9" customWidth="1"/>
    <col min="42" max="43" width="11.42578125" style="116"/>
    <col min="44" max="44" width="36.140625" style="116" customWidth="1"/>
    <col min="45" max="45" width="2.5703125" style="116" customWidth="1"/>
    <col min="46" max="46" width="48.28515625" style="162" customWidth="1"/>
    <col min="47" max="47" width="11.42578125" style="116"/>
    <col min="48" max="48" width="2.5703125" style="9" customWidth="1"/>
    <col min="49" max="50" width="11.42578125" style="9"/>
    <col min="51" max="51" width="7.42578125" style="9" customWidth="1"/>
    <col min="52" max="52" width="14.85546875" style="158" customWidth="1"/>
    <col min="53" max="16384" width="11.42578125" style="9"/>
  </cols>
  <sheetData>
    <row r="1" spans="1:52" ht="15" customHeight="1" thickBot="1" x14ac:dyDescent="0.3">
      <c r="A1" s="72">
        <v>1</v>
      </c>
      <c r="B1" s="73" t="s">
        <v>1242</v>
      </c>
      <c r="C1" s="155" t="s">
        <v>819</v>
      </c>
      <c r="D1" s="75"/>
      <c r="E1" s="76" t="s">
        <v>580</v>
      </c>
      <c r="F1" s="76" t="s">
        <v>820</v>
      </c>
      <c r="G1" s="76" t="s">
        <v>821</v>
      </c>
      <c r="H1" s="138" t="s">
        <v>822</v>
      </c>
      <c r="I1" s="163" t="s">
        <v>579</v>
      </c>
      <c r="J1" s="76" t="s">
        <v>823</v>
      </c>
      <c r="K1" s="243" t="s">
        <v>824</v>
      </c>
      <c r="L1" s="244"/>
      <c r="M1" s="245"/>
      <c r="N1" s="144" t="s">
        <v>821</v>
      </c>
      <c r="O1" s="138" t="s">
        <v>822</v>
      </c>
      <c r="P1" s="76" t="s">
        <v>825</v>
      </c>
      <c r="Q1" s="77" t="s">
        <v>826</v>
      </c>
      <c r="R1" s="77" t="s">
        <v>827</v>
      </c>
      <c r="S1" s="77" t="s">
        <v>828</v>
      </c>
      <c r="T1" s="76" t="s">
        <v>829</v>
      </c>
      <c r="U1" s="76" t="s">
        <v>830</v>
      </c>
      <c r="V1" s="76" t="s">
        <v>831</v>
      </c>
      <c r="W1" s="98" t="s">
        <v>1241</v>
      </c>
      <c r="X1" s="103">
        <f ca="1">NOW()</f>
        <v>43409.712822337962</v>
      </c>
      <c r="Y1" s="76" t="s">
        <v>832</v>
      </c>
      <c r="Z1" s="77" t="s">
        <v>833</v>
      </c>
      <c r="AA1" s="76" t="s">
        <v>1122</v>
      </c>
      <c r="AB1" s="76" t="s">
        <v>834</v>
      </c>
      <c r="AC1" s="76" t="s">
        <v>835</v>
      </c>
      <c r="AD1" s="76" t="s">
        <v>836</v>
      </c>
      <c r="AE1" s="76" t="s">
        <v>1123</v>
      </c>
      <c r="AF1" s="76" t="s">
        <v>837</v>
      </c>
      <c r="AG1" s="145" t="s">
        <v>838</v>
      </c>
      <c r="AH1" s="109" t="s">
        <v>809</v>
      </c>
      <c r="AI1" s="109" t="s">
        <v>839</v>
      </c>
      <c r="AJ1" s="109" t="s">
        <v>840</v>
      </c>
      <c r="AK1" s="109" t="s">
        <v>808</v>
      </c>
      <c r="AL1" s="109" t="s">
        <v>841</v>
      </c>
      <c r="AM1" s="78"/>
      <c r="AN1" s="79" t="s">
        <v>842</v>
      </c>
      <c r="AO1" s="76">
        <v>2018</v>
      </c>
      <c r="AP1" s="115" t="str">
        <f>C1</f>
        <v>Nº SOCIO</v>
      </c>
      <c r="AQ1" s="154"/>
      <c r="AR1" s="154"/>
      <c r="AS1" s="154"/>
      <c r="AT1" s="160"/>
      <c r="AU1" s="154"/>
    </row>
    <row r="2" spans="1:52" ht="15" customHeight="1" x14ac:dyDescent="0.25">
      <c r="A2" s="72">
        <v>2</v>
      </c>
      <c r="B2" s="80"/>
      <c r="C2" s="156" t="s">
        <v>1576</v>
      </c>
      <c r="D2" s="81"/>
      <c r="E2" s="81"/>
      <c r="F2" s="81"/>
      <c r="G2" s="81"/>
      <c r="H2" s="139"/>
      <c r="I2" s="164"/>
      <c r="J2" s="81"/>
      <c r="K2" s="81"/>
      <c r="L2" s="81"/>
      <c r="M2" s="81"/>
      <c r="N2" s="81"/>
      <c r="O2" s="81"/>
      <c r="P2" s="81"/>
      <c r="Q2" s="82"/>
      <c r="R2" s="82"/>
      <c r="S2" s="82"/>
      <c r="T2" s="81"/>
      <c r="U2" s="81"/>
      <c r="V2" s="81"/>
      <c r="W2" s="3"/>
      <c r="X2" s="6"/>
      <c r="Y2" s="81"/>
      <c r="Z2" s="82"/>
      <c r="AA2" s="81"/>
      <c r="AB2" s="81"/>
      <c r="AC2" s="81"/>
      <c r="AD2" s="81"/>
      <c r="AE2" s="81"/>
      <c r="AF2" s="81"/>
      <c r="AG2" s="83"/>
      <c r="AH2" s="110"/>
      <c r="AI2" s="110"/>
      <c r="AJ2" s="110"/>
      <c r="AK2" s="110"/>
      <c r="AL2" s="110"/>
      <c r="AM2" s="84"/>
      <c r="AN2" s="85">
        <v>0</v>
      </c>
      <c r="AO2" s="86"/>
      <c r="AP2" s="117" t="str">
        <f>C2</f>
        <v>0001</v>
      </c>
      <c r="AQ2" s="117"/>
      <c r="AR2" s="117"/>
      <c r="AS2" s="117"/>
      <c r="AT2" s="161"/>
      <c r="AU2" s="117"/>
      <c r="AV2" s="9" t="str">
        <f>CONCATENATE(AH2,AI2,AJ2,AK2,AL2)</f>
        <v/>
      </c>
    </row>
    <row r="3" spans="1:52" ht="15" customHeight="1" x14ac:dyDescent="0.25">
      <c r="A3" s="72">
        <v>3</v>
      </c>
      <c r="B3" s="80"/>
      <c r="C3" s="157" t="s">
        <v>1717</v>
      </c>
      <c r="D3" s="5" t="s">
        <v>185</v>
      </c>
      <c r="E3" s="5" t="s">
        <v>581</v>
      </c>
      <c r="F3" s="5" t="s">
        <v>580</v>
      </c>
      <c r="G3" s="5" t="s">
        <v>810</v>
      </c>
      <c r="H3" s="2"/>
      <c r="I3" s="165">
        <v>43133</v>
      </c>
      <c r="J3" s="5" t="s">
        <v>581</v>
      </c>
      <c r="K3" s="5" t="s">
        <v>1236</v>
      </c>
      <c r="L3" s="5" t="s">
        <v>1231</v>
      </c>
      <c r="M3" s="5" t="str">
        <f>CONCATENATE(K3," ",L3)</f>
        <v>ZITRON-ASCAZ HOSPITALARIA</v>
      </c>
      <c r="N3" s="5"/>
      <c r="O3" s="5"/>
      <c r="P3" s="5" t="s">
        <v>3</v>
      </c>
      <c r="Q3" s="87" t="s">
        <v>1126</v>
      </c>
      <c r="R3" s="87" t="s">
        <v>1148</v>
      </c>
      <c r="S3" s="87" t="s">
        <v>63</v>
      </c>
      <c r="T3" s="5" t="s">
        <v>2</v>
      </c>
      <c r="U3" s="5" t="s">
        <v>187</v>
      </c>
      <c r="V3" s="5" t="s">
        <v>665</v>
      </c>
      <c r="W3" s="2">
        <v>28670</v>
      </c>
      <c r="X3" s="7">
        <f ca="1">YEAR($X$1)-YEAR(W3)</f>
        <v>40</v>
      </c>
      <c r="Y3" s="5" t="s">
        <v>1</v>
      </c>
      <c r="Z3" s="87" t="s">
        <v>186</v>
      </c>
      <c r="AA3" s="5">
        <v>5</v>
      </c>
      <c r="AB3" s="5" t="s">
        <v>185</v>
      </c>
      <c r="AC3" s="5" t="s">
        <v>0</v>
      </c>
      <c r="AD3" s="5" t="s">
        <v>31</v>
      </c>
      <c r="AE3" s="5">
        <v>33204</v>
      </c>
      <c r="AF3" s="5">
        <v>626080685</v>
      </c>
      <c r="AG3" s="88" t="s">
        <v>1731</v>
      </c>
      <c r="AH3" s="105" t="s">
        <v>1114</v>
      </c>
      <c r="AI3" s="105" t="s">
        <v>386</v>
      </c>
      <c r="AJ3" s="105" t="s">
        <v>184</v>
      </c>
      <c r="AK3" s="105">
        <v>49</v>
      </c>
      <c r="AL3" s="105" t="s">
        <v>183</v>
      </c>
      <c r="AM3" s="84"/>
      <c r="AN3" s="8"/>
      <c r="AO3" s="89">
        <v>10</v>
      </c>
      <c r="AQ3" s="116" t="str">
        <f>CONCATENATE("NS",C2,"AZ")</f>
        <v>NS0001AZ</v>
      </c>
      <c r="AR3" s="9" t="str">
        <f>CONCATENATE(Q3," ",R3," ",S3)</f>
        <v>JOSÉ MANUEL CÁRDENAS FERNÁNDEZ</v>
      </c>
      <c r="AS3" s="9"/>
      <c r="AT3" s="162" t="str">
        <f t="shared" ref="AT3:AT66" si="0">CONCATENATE(AQ3,"-",AR3,)</f>
        <v>NS0001AZ-JOSÉ MANUEL CÁRDENAS FERNÁNDEZ</v>
      </c>
      <c r="AU3" s="9" t="str">
        <f>U3</f>
        <v>53533040B</v>
      </c>
      <c r="AV3" s="116"/>
      <c r="AW3" s="9" t="str">
        <f>CONCATENATE(AH3,AI3,AJ3,AK3,AL3)</f>
        <v>ES1000750752490600294495</v>
      </c>
      <c r="AZ3" s="159">
        <f>I3</f>
        <v>43133</v>
      </c>
    </row>
    <row r="4" spans="1:52" ht="15" customHeight="1" x14ac:dyDescent="0.25">
      <c r="A4" s="72">
        <v>4</v>
      </c>
      <c r="B4" s="80"/>
      <c r="C4" s="157" t="s">
        <v>1717</v>
      </c>
      <c r="D4" s="5" t="s">
        <v>582</v>
      </c>
      <c r="E4" s="5" t="s">
        <v>581</v>
      </c>
      <c r="F4" s="5" t="s">
        <v>580</v>
      </c>
      <c r="G4" s="5" t="s">
        <v>810</v>
      </c>
      <c r="H4" s="2"/>
      <c r="I4" s="165"/>
      <c r="J4" s="5" t="s">
        <v>581</v>
      </c>
      <c r="K4" s="5" t="s">
        <v>1236</v>
      </c>
      <c r="L4" s="5" t="s">
        <v>1231</v>
      </c>
      <c r="M4" s="5" t="str">
        <f>CONCATENATE(K4," ",L4)</f>
        <v>ZITRON-ASCAZ HOSPITALARIA</v>
      </c>
      <c r="N4" s="5"/>
      <c r="O4" s="5"/>
      <c r="P4" s="5" t="s">
        <v>43</v>
      </c>
      <c r="Q4" s="87" t="s">
        <v>578</v>
      </c>
      <c r="R4" s="87" t="s">
        <v>434</v>
      </c>
      <c r="S4" s="87" t="s">
        <v>577</v>
      </c>
      <c r="T4" s="5" t="s">
        <v>2</v>
      </c>
      <c r="U4" s="5" t="s">
        <v>576</v>
      </c>
      <c r="V4" s="5" t="s">
        <v>646</v>
      </c>
      <c r="W4" s="2">
        <v>30005</v>
      </c>
      <c r="X4" s="7">
        <f ca="1">YEAR($X$1)-YEAR(W4)</f>
        <v>36</v>
      </c>
      <c r="Y4" s="5"/>
      <c r="Z4" s="87"/>
      <c r="AA4" s="5"/>
      <c r="AB4" s="5"/>
      <c r="AC4" s="5"/>
      <c r="AD4" s="5"/>
      <c r="AE4" s="5"/>
      <c r="AF4" s="5"/>
      <c r="AG4" s="88"/>
      <c r="AH4" s="105"/>
      <c r="AI4" s="105"/>
      <c r="AJ4" s="105"/>
      <c r="AK4" s="105"/>
      <c r="AL4" s="105"/>
      <c r="AM4" s="84"/>
      <c r="AN4" s="8"/>
      <c r="AO4" s="89">
        <v>10</v>
      </c>
      <c r="AR4" s="9"/>
      <c r="AS4" s="9"/>
      <c r="AT4" s="162" t="str">
        <f t="shared" si="0"/>
        <v>-</v>
      </c>
      <c r="AU4" s="9"/>
      <c r="AV4" s="116"/>
    </row>
    <row r="5" spans="1:52" ht="15" customHeight="1" x14ac:dyDescent="0.25">
      <c r="A5" s="72">
        <v>5</v>
      </c>
      <c r="B5" s="80"/>
      <c r="C5" s="157" t="s">
        <v>1717</v>
      </c>
      <c r="D5" s="5" t="s">
        <v>583</v>
      </c>
      <c r="E5" s="5" t="s">
        <v>581</v>
      </c>
      <c r="F5" s="5" t="s">
        <v>580</v>
      </c>
      <c r="G5" s="5">
        <v>2016</v>
      </c>
      <c r="H5" s="2"/>
      <c r="I5" s="165"/>
      <c r="J5" s="5" t="s">
        <v>581</v>
      </c>
      <c r="K5" s="5" t="s">
        <v>1236</v>
      </c>
      <c r="L5" s="5" t="s">
        <v>1230</v>
      </c>
      <c r="M5" s="5" t="str">
        <f>CONCATENATE(K5," ",L5)</f>
        <v>ZITRON-ASCAZ AMBULATORIA</v>
      </c>
      <c r="N5" s="5"/>
      <c r="O5" s="5"/>
      <c r="P5" s="90" t="s">
        <v>815</v>
      </c>
      <c r="Q5" s="87" t="s">
        <v>436</v>
      </c>
      <c r="R5" s="87" t="s">
        <v>1148</v>
      </c>
      <c r="S5" s="87" t="s">
        <v>434</v>
      </c>
      <c r="T5" s="5" t="s">
        <v>2</v>
      </c>
      <c r="U5" s="5" t="s">
        <v>435</v>
      </c>
      <c r="V5" s="5" t="s">
        <v>665</v>
      </c>
      <c r="W5" s="2">
        <v>42435</v>
      </c>
      <c r="X5" s="7">
        <f ca="1">YEAR($X$1)-YEAR(W5)</f>
        <v>2</v>
      </c>
      <c r="Y5" s="5"/>
      <c r="Z5" s="87"/>
      <c r="AA5" s="5"/>
      <c r="AB5" s="5"/>
      <c r="AC5" s="5"/>
      <c r="AD5" s="5"/>
      <c r="AE5" s="5"/>
      <c r="AF5" s="5"/>
      <c r="AG5" s="88"/>
      <c r="AH5" s="105"/>
      <c r="AI5" s="105"/>
      <c r="AJ5" s="105"/>
      <c r="AK5" s="105"/>
      <c r="AL5" s="105"/>
      <c r="AM5" s="84"/>
      <c r="AN5" s="8"/>
      <c r="AO5" s="89">
        <v>10</v>
      </c>
      <c r="AR5" s="9"/>
      <c r="AS5" s="9"/>
      <c r="AT5" s="162" t="str">
        <f t="shared" si="0"/>
        <v>-</v>
      </c>
      <c r="AU5" s="9"/>
      <c r="AV5" s="116"/>
    </row>
    <row r="6" spans="1:52" ht="15" customHeight="1" x14ac:dyDescent="0.25">
      <c r="A6" s="72">
        <v>6</v>
      </c>
      <c r="B6" s="80"/>
      <c r="C6" s="157" t="s">
        <v>1717</v>
      </c>
      <c r="D6" s="5" t="s">
        <v>593</v>
      </c>
      <c r="E6" s="5" t="s">
        <v>581</v>
      </c>
      <c r="F6" s="5" t="s">
        <v>580</v>
      </c>
      <c r="G6" s="5">
        <v>2017</v>
      </c>
      <c r="H6" s="2"/>
      <c r="I6" s="165"/>
      <c r="J6" s="5" t="s">
        <v>581</v>
      </c>
      <c r="K6" s="5" t="s">
        <v>1236</v>
      </c>
      <c r="L6" s="5" t="s">
        <v>1230</v>
      </c>
      <c r="M6" s="5" t="str">
        <f>CONCATENATE(K6," ",L6)</f>
        <v>ZITRON-ASCAZ AMBULATORIA</v>
      </c>
      <c r="N6" s="5"/>
      <c r="O6" s="5"/>
      <c r="P6" s="90" t="s">
        <v>815</v>
      </c>
      <c r="Q6" s="87" t="s">
        <v>287</v>
      </c>
      <c r="R6" s="87" t="s">
        <v>1148</v>
      </c>
      <c r="S6" s="87" t="s">
        <v>434</v>
      </c>
      <c r="T6" s="5" t="s">
        <v>2</v>
      </c>
      <c r="U6" s="5"/>
      <c r="V6" s="5" t="s">
        <v>665</v>
      </c>
      <c r="W6" s="2">
        <v>42849</v>
      </c>
      <c r="X6" s="7">
        <f ca="1">YEAR($X$1)-YEAR(W6)</f>
        <v>1</v>
      </c>
      <c r="Y6" s="5"/>
      <c r="Z6" s="87"/>
      <c r="AA6" s="5"/>
      <c r="AB6" s="5"/>
      <c r="AC6" s="5"/>
      <c r="AD6" s="5"/>
      <c r="AE6" s="5"/>
      <c r="AF6" s="5"/>
      <c r="AG6" s="88"/>
      <c r="AH6" s="105"/>
      <c r="AI6" s="105"/>
      <c r="AJ6" s="105"/>
      <c r="AK6" s="105"/>
      <c r="AL6" s="105"/>
      <c r="AM6" s="84"/>
      <c r="AN6" s="8"/>
      <c r="AO6" s="89">
        <v>10</v>
      </c>
      <c r="AR6" s="9"/>
      <c r="AS6" s="9"/>
      <c r="AT6" s="162" t="str">
        <f t="shared" si="0"/>
        <v>-</v>
      </c>
      <c r="AU6" s="9"/>
      <c r="AV6" s="116"/>
    </row>
    <row r="7" spans="1:52" ht="15" customHeight="1" x14ac:dyDescent="0.25">
      <c r="A7" s="72">
        <v>7</v>
      </c>
      <c r="B7" s="80"/>
      <c r="C7" s="157" t="s">
        <v>1717</v>
      </c>
      <c r="D7" s="5" t="s">
        <v>51</v>
      </c>
      <c r="E7" s="5" t="s">
        <v>729</v>
      </c>
      <c r="F7" s="5" t="s">
        <v>580</v>
      </c>
      <c r="G7" s="5">
        <v>2017</v>
      </c>
      <c r="H7" s="2"/>
      <c r="I7" s="165"/>
      <c r="J7" s="5" t="s">
        <v>581</v>
      </c>
      <c r="K7" s="5" t="s">
        <v>1229</v>
      </c>
      <c r="L7" s="5" t="s">
        <v>1231</v>
      </c>
      <c r="M7" s="5" t="str">
        <f>CONCATENATE(K7," ",L7)</f>
        <v>ASCAZ HOSPITALARIA</v>
      </c>
      <c r="N7" s="5"/>
      <c r="O7" s="5"/>
      <c r="P7" s="90" t="s">
        <v>818</v>
      </c>
      <c r="Q7" s="87" t="s">
        <v>182</v>
      </c>
      <c r="R7" s="87" t="s">
        <v>63</v>
      </c>
      <c r="S7" s="87" t="s">
        <v>63</v>
      </c>
      <c r="T7" s="5" t="s">
        <v>2</v>
      </c>
      <c r="U7" s="5" t="s">
        <v>181</v>
      </c>
      <c r="V7" s="5" t="s">
        <v>646</v>
      </c>
      <c r="W7" s="2">
        <v>19887</v>
      </c>
      <c r="X7" s="7">
        <f ca="1">YEAR($X$1)-YEAR(W7)</f>
        <v>64</v>
      </c>
      <c r="Y7" s="5" t="s">
        <v>171</v>
      </c>
      <c r="Z7" s="87" t="s">
        <v>180</v>
      </c>
      <c r="AA7" s="5">
        <v>29</v>
      </c>
      <c r="AB7" s="5" t="s">
        <v>179</v>
      </c>
      <c r="AC7" s="5" t="s">
        <v>0</v>
      </c>
      <c r="AD7" s="5" t="s">
        <v>31</v>
      </c>
      <c r="AE7" s="5">
        <v>33203</v>
      </c>
      <c r="AF7" s="5">
        <v>616098171</v>
      </c>
      <c r="AG7" s="88" t="s">
        <v>843</v>
      </c>
      <c r="AH7" s="105"/>
      <c r="AI7" s="105"/>
      <c r="AJ7" s="105"/>
      <c r="AK7" s="105"/>
      <c r="AL7" s="105"/>
      <c r="AM7" s="84"/>
      <c r="AN7" s="8"/>
      <c r="AO7" s="89">
        <v>10</v>
      </c>
      <c r="AR7" s="9"/>
      <c r="AS7" s="9"/>
      <c r="AT7" s="162" t="str">
        <f t="shared" si="0"/>
        <v>-</v>
      </c>
      <c r="AU7" s="9"/>
      <c r="AV7" s="116"/>
    </row>
    <row r="8" spans="1:52" ht="15" customHeight="1" x14ac:dyDescent="0.25">
      <c r="A8" s="72">
        <v>8</v>
      </c>
      <c r="B8" s="80"/>
      <c r="C8" s="156" t="s">
        <v>1577</v>
      </c>
      <c r="D8" s="81"/>
      <c r="E8" s="6"/>
      <c r="F8" s="6"/>
      <c r="G8" s="6"/>
      <c r="H8" s="4"/>
      <c r="I8" s="166"/>
      <c r="J8" s="6"/>
      <c r="K8" s="6"/>
      <c r="L8" s="6"/>
      <c r="M8" s="91"/>
      <c r="N8" s="91"/>
      <c r="O8" s="91"/>
      <c r="P8" s="6"/>
      <c r="Q8" s="92"/>
      <c r="R8" s="92"/>
      <c r="S8" s="92"/>
      <c r="T8" s="6"/>
      <c r="U8" s="6"/>
      <c r="V8" s="6"/>
      <c r="W8" s="4"/>
      <c r="X8" s="6"/>
      <c r="Y8" s="6"/>
      <c r="Z8" s="92"/>
      <c r="AA8" s="6"/>
      <c r="AB8" s="6"/>
      <c r="AC8" s="6"/>
      <c r="AD8" s="6"/>
      <c r="AE8" s="6"/>
      <c r="AF8" s="6"/>
      <c r="AG8" s="93"/>
      <c r="AH8" s="110"/>
      <c r="AI8" s="110"/>
      <c r="AJ8" s="110"/>
      <c r="AK8" s="110"/>
      <c r="AL8" s="110"/>
      <c r="AM8" s="84"/>
      <c r="AN8" s="85">
        <v>0</v>
      </c>
      <c r="AO8" s="85"/>
      <c r="AP8" s="117" t="str">
        <f>C8</f>
        <v>0002</v>
      </c>
      <c r="AR8" s="9"/>
      <c r="AS8" s="9"/>
      <c r="AT8" s="162" t="str">
        <f t="shared" si="0"/>
        <v>-</v>
      </c>
      <c r="AU8" s="9"/>
      <c r="AV8" s="116"/>
    </row>
    <row r="9" spans="1:52" ht="15" customHeight="1" x14ac:dyDescent="0.25">
      <c r="A9" s="72">
        <v>9</v>
      </c>
      <c r="B9" s="80"/>
      <c r="C9" s="157" t="s">
        <v>1717</v>
      </c>
      <c r="D9" s="5" t="s">
        <v>584</v>
      </c>
      <c r="E9" s="5" t="s">
        <v>581</v>
      </c>
      <c r="F9" s="5" t="s">
        <v>580</v>
      </c>
      <c r="G9" s="5" t="s">
        <v>810</v>
      </c>
      <c r="H9" s="2"/>
      <c r="I9" s="165">
        <v>43132</v>
      </c>
      <c r="J9" s="5" t="s">
        <v>581</v>
      </c>
      <c r="K9" s="5" t="s">
        <v>1236</v>
      </c>
      <c r="L9" s="5" t="s">
        <v>1231</v>
      </c>
      <c r="M9" s="5" t="str">
        <f>CONCATENATE(K9," ",L9)</f>
        <v>ZITRON-ASCAZ HOSPITALARIA</v>
      </c>
      <c r="N9" s="5"/>
      <c r="O9" s="5"/>
      <c r="P9" s="5" t="s">
        <v>3</v>
      </c>
      <c r="Q9" s="87" t="s">
        <v>844</v>
      </c>
      <c r="R9" s="87" t="s">
        <v>9</v>
      </c>
      <c r="S9" s="87" t="s">
        <v>63</v>
      </c>
      <c r="T9" s="5" t="s">
        <v>2</v>
      </c>
      <c r="U9" s="5" t="s">
        <v>433</v>
      </c>
      <c r="V9" s="5" t="s">
        <v>665</v>
      </c>
      <c r="W9" s="2">
        <v>27210</v>
      </c>
      <c r="X9" s="7">
        <f t="shared" ref="X9:X13" ca="1" si="1">YEAR($X$1)-YEAR(W9)</f>
        <v>44</v>
      </c>
      <c r="Y9" s="5" t="s">
        <v>1</v>
      </c>
      <c r="Z9" s="87" t="s">
        <v>845</v>
      </c>
      <c r="AA9" s="5">
        <v>31</v>
      </c>
      <c r="AB9" s="5" t="s">
        <v>185</v>
      </c>
      <c r="AC9" s="5" t="s">
        <v>0</v>
      </c>
      <c r="AD9" s="5" t="s">
        <v>31</v>
      </c>
      <c r="AE9" s="5">
        <v>33207</v>
      </c>
      <c r="AF9" s="5">
        <v>659453468</v>
      </c>
      <c r="AG9" s="88" t="s">
        <v>846</v>
      </c>
      <c r="AH9" s="105" t="s">
        <v>1320</v>
      </c>
      <c r="AI9" s="105" t="s">
        <v>1321</v>
      </c>
      <c r="AJ9" s="105" t="s">
        <v>1322</v>
      </c>
      <c r="AK9" s="105" t="s">
        <v>1323</v>
      </c>
      <c r="AL9" s="105" t="s">
        <v>1324</v>
      </c>
      <c r="AM9" s="84"/>
      <c r="AN9" s="8"/>
      <c r="AO9" s="89">
        <v>10</v>
      </c>
      <c r="AQ9" s="116" t="str">
        <f>CONCATENATE("NS",C8,"AZ")</f>
        <v>NS0002AZ</v>
      </c>
      <c r="AR9" s="9" t="str">
        <f>CONCATENATE(Q9," ",R9," ",S9)</f>
        <v>JOSÉ CARLOS OTERO FERNÁNDEZ</v>
      </c>
      <c r="AS9" s="9"/>
      <c r="AT9" s="162" t="str">
        <f t="shared" si="0"/>
        <v>NS0002AZ-JOSÉ CARLOS OTERO FERNÁNDEZ</v>
      </c>
      <c r="AU9" s="9" t="str">
        <f>U9</f>
        <v>10895200P</v>
      </c>
      <c r="AV9" s="116"/>
      <c r="AW9" s="9" t="str">
        <f>CONCATENATE(AH9,AI9,AJ9,AK9,AL9)</f>
        <v>ES0721084779820033054856</v>
      </c>
      <c r="AZ9" s="159">
        <v>43132</v>
      </c>
    </row>
    <row r="10" spans="1:52" ht="15" customHeight="1" x14ac:dyDescent="0.25">
      <c r="A10" s="72">
        <v>10</v>
      </c>
      <c r="B10" s="80"/>
      <c r="C10" s="157" t="s">
        <v>1717</v>
      </c>
      <c r="D10" s="5" t="s">
        <v>572</v>
      </c>
      <c r="E10" s="5" t="s">
        <v>581</v>
      </c>
      <c r="F10" s="5" t="s">
        <v>580</v>
      </c>
      <c r="G10" s="5" t="s">
        <v>810</v>
      </c>
      <c r="H10" s="2"/>
      <c r="I10" s="165"/>
      <c r="J10" s="5" t="s">
        <v>581</v>
      </c>
      <c r="K10" s="5" t="s">
        <v>1236</v>
      </c>
      <c r="L10" s="5" t="s">
        <v>1231</v>
      </c>
      <c r="M10" s="5" t="str">
        <f>CONCATENATE(K10," ",L10)</f>
        <v>ZITRON-ASCAZ HOSPITALARIA</v>
      </c>
      <c r="N10" s="5"/>
      <c r="O10" s="5"/>
      <c r="P10" s="5" t="s">
        <v>43</v>
      </c>
      <c r="Q10" s="87" t="s">
        <v>1135</v>
      </c>
      <c r="R10" s="87" t="s">
        <v>847</v>
      </c>
      <c r="S10" s="87" t="s">
        <v>848</v>
      </c>
      <c r="T10" s="5" t="s">
        <v>2</v>
      </c>
      <c r="U10" s="5" t="s">
        <v>575</v>
      </c>
      <c r="V10" s="5" t="s">
        <v>646</v>
      </c>
      <c r="W10" s="2">
        <v>29128</v>
      </c>
      <c r="X10" s="7">
        <f t="shared" ca="1" si="1"/>
        <v>39</v>
      </c>
      <c r="Y10" s="5"/>
      <c r="Z10" s="87"/>
      <c r="AA10" s="5"/>
      <c r="AB10" s="5"/>
      <c r="AC10" s="5"/>
      <c r="AD10" s="5"/>
      <c r="AE10" s="5"/>
      <c r="AF10" s="5"/>
      <c r="AG10" s="88" t="s">
        <v>1574</v>
      </c>
      <c r="AH10" s="105"/>
      <c r="AI10" s="105"/>
      <c r="AJ10" s="105"/>
      <c r="AK10" s="105"/>
      <c r="AL10" s="105"/>
      <c r="AM10" s="84"/>
      <c r="AN10" s="8"/>
      <c r="AO10" s="89">
        <v>10</v>
      </c>
      <c r="AR10" s="9"/>
      <c r="AS10" s="9"/>
      <c r="AT10" s="162" t="str">
        <f t="shared" si="0"/>
        <v>-</v>
      </c>
      <c r="AU10" s="9"/>
      <c r="AV10" s="116"/>
    </row>
    <row r="11" spans="1:52" ht="15" customHeight="1" x14ac:dyDescent="0.25">
      <c r="A11" s="72">
        <v>11</v>
      </c>
      <c r="B11" s="80"/>
      <c r="C11" s="157" t="s">
        <v>1717</v>
      </c>
      <c r="D11" s="5" t="s">
        <v>104</v>
      </c>
      <c r="E11" s="5" t="s">
        <v>581</v>
      </c>
      <c r="F11" s="5" t="s">
        <v>580</v>
      </c>
      <c r="G11" s="5" t="s">
        <v>810</v>
      </c>
      <c r="H11" s="2"/>
      <c r="I11" s="165"/>
      <c r="J11" s="5" t="s">
        <v>581</v>
      </c>
      <c r="K11" s="5" t="s">
        <v>1236</v>
      </c>
      <c r="L11" s="5" t="s">
        <v>1231</v>
      </c>
      <c r="M11" s="5" t="str">
        <f>CONCATENATE(K11," ",L11)</f>
        <v>ZITRON-ASCAZ HOSPITALARIA</v>
      </c>
      <c r="N11" s="5"/>
      <c r="O11" s="5"/>
      <c r="P11" s="90" t="s">
        <v>815</v>
      </c>
      <c r="Q11" s="87" t="s">
        <v>849</v>
      </c>
      <c r="R11" s="87" t="s">
        <v>9</v>
      </c>
      <c r="S11" s="87" t="s">
        <v>847</v>
      </c>
      <c r="T11" s="5" t="s">
        <v>2</v>
      </c>
      <c r="U11" s="5" t="s">
        <v>574</v>
      </c>
      <c r="V11" s="5" t="s">
        <v>646</v>
      </c>
      <c r="W11" s="2">
        <v>36280</v>
      </c>
      <c r="X11" s="7">
        <f t="shared" ca="1" si="1"/>
        <v>19</v>
      </c>
      <c r="Y11" s="5"/>
      <c r="Z11" s="87"/>
      <c r="AA11" s="5"/>
      <c r="AB11" s="5"/>
      <c r="AC11" s="5"/>
      <c r="AD11" s="5"/>
      <c r="AE11" s="5"/>
      <c r="AF11" s="5"/>
      <c r="AG11" s="88"/>
      <c r="AH11" s="105"/>
      <c r="AI11" s="105"/>
      <c r="AJ11" s="105"/>
      <c r="AK11" s="105"/>
      <c r="AL11" s="105"/>
      <c r="AM11" s="84"/>
      <c r="AN11" s="8"/>
      <c r="AO11" s="89">
        <v>10</v>
      </c>
      <c r="AR11" s="9"/>
      <c r="AS11" s="9"/>
      <c r="AT11" s="162" t="str">
        <f t="shared" si="0"/>
        <v>-</v>
      </c>
      <c r="AU11" s="9"/>
      <c r="AV11" s="116"/>
    </row>
    <row r="12" spans="1:52" ht="15" customHeight="1" x14ac:dyDescent="0.25">
      <c r="A12" s="72">
        <v>12</v>
      </c>
      <c r="B12" s="80"/>
      <c r="C12" s="157" t="s">
        <v>1717</v>
      </c>
      <c r="D12" s="5" t="s">
        <v>400</v>
      </c>
      <c r="E12" s="5" t="s">
        <v>581</v>
      </c>
      <c r="F12" s="5" t="s">
        <v>580</v>
      </c>
      <c r="G12" s="5" t="s">
        <v>810</v>
      </c>
      <c r="H12" s="2"/>
      <c r="I12" s="165"/>
      <c r="J12" s="5" t="s">
        <v>581</v>
      </c>
      <c r="K12" s="5" t="s">
        <v>1236</v>
      </c>
      <c r="L12" s="5" t="s">
        <v>1230</v>
      </c>
      <c r="M12" s="5" t="str">
        <f>CONCATENATE(K12," ",L12)</f>
        <v>ZITRON-ASCAZ AMBULATORIA</v>
      </c>
      <c r="N12" s="5"/>
      <c r="O12" s="5"/>
      <c r="P12" s="90" t="s">
        <v>815</v>
      </c>
      <c r="Q12" s="87" t="s">
        <v>439</v>
      </c>
      <c r="R12" s="87" t="s">
        <v>9</v>
      </c>
      <c r="S12" s="87" t="s">
        <v>847</v>
      </c>
      <c r="T12" s="5" t="s">
        <v>2</v>
      </c>
      <c r="U12" s="5" t="s">
        <v>432</v>
      </c>
      <c r="V12" s="5" t="s">
        <v>646</v>
      </c>
      <c r="W12" s="2">
        <v>39384</v>
      </c>
      <c r="X12" s="7">
        <f t="shared" ca="1" si="1"/>
        <v>11</v>
      </c>
      <c r="Y12" s="5"/>
      <c r="Z12" s="87"/>
      <c r="AA12" s="5"/>
      <c r="AB12" s="5"/>
      <c r="AC12" s="5"/>
      <c r="AD12" s="5"/>
      <c r="AE12" s="5"/>
      <c r="AF12" s="5"/>
      <c r="AG12" s="88"/>
      <c r="AH12" s="105"/>
      <c r="AI12" s="105"/>
      <c r="AJ12" s="105"/>
      <c r="AK12" s="105"/>
      <c r="AL12" s="105"/>
      <c r="AM12" s="84"/>
      <c r="AN12" s="8"/>
      <c r="AO12" s="89">
        <v>10</v>
      </c>
      <c r="AR12" s="9"/>
      <c r="AS12" s="9"/>
      <c r="AT12" s="162" t="str">
        <f t="shared" si="0"/>
        <v>-</v>
      </c>
      <c r="AU12" s="9"/>
      <c r="AV12" s="116"/>
    </row>
    <row r="13" spans="1:52" ht="15" customHeight="1" x14ac:dyDescent="0.25">
      <c r="A13" s="72">
        <v>13</v>
      </c>
      <c r="B13" s="80"/>
      <c r="C13" s="157" t="s">
        <v>1717</v>
      </c>
      <c r="D13" s="5" t="s">
        <v>594</v>
      </c>
      <c r="E13" s="5" t="s">
        <v>581</v>
      </c>
      <c r="F13" s="5" t="s">
        <v>580</v>
      </c>
      <c r="G13" s="5">
        <v>2012</v>
      </c>
      <c r="H13" s="2"/>
      <c r="I13" s="165"/>
      <c r="J13" s="5" t="s">
        <v>581</v>
      </c>
      <c r="K13" s="5" t="s">
        <v>1236</v>
      </c>
      <c r="L13" s="5" t="s">
        <v>1230</v>
      </c>
      <c r="M13" s="5" t="str">
        <f>CONCATENATE(K13," ",L13)</f>
        <v>ZITRON-ASCAZ AMBULATORIA</v>
      </c>
      <c r="N13" s="5"/>
      <c r="O13" s="5"/>
      <c r="P13" s="90" t="s">
        <v>815</v>
      </c>
      <c r="Q13" s="87" t="s">
        <v>850</v>
      </c>
      <c r="R13" s="87" t="s">
        <v>9</v>
      </c>
      <c r="S13" s="87" t="s">
        <v>847</v>
      </c>
      <c r="T13" s="5" t="s">
        <v>2</v>
      </c>
      <c r="U13" s="5" t="s">
        <v>431</v>
      </c>
      <c r="V13" s="5" t="s">
        <v>646</v>
      </c>
      <c r="W13" s="2">
        <v>41243</v>
      </c>
      <c r="X13" s="7">
        <f t="shared" ca="1" si="1"/>
        <v>6</v>
      </c>
      <c r="Y13" s="5"/>
      <c r="Z13" s="87"/>
      <c r="AA13" s="5"/>
      <c r="AB13" s="5"/>
      <c r="AC13" s="5"/>
      <c r="AD13" s="5"/>
      <c r="AE13" s="5"/>
      <c r="AF13" s="5"/>
      <c r="AG13" s="88"/>
      <c r="AH13" s="105"/>
      <c r="AI13" s="105"/>
      <c r="AJ13" s="105"/>
      <c r="AK13" s="105"/>
      <c r="AL13" s="105"/>
      <c r="AM13" s="84"/>
      <c r="AN13" s="8"/>
      <c r="AO13" s="89">
        <v>10</v>
      </c>
      <c r="AR13" s="9"/>
      <c r="AS13" s="9"/>
      <c r="AT13" s="162" t="str">
        <f t="shared" si="0"/>
        <v>-</v>
      </c>
      <c r="AU13" s="9"/>
      <c r="AV13" s="116"/>
    </row>
    <row r="14" spans="1:52" ht="15" customHeight="1" x14ac:dyDescent="0.25">
      <c r="A14" s="72">
        <v>14</v>
      </c>
      <c r="B14" s="80"/>
      <c r="C14" s="156" t="s">
        <v>44</v>
      </c>
      <c r="D14" s="81"/>
      <c r="E14" s="6"/>
      <c r="F14" s="6"/>
      <c r="G14" s="6"/>
      <c r="H14" s="4"/>
      <c r="I14" s="166"/>
      <c r="J14" s="6"/>
      <c r="K14" s="6"/>
      <c r="L14" s="6"/>
      <c r="M14" s="91"/>
      <c r="N14" s="91"/>
      <c r="O14" s="91"/>
      <c r="P14" s="6"/>
      <c r="Q14" s="92"/>
      <c r="R14" s="92"/>
      <c r="S14" s="92"/>
      <c r="T14" s="6"/>
      <c r="U14" s="6"/>
      <c r="V14" s="6"/>
      <c r="W14" s="4"/>
      <c r="X14" s="6"/>
      <c r="Y14" s="6"/>
      <c r="Z14" s="92"/>
      <c r="AA14" s="6"/>
      <c r="AB14" s="6"/>
      <c r="AC14" s="6"/>
      <c r="AD14" s="6"/>
      <c r="AE14" s="6"/>
      <c r="AF14" s="6"/>
      <c r="AG14" s="93"/>
      <c r="AH14" s="110"/>
      <c r="AI14" s="110"/>
      <c r="AJ14" s="110"/>
      <c r="AK14" s="110"/>
      <c r="AL14" s="110"/>
      <c r="AM14" s="84"/>
      <c r="AN14" s="85">
        <v>0</v>
      </c>
      <c r="AO14" s="85"/>
      <c r="AP14" s="117" t="str">
        <f>C14</f>
        <v>0003</v>
      </c>
      <c r="AR14" s="9"/>
      <c r="AS14" s="9"/>
      <c r="AT14" s="162" t="str">
        <f t="shared" si="0"/>
        <v>-</v>
      </c>
      <c r="AU14" s="9"/>
      <c r="AV14" s="116"/>
    </row>
    <row r="15" spans="1:52" ht="15" customHeight="1" x14ac:dyDescent="0.25">
      <c r="A15" s="72">
        <v>15</v>
      </c>
      <c r="B15" s="80"/>
      <c r="C15" s="157" t="s">
        <v>1717</v>
      </c>
      <c r="D15" s="5" t="s">
        <v>179</v>
      </c>
      <c r="E15" s="5" t="s">
        <v>581</v>
      </c>
      <c r="F15" s="5" t="s">
        <v>580</v>
      </c>
      <c r="G15" s="5" t="s">
        <v>810</v>
      </c>
      <c r="H15" s="2"/>
      <c r="I15" s="165">
        <v>43110</v>
      </c>
      <c r="J15" s="5" t="s">
        <v>581</v>
      </c>
      <c r="K15" s="5" t="s">
        <v>1236</v>
      </c>
      <c r="L15" s="5" t="s">
        <v>1231</v>
      </c>
      <c r="M15" s="5" t="str">
        <f>CONCATENATE(K15," ",L15)</f>
        <v>ZITRON-ASCAZ HOSPITALARIA</v>
      </c>
      <c r="N15" s="5"/>
      <c r="O15" s="5"/>
      <c r="P15" s="5" t="s">
        <v>154</v>
      </c>
      <c r="Q15" s="87" t="s">
        <v>851</v>
      </c>
      <c r="R15" s="87" t="s">
        <v>403</v>
      </c>
      <c r="S15" s="87" t="s">
        <v>852</v>
      </c>
      <c r="T15" s="5" t="s">
        <v>2</v>
      </c>
      <c r="U15" s="5" t="s">
        <v>573</v>
      </c>
      <c r="V15" s="5" t="s">
        <v>646</v>
      </c>
      <c r="W15" s="2">
        <v>27457</v>
      </c>
      <c r="X15" s="7">
        <f ca="1">YEAR($X$1)-YEAR(W15)</f>
        <v>43</v>
      </c>
      <c r="Y15" s="5" t="s">
        <v>1</v>
      </c>
      <c r="Z15" s="87" t="s">
        <v>853</v>
      </c>
      <c r="AA15" s="5">
        <v>38</v>
      </c>
      <c r="AB15" s="5" t="s">
        <v>572</v>
      </c>
      <c r="AC15" s="5" t="s">
        <v>0</v>
      </c>
      <c r="AD15" s="5" t="s">
        <v>31</v>
      </c>
      <c r="AE15" s="5">
        <v>33209</v>
      </c>
      <c r="AF15" s="5"/>
      <c r="AG15" s="88" t="s">
        <v>854</v>
      </c>
      <c r="AH15" s="105" t="s">
        <v>1306</v>
      </c>
      <c r="AI15" s="105" t="s">
        <v>17</v>
      </c>
      <c r="AJ15" s="105" t="s">
        <v>1391</v>
      </c>
      <c r="AK15" s="105" t="s">
        <v>1392</v>
      </c>
      <c r="AL15" s="105" t="s">
        <v>1393</v>
      </c>
      <c r="AM15" s="84"/>
      <c r="AN15" s="8"/>
      <c r="AO15" s="89">
        <v>10</v>
      </c>
      <c r="AQ15" s="116" t="str">
        <f>CONCATENATE("NS",C14,"AZ")</f>
        <v>NS0003AZ</v>
      </c>
      <c r="AR15" s="9" t="str">
        <f>CONCATENATE(Q15," ",R15," ",S15)</f>
        <v>CAROLINA BLANCO SANJURJO</v>
      </c>
      <c r="AS15" s="9"/>
      <c r="AT15" s="162" t="str">
        <f t="shared" si="0"/>
        <v>NS0003AZ-CAROLINA BLANCO SANJURJO</v>
      </c>
      <c r="AU15" s="9" t="str">
        <f>U15</f>
        <v>09804851C</v>
      </c>
      <c r="AV15" s="116"/>
      <c r="AW15" s="9" t="str">
        <f>CONCATENATE(AH15,AI15,AJ15,AK15,AL15)</f>
        <v>ES0900491752352190017253</v>
      </c>
      <c r="AZ15" s="159">
        <v>43110</v>
      </c>
    </row>
    <row r="16" spans="1:52" ht="15" customHeight="1" x14ac:dyDescent="0.25">
      <c r="A16" s="72">
        <v>16</v>
      </c>
      <c r="B16" s="80"/>
      <c r="C16" s="157" t="s">
        <v>1717</v>
      </c>
      <c r="D16" s="5" t="s">
        <v>595</v>
      </c>
      <c r="E16" s="5" t="s">
        <v>581</v>
      </c>
      <c r="F16" s="5" t="s">
        <v>580</v>
      </c>
      <c r="G16" s="5" t="s">
        <v>810</v>
      </c>
      <c r="H16" s="2"/>
      <c r="I16" s="165"/>
      <c r="J16" s="5" t="s">
        <v>581</v>
      </c>
      <c r="K16" s="5" t="s">
        <v>1236</v>
      </c>
      <c r="L16" s="5" t="s">
        <v>1231</v>
      </c>
      <c r="M16" s="5" t="str">
        <f>CONCATENATE(K16," ",L16)</f>
        <v>ZITRON-ASCAZ HOSPITALARIA</v>
      </c>
      <c r="N16" s="5"/>
      <c r="O16" s="5"/>
      <c r="P16" s="90" t="s">
        <v>815</v>
      </c>
      <c r="Q16" s="87" t="s">
        <v>267</v>
      </c>
      <c r="R16" s="87" t="s">
        <v>855</v>
      </c>
      <c r="S16" s="87" t="s">
        <v>403</v>
      </c>
      <c r="T16" s="5"/>
      <c r="U16" s="5"/>
      <c r="V16" s="5" t="s">
        <v>646</v>
      </c>
      <c r="W16" s="2">
        <v>40708</v>
      </c>
      <c r="X16" s="7">
        <f ca="1">YEAR($X$1)-YEAR(W16)</f>
        <v>7</v>
      </c>
      <c r="Y16" s="5"/>
      <c r="Z16" s="87"/>
      <c r="AA16" s="5"/>
      <c r="AB16" s="5"/>
      <c r="AC16" s="5"/>
      <c r="AD16" s="5"/>
      <c r="AE16" s="5"/>
      <c r="AF16" s="5"/>
      <c r="AG16" s="88"/>
      <c r="AH16" s="105"/>
      <c r="AI16" s="105"/>
      <c r="AJ16" s="105"/>
      <c r="AK16" s="105"/>
      <c r="AL16" s="105"/>
      <c r="AM16" s="84"/>
      <c r="AN16" s="8"/>
      <c r="AO16" s="89">
        <v>10</v>
      </c>
      <c r="AR16" s="9"/>
      <c r="AS16" s="9"/>
      <c r="AT16" s="162" t="str">
        <f t="shared" si="0"/>
        <v>-</v>
      </c>
      <c r="AU16" s="9"/>
      <c r="AV16" s="116"/>
    </row>
    <row r="17" spans="1:52" ht="15" customHeight="1" x14ac:dyDescent="0.25">
      <c r="A17" s="72">
        <v>17</v>
      </c>
      <c r="B17" s="80"/>
      <c r="C17" s="156" t="s">
        <v>1578</v>
      </c>
      <c r="D17" s="81"/>
      <c r="E17" s="6"/>
      <c r="F17" s="6"/>
      <c r="G17" s="6"/>
      <c r="H17" s="4"/>
      <c r="I17" s="166"/>
      <c r="J17" s="6"/>
      <c r="K17" s="6"/>
      <c r="L17" s="6"/>
      <c r="M17" s="91"/>
      <c r="N17" s="91"/>
      <c r="O17" s="91"/>
      <c r="P17" s="6"/>
      <c r="Q17" s="92"/>
      <c r="R17" s="92"/>
      <c r="S17" s="92"/>
      <c r="T17" s="6"/>
      <c r="U17" s="6"/>
      <c r="V17" s="6"/>
      <c r="W17" s="4"/>
      <c r="X17" s="6"/>
      <c r="Y17" s="6"/>
      <c r="Z17" s="92"/>
      <c r="AA17" s="6"/>
      <c r="AB17" s="6"/>
      <c r="AC17" s="6"/>
      <c r="AD17" s="6"/>
      <c r="AE17" s="6"/>
      <c r="AF17" s="6"/>
      <c r="AG17" s="93"/>
      <c r="AH17" s="110"/>
      <c r="AI17" s="110"/>
      <c r="AJ17" s="110"/>
      <c r="AK17" s="110"/>
      <c r="AL17" s="110"/>
      <c r="AM17" s="84"/>
      <c r="AN17" s="85">
        <v>30</v>
      </c>
      <c r="AO17" s="85"/>
      <c r="AP17" s="117" t="str">
        <f>C17</f>
        <v>0004</v>
      </c>
      <c r="AR17" s="9"/>
      <c r="AS17" s="9"/>
      <c r="AT17" s="162" t="str">
        <f t="shared" si="0"/>
        <v>-</v>
      </c>
      <c r="AU17" s="9"/>
      <c r="AV17" s="116"/>
    </row>
    <row r="18" spans="1:52" ht="15" customHeight="1" x14ac:dyDescent="0.25">
      <c r="A18" s="72">
        <v>18</v>
      </c>
      <c r="B18" s="80"/>
      <c r="C18" s="157" t="s">
        <v>1717</v>
      </c>
      <c r="D18" s="5" t="s">
        <v>598</v>
      </c>
      <c r="E18" s="5" t="s">
        <v>581</v>
      </c>
      <c r="F18" s="5" t="s">
        <v>580</v>
      </c>
      <c r="G18" s="5" t="s">
        <v>811</v>
      </c>
      <c r="H18" s="2"/>
      <c r="I18" s="165">
        <v>43115</v>
      </c>
      <c r="J18" s="5" t="s">
        <v>581</v>
      </c>
      <c r="K18" s="5" t="s">
        <v>1236</v>
      </c>
      <c r="L18" s="5" t="s">
        <v>1231</v>
      </c>
      <c r="M18" s="5" t="str">
        <f>CONCATENATE(K18," ",L18)</f>
        <v>ZITRON-ASCAZ HOSPITALARIA</v>
      </c>
      <c r="N18" s="5"/>
      <c r="O18" s="5"/>
      <c r="P18" s="5" t="s">
        <v>154</v>
      </c>
      <c r="Q18" s="87" t="s">
        <v>571</v>
      </c>
      <c r="R18" s="87" t="s">
        <v>570</v>
      </c>
      <c r="S18" s="87"/>
      <c r="T18" s="5" t="s">
        <v>451</v>
      </c>
      <c r="U18" s="5" t="s">
        <v>569</v>
      </c>
      <c r="V18" s="5" t="s">
        <v>665</v>
      </c>
      <c r="W18" s="2">
        <v>26955</v>
      </c>
      <c r="X18" s="7">
        <f ca="1">YEAR($X$1)-YEAR(W18)</f>
        <v>45</v>
      </c>
      <c r="Y18" s="5" t="s">
        <v>856</v>
      </c>
      <c r="Z18" s="87" t="s">
        <v>857</v>
      </c>
      <c r="AA18" s="5">
        <v>24</v>
      </c>
      <c r="AB18" s="5"/>
      <c r="AC18" s="5" t="s">
        <v>0</v>
      </c>
      <c r="AD18" s="5" t="s">
        <v>858</v>
      </c>
      <c r="AE18" s="5">
        <v>33429</v>
      </c>
      <c r="AF18" s="5">
        <v>677308875</v>
      </c>
      <c r="AG18" s="88" t="s">
        <v>859</v>
      </c>
      <c r="AH18" s="105" t="s">
        <v>135</v>
      </c>
      <c r="AI18" s="105" t="s">
        <v>13</v>
      </c>
      <c r="AJ18" s="105" t="s">
        <v>1394</v>
      </c>
      <c r="AK18" s="105" t="s">
        <v>1395</v>
      </c>
      <c r="AL18" s="105" t="s">
        <v>1396</v>
      </c>
      <c r="AM18" s="84"/>
      <c r="AN18" s="8"/>
      <c r="AO18" s="89">
        <v>10</v>
      </c>
      <c r="AQ18" s="116" t="str">
        <f>CONCATENATE("NS",C17,"AZ")</f>
        <v>NS0004AZ</v>
      </c>
      <c r="AR18" s="9" t="str">
        <f>CONCATENATE(Q18," ",R18," ",S18)</f>
        <v xml:space="preserve">OLEG FONOV </v>
      </c>
      <c r="AS18" s="9"/>
      <c r="AT18" s="162" t="str">
        <f t="shared" si="0"/>
        <v xml:space="preserve">NS0004AZ-OLEG FONOV </v>
      </c>
      <c r="AU18" s="9" t="str">
        <f>U18</f>
        <v>X7576874F</v>
      </c>
      <c r="AV18" s="116"/>
      <c r="AW18" s="9" t="str">
        <f>CONCATENATE(AH18,AI18,AJ18,AK18,AL18)</f>
        <v>ES2400815189700001063012</v>
      </c>
      <c r="AZ18" s="159">
        <v>43115</v>
      </c>
    </row>
    <row r="19" spans="1:52" ht="15" customHeight="1" x14ac:dyDescent="0.25">
      <c r="A19" s="72">
        <v>19</v>
      </c>
      <c r="B19" s="80"/>
      <c r="C19" s="157" t="s">
        <v>1717</v>
      </c>
      <c r="D19" s="5" t="s">
        <v>597</v>
      </c>
      <c r="E19" s="5" t="s">
        <v>581</v>
      </c>
      <c r="F19" s="5" t="s">
        <v>580</v>
      </c>
      <c r="G19" s="5" t="s">
        <v>811</v>
      </c>
      <c r="H19" s="2"/>
      <c r="I19" s="165"/>
      <c r="J19" s="5" t="s">
        <v>581</v>
      </c>
      <c r="K19" s="5" t="s">
        <v>1236</v>
      </c>
      <c r="L19" s="5" t="s">
        <v>1231</v>
      </c>
      <c r="M19" s="5" t="str">
        <f>CONCATENATE(K19," ",L19)</f>
        <v>ZITRON-ASCAZ HOSPITALARIA</v>
      </c>
      <c r="N19" s="5"/>
      <c r="O19" s="5"/>
      <c r="P19" s="5" t="s">
        <v>43</v>
      </c>
      <c r="Q19" s="87" t="s">
        <v>1136</v>
      </c>
      <c r="R19" s="87" t="s">
        <v>132</v>
      </c>
      <c r="S19" s="87" t="s">
        <v>1159</v>
      </c>
      <c r="T19" s="5" t="s">
        <v>2</v>
      </c>
      <c r="U19" s="5" t="s">
        <v>596</v>
      </c>
      <c r="V19" s="5" t="s">
        <v>646</v>
      </c>
      <c r="W19" s="2">
        <v>24009</v>
      </c>
      <c r="X19" s="7">
        <f ca="1">YEAR($X$1)-YEAR(W19)</f>
        <v>53</v>
      </c>
      <c r="Y19" s="5"/>
      <c r="Z19" s="87"/>
      <c r="AA19" s="5"/>
      <c r="AB19" s="5"/>
      <c r="AC19" s="5"/>
      <c r="AD19" s="5"/>
      <c r="AE19" s="5"/>
      <c r="AF19" s="5"/>
      <c r="AG19" s="88"/>
      <c r="AH19" s="105"/>
      <c r="AI19" s="105"/>
      <c r="AJ19" s="105"/>
      <c r="AK19" s="105"/>
      <c r="AL19" s="105"/>
      <c r="AM19" s="84"/>
      <c r="AN19" s="8"/>
      <c r="AO19" s="89">
        <v>10</v>
      </c>
      <c r="AR19" s="9"/>
      <c r="AS19" s="9"/>
      <c r="AT19" s="162" t="str">
        <f t="shared" si="0"/>
        <v>-</v>
      </c>
      <c r="AU19" s="9"/>
      <c r="AV19" s="116"/>
    </row>
    <row r="20" spans="1:52" ht="15" customHeight="1" x14ac:dyDescent="0.25">
      <c r="A20" s="72">
        <v>20</v>
      </c>
      <c r="B20" s="80"/>
      <c r="C20" s="156" t="s">
        <v>1381</v>
      </c>
      <c r="D20" s="81"/>
      <c r="E20" s="6"/>
      <c r="F20" s="6"/>
      <c r="G20" s="6"/>
      <c r="H20" s="4"/>
      <c r="I20" s="166"/>
      <c r="J20" s="6"/>
      <c r="K20" s="6"/>
      <c r="L20" s="6"/>
      <c r="M20" s="91"/>
      <c r="N20" s="91"/>
      <c r="O20" s="91"/>
      <c r="P20" s="6"/>
      <c r="Q20" s="92"/>
      <c r="R20" s="92"/>
      <c r="S20" s="92"/>
      <c r="T20" s="6"/>
      <c r="U20" s="6"/>
      <c r="V20" s="6"/>
      <c r="W20" s="4"/>
      <c r="X20" s="6"/>
      <c r="Y20" s="6"/>
      <c r="Z20" s="92"/>
      <c r="AA20" s="6"/>
      <c r="AB20" s="6"/>
      <c r="AC20" s="6"/>
      <c r="AD20" s="6"/>
      <c r="AE20" s="6"/>
      <c r="AF20" s="6"/>
      <c r="AG20" s="93"/>
      <c r="AH20" s="110"/>
      <c r="AI20" s="110"/>
      <c r="AJ20" s="110"/>
      <c r="AK20" s="110"/>
      <c r="AL20" s="110"/>
      <c r="AM20" s="84"/>
      <c r="AN20" s="85">
        <v>30</v>
      </c>
      <c r="AO20" s="85"/>
      <c r="AP20" s="117" t="str">
        <f>C20</f>
        <v>0005</v>
      </c>
      <c r="AR20" s="9"/>
      <c r="AS20" s="9"/>
      <c r="AT20" s="162" t="str">
        <f t="shared" si="0"/>
        <v>-</v>
      </c>
      <c r="AU20" s="9"/>
      <c r="AV20" s="116"/>
    </row>
    <row r="21" spans="1:52" ht="15" customHeight="1" x14ac:dyDescent="0.25">
      <c r="A21" s="72">
        <v>21</v>
      </c>
      <c r="B21" s="80"/>
      <c r="C21" s="157" t="s">
        <v>1717</v>
      </c>
      <c r="D21" s="5" t="s">
        <v>599</v>
      </c>
      <c r="E21" s="5" t="s">
        <v>581</v>
      </c>
      <c r="F21" s="5" t="s">
        <v>580</v>
      </c>
      <c r="G21" s="5" t="s">
        <v>811</v>
      </c>
      <c r="H21" s="2"/>
      <c r="I21" s="165">
        <v>43110</v>
      </c>
      <c r="J21" s="5" t="s">
        <v>581</v>
      </c>
      <c r="K21" s="5" t="s">
        <v>1236</v>
      </c>
      <c r="L21" s="5" t="s">
        <v>1231</v>
      </c>
      <c r="M21" s="5" t="str">
        <f>CONCATENATE(K21," ",L21)</f>
        <v>ZITRON-ASCAZ HOSPITALARIA</v>
      </c>
      <c r="N21" s="5"/>
      <c r="O21" s="5"/>
      <c r="P21" s="5" t="s">
        <v>154</v>
      </c>
      <c r="Q21" s="87" t="s">
        <v>512</v>
      </c>
      <c r="R21" s="87" t="s">
        <v>560</v>
      </c>
      <c r="S21" s="87" t="s">
        <v>1146</v>
      </c>
      <c r="T21" s="5" t="s">
        <v>2</v>
      </c>
      <c r="U21" s="5" t="s">
        <v>568</v>
      </c>
      <c r="V21" s="5" t="s">
        <v>665</v>
      </c>
      <c r="W21" s="2">
        <v>26314</v>
      </c>
      <c r="X21" s="7">
        <f ca="1">YEAR($X$1)-YEAR(W21)</f>
        <v>46</v>
      </c>
      <c r="Y21" s="5" t="s">
        <v>567</v>
      </c>
      <c r="Z21" s="87" t="s">
        <v>566</v>
      </c>
      <c r="AA21" s="5">
        <v>47</v>
      </c>
      <c r="AB21" s="5" t="s">
        <v>565</v>
      </c>
      <c r="AC21" s="5" t="s">
        <v>0</v>
      </c>
      <c r="AD21" s="5" t="s">
        <v>31</v>
      </c>
      <c r="AE21" s="5">
        <v>33207</v>
      </c>
      <c r="AF21" s="5">
        <v>985095443</v>
      </c>
      <c r="AG21" s="88" t="s">
        <v>860</v>
      </c>
      <c r="AH21" s="105" t="s">
        <v>14</v>
      </c>
      <c r="AI21" s="105" t="s">
        <v>1397</v>
      </c>
      <c r="AJ21" s="105" t="s">
        <v>1398</v>
      </c>
      <c r="AK21" s="105" t="s">
        <v>1209</v>
      </c>
      <c r="AL21" s="105" t="s">
        <v>1399</v>
      </c>
      <c r="AM21" s="84"/>
      <c r="AN21" s="8"/>
      <c r="AO21" s="89">
        <v>10</v>
      </c>
      <c r="AQ21" s="116" t="str">
        <f>CONCATENATE("NS",C20,"AZ")</f>
        <v>NS0005AZ</v>
      </c>
      <c r="AR21" s="9" t="str">
        <f>CONCATENATE(Q21," ",R21," ",S21)</f>
        <v>DAVID CADRECHA GONZÁLEZ</v>
      </c>
      <c r="AS21" s="9"/>
      <c r="AT21" s="162" t="str">
        <f t="shared" si="0"/>
        <v>NS0005AZ-DAVID CADRECHA GONZÁLEZ</v>
      </c>
      <c r="AU21" s="9" t="str">
        <f>U21</f>
        <v>10881726N</v>
      </c>
      <c r="AV21" s="116"/>
      <c r="AW21" s="9" t="str">
        <f>CONCATENATE(AH21,AI21,AJ21,AK21,AL21)</f>
        <v>ES3021002899582200035830</v>
      </c>
      <c r="AZ21" s="159">
        <v>43110</v>
      </c>
    </row>
    <row r="22" spans="1:52" ht="15" customHeight="1" x14ac:dyDescent="0.25">
      <c r="A22" s="72">
        <v>22</v>
      </c>
      <c r="B22" s="80"/>
      <c r="C22" s="157" t="s">
        <v>1717</v>
      </c>
      <c r="D22" s="5" t="s">
        <v>600</v>
      </c>
      <c r="E22" s="5" t="s">
        <v>581</v>
      </c>
      <c r="F22" s="5" t="s">
        <v>580</v>
      </c>
      <c r="G22" s="5" t="s">
        <v>811</v>
      </c>
      <c r="H22" s="2"/>
      <c r="I22" s="165"/>
      <c r="J22" s="5" t="s">
        <v>581</v>
      </c>
      <c r="K22" s="5" t="s">
        <v>1236</v>
      </c>
      <c r="L22" s="5" t="s">
        <v>1231</v>
      </c>
      <c r="M22" s="5" t="str">
        <f>CONCATENATE(K22," ",L22)</f>
        <v>ZITRON-ASCAZ HOSPITALARIA</v>
      </c>
      <c r="N22" s="5"/>
      <c r="O22" s="5"/>
      <c r="P22" s="5" t="s">
        <v>43</v>
      </c>
      <c r="Q22" s="87" t="s">
        <v>564</v>
      </c>
      <c r="R22" s="87" t="s">
        <v>559</v>
      </c>
      <c r="S22" s="87" t="s">
        <v>563</v>
      </c>
      <c r="T22" s="5" t="s">
        <v>2</v>
      </c>
      <c r="U22" s="5" t="s">
        <v>562</v>
      </c>
      <c r="V22" s="5" t="s">
        <v>646</v>
      </c>
      <c r="W22" s="2">
        <v>25221</v>
      </c>
      <c r="X22" s="7">
        <f ca="1">YEAR($X$1)-YEAR(W22)</f>
        <v>49</v>
      </c>
      <c r="Y22" s="5"/>
      <c r="Z22" s="87"/>
      <c r="AA22" s="5"/>
      <c r="AB22" s="5"/>
      <c r="AC22" s="5"/>
      <c r="AD22" s="5"/>
      <c r="AE22" s="5"/>
      <c r="AF22" s="5"/>
      <c r="AG22" s="88"/>
      <c r="AH22" s="105"/>
      <c r="AI22" s="105"/>
      <c r="AJ22" s="105"/>
      <c r="AK22" s="105"/>
      <c r="AL22" s="105"/>
      <c r="AM22" s="84"/>
      <c r="AN22" s="8"/>
      <c r="AO22" s="89">
        <v>10</v>
      </c>
      <c r="AR22" s="9"/>
      <c r="AS22" s="9"/>
      <c r="AT22" s="162" t="str">
        <f t="shared" si="0"/>
        <v>-</v>
      </c>
      <c r="AU22" s="9"/>
      <c r="AV22" s="116"/>
    </row>
    <row r="23" spans="1:52" ht="15" customHeight="1" x14ac:dyDescent="0.25">
      <c r="A23" s="72">
        <v>23</v>
      </c>
      <c r="B23" s="80"/>
      <c r="C23" s="157" t="s">
        <v>1717</v>
      </c>
      <c r="D23" s="5" t="s">
        <v>601</v>
      </c>
      <c r="E23" s="5" t="s">
        <v>581</v>
      </c>
      <c r="F23" s="5" t="s">
        <v>580</v>
      </c>
      <c r="G23" s="5" t="s">
        <v>811</v>
      </c>
      <c r="H23" s="2"/>
      <c r="I23" s="165"/>
      <c r="J23" s="5" t="s">
        <v>581</v>
      </c>
      <c r="K23" s="5" t="s">
        <v>1236</v>
      </c>
      <c r="L23" s="5" t="s">
        <v>1231</v>
      </c>
      <c r="M23" s="5" t="str">
        <f>CONCATENATE(K23," ",L23)</f>
        <v>ZITRON-ASCAZ HOSPITALARIA</v>
      </c>
      <c r="N23" s="5"/>
      <c r="O23" s="5"/>
      <c r="P23" s="90" t="s">
        <v>815</v>
      </c>
      <c r="Q23" s="87" t="s">
        <v>561</v>
      </c>
      <c r="R23" s="87" t="s">
        <v>560</v>
      </c>
      <c r="S23" s="87" t="s">
        <v>559</v>
      </c>
      <c r="T23" s="5" t="s">
        <v>2</v>
      </c>
      <c r="U23" s="5" t="s">
        <v>558</v>
      </c>
      <c r="V23" s="5" t="s">
        <v>646</v>
      </c>
      <c r="W23" s="2">
        <v>37908</v>
      </c>
      <c r="X23" s="7">
        <f ca="1">YEAR($X$1)-YEAR(W23)</f>
        <v>15</v>
      </c>
      <c r="Y23" s="5"/>
      <c r="Z23" s="87"/>
      <c r="AA23" s="5"/>
      <c r="AB23" s="5"/>
      <c r="AC23" s="5"/>
      <c r="AD23" s="5"/>
      <c r="AE23" s="5"/>
      <c r="AF23" s="5"/>
      <c r="AG23" s="88"/>
      <c r="AH23" s="105"/>
      <c r="AI23" s="105"/>
      <c r="AJ23" s="105"/>
      <c r="AK23" s="105"/>
      <c r="AL23" s="105"/>
      <c r="AM23" s="84"/>
      <c r="AN23" s="8"/>
      <c r="AO23" s="89">
        <v>10</v>
      </c>
      <c r="AR23" s="9"/>
      <c r="AS23" s="9"/>
      <c r="AT23" s="162" t="str">
        <f t="shared" si="0"/>
        <v>-</v>
      </c>
      <c r="AU23" s="9"/>
      <c r="AV23" s="116"/>
    </row>
    <row r="24" spans="1:52" ht="15" customHeight="1" x14ac:dyDescent="0.25">
      <c r="A24" s="72">
        <v>24</v>
      </c>
      <c r="B24" s="80"/>
      <c r="C24" s="156" t="s">
        <v>113</v>
      </c>
      <c r="D24" s="81"/>
      <c r="E24" s="6"/>
      <c r="F24" s="6"/>
      <c r="G24" s="6"/>
      <c r="H24" s="4"/>
      <c r="I24" s="166"/>
      <c r="J24" s="6"/>
      <c r="K24" s="6"/>
      <c r="L24" s="6"/>
      <c r="M24" s="91"/>
      <c r="N24" s="91"/>
      <c r="O24" s="91"/>
      <c r="P24" s="6"/>
      <c r="Q24" s="92"/>
      <c r="R24" s="92"/>
      <c r="S24" s="92"/>
      <c r="T24" s="6"/>
      <c r="U24" s="6"/>
      <c r="V24" s="6"/>
      <c r="W24" s="4"/>
      <c r="X24" s="6"/>
      <c r="Y24" s="6"/>
      <c r="Z24" s="92"/>
      <c r="AA24" s="6"/>
      <c r="AB24" s="6"/>
      <c r="AC24" s="6"/>
      <c r="AD24" s="6"/>
      <c r="AE24" s="6"/>
      <c r="AF24" s="6"/>
      <c r="AG24" s="93"/>
      <c r="AH24" s="110"/>
      <c r="AI24" s="110"/>
      <c r="AJ24" s="110"/>
      <c r="AK24" s="110"/>
      <c r="AL24" s="110"/>
      <c r="AM24" s="84"/>
      <c r="AN24" s="85">
        <v>30</v>
      </c>
      <c r="AO24" s="85"/>
      <c r="AP24" s="117" t="str">
        <f>C24</f>
        <v>0006</v>
      </c>
      <c r="AR24" s="9"/>
      <c r="AS24" s="9"/>
      <c r="AT24" s="162" t="str">
        <f t="shared" si="0"/>
        <v>-</v>
      </c>
      <c r="AU24" s="9"/>
      <c r="AV24" s="116"/>
    </row>
    <row r="25" spans="1:52" ht="15" customHeight="1" x14ac:dyDescent="0.25">
      <c r="A25" s="72">
        <v>25</v>
      </c>
      <c r="B25" s="80"/>
      <c r="C25" s="157" t="s">
        <v>1717</v>
      </c>
      <c r="D25" s="5" t="s">
        <v>602</v>
      </c>
      <c r="E25" s="5" t="s">
        <v>581</v>
      </c>
      <c r="F25" s="5" t="s">
        <v>580</v>
      </c>
      <c r="G25" s="5" t="s">
        <v>811</v>
      </c>
      <c r="H25" s="2"/>
      <c r="I25" s="165">
        <v>43102</v>
      </c>
      <c r="J25" s="5" t="s">
        <v>581</v>
      </c>
      <c r="K25" s="5" t="s">
        <v>1236</v>
      </c>
      <c r="L25" s="5" t="s">
        <v>1231</v>
      </c>
      <c r="M25" s="5" t="str">
        <f>CONCATENATE(K25," ",L25)</f>
        <v>ZITRON-ASCAZ HOSPITALARIA</v>
      </c>
      <c r="N25" s="5"/>
      <c r="O25" s="5"/>
      <c r="P25" s="5" t="s">
        <v>154</v>
      </c>
      <c r="Q25" s="87" t="s">
        <v>557</v>
      </c>
      <c r="R25" s="87" t="s">
        <v>132</v>
      </c>
      <c r="S25" s="87" t="s">
        <v>551</v>
      </c>
      <c r="T25" s="5" t="s">
        <v>2</v>
      </c>
      <c r="U25" s="5" t="s">
        <v>556</v>
      </c>
      <c r="V25" s="5" t="s">
        <v>665</v>
      </c>
      <c r="W25" s="2">
        <v>28024</v>
      </c>
      <c r="X25" s="7">
        <f ca="1">YEAR($X$1)-YEAR(W25)</f>
        <v>42</v>
      </c>
      <c r="Y25" s="5" t="s">
        <v>1</v>
      </c>
      <c r="Z25" s="87" t="s">
        <v>401</v>
      </c>
      <c r="AA25" s="5">
        <v>57</v>
      </c>
      <c r="AB25" s="5" t="s">
        <v>555</v>
      </c>
      <c r="AC25" s="5" t="s">
        <v>0</v>
      </c>
      <c r="AD25" s="5" t="s">
        <v>31</v>
      </c>
      <c r="AE25" s="5">
        <v>33210</v>
      </c>
      <c r="AF25" s="5">
        <v>655170001</v>
      </c>
      <c r="AG25" s="88" t="s">
        <v>861</v>
      </c>
      <c r="AH25" s="105" t="s">
        <v>1400</v>
      </c>
      <c r="AI25" s="105" t="s">
        <v>13</v>
      </c>
      <c r="AJ25" s="105" t="s">
        <v>1402</v>
      </c>
      <c r="AK25" s="105" t="s">
        <v>1362</v>
      </c>
      <c r="AL25" s="105" t="s">
        <v>1401</v>
      </c>
      <c r="AM25" s="84"/>
      <c r="AN25" s="8"/>
      <c r="AO25" s="89">
        <v>10</v>
      </c>
      <c r="AQ25" s="116" t="str">
        <f>CONCATENATE("NS",C24,"AZ")</f>
        <v>NS0006AZ</v>
      </c>
      <c r="AR25" s="9" t="str">
        <f>CONCATENATE(Q25," ",R25," ",S25)</f>
        <v>JONATHAN GARCÍA CARBAJALES</v>
      </c>
      <c r="AS25" s="9"/>
      <c r="AT25" s="162" t="str">
        <f t="shared" si="0"/>
        <v>NS0006AZ-JONATHAN GARCÍA CARBAJALES</v>
      </c>
      <c r="AU25" s="9" t="str">
        <f>U25</f>
        <v>10877574T</v>
      </c>
      <c r="AV25" s="116"/>
      <c r="AW25" s="9" t="str">
        <f>CONCATENATE(AH25,AI25,AJ25,AK25,AL25)</f>
        <v>ES8100815066510001102920</v>
      </c>
      <c r="AZ25" s="159">
        <v>43102</v>
      </c>
    </row>
    <row r="26" spans="1:52" ht="15" customHeight="1" x14ac:dyDescent="0.25">
      <c r="A26" s="72">
        <v>26</v>
      </c>
      <c r="B26" s="80"/>
      <c r="C26" s="156" t="s">
        <v>1545</v>
      </c>
      <c r="D26" s="81"/>
      <c r="E26" s="6"/>
      <c r="F26" s="6"/>
      <c r="G26" s="6"/>
      <c r="H26" s="4"/>
      <c r="I26" s="166"/>
      <c r="J26" s="6"/>
      <c r="K26" s="6"/>
      <c r="L26" s="6"/>
      <c r="M26" s="91"/>
      <c r="N26" s="91"/>
      <c r="O26" s="91"/>
      <c r="P26" s="6"/>
      <c r="Q26" s="92"/>
      <c r="R26" s="92"/>
      <c r="S26" s="92"/>
      <c r="T26" s="6"/>
      <c r="U26" s="6"/>
      <c r="V26" s="6"/>
      <c r="W26" s="4"/>
      <c r="X26" s="6"/>
      <c r="Y26" s="6"/>
      <c r="Z26" s="92"/>
      <c r="AA26" s="6"/>
      <c r="AB26" s="6"/>
      <c r="AC26" s="6"/>
      <c r="AD26" s="6"/>
      <c r="AE26" s="6"/>
      <c r="AF26" s="6"/>
      <c r="AG26" s="93"/>
      <c r="AH26" s="110"/>
      <c r="AI26" s="110"/>
      <c r="AJ26" s="110"/>
      <c r="AK26" s="110"/>
      <c r="AL26" s="110"/>
      <c r="AM26" s="84"/>
      <c r="AN26" s="85">
        <v>0</v>
      </c>
      <c r="AO26" s="85"/>
      <c r="AP26" s="117" t="str">
        <f>C26</f>
        <v>0007</v>
      </c>
      <c r="AR26" s="9"/>
      <c r="AS26" s="9"/>
      <c r="AT26" s="162" t="str">
        <f t="shared" si="0"/>
        <v>-</v>
      </c>
      <c r="AU26" s="9"/>
      <c r="AV26" s="116"/>
    </row>
    <row r="27" spans="1:52" ht="15" customHeight="1" x14ac:dyDescent="0.25">
      <c r="A27" s="72">
        <v>27</v>
      </c>
      <c r="B27" s="80"/>
      <c r="C27" s="157" t="s">
        <v>1717</v>
      </c>
      <c r="D27" s="5" t="s">
        <v>603</v>
      </c>
      <c r="E27" s="5" t="s">
        <v>581</v>
      </c>
      <c r="F27" s="5" t="s">
        <v>807</v>
      </c>
      <c r="G27" s="5" t="s">
        <v>810</v>
      </c>
      <c r="H27" s="2"/>
      <c r="I27" s="165">
        <v>43108</v>
      </c>
      <c r="J27" s="5" t="s">
        <v>581</v>
      </c>
      <c r="K27" s="5" t="s">
        <v>1236</v>
      </c>
      <c r="L27" s="5" t="s">
        <v>1231</v>
      </c>
      <c r="M27" s="5" t="str">
        <f>CONCATENATE(K27," ",L27)</f>
        <v>ZITRON-ASCAZ HOSPITALARIA</v>
      </c>
      <c r="N27" s="5"/>
      <c r="O27" s="5"/>
      <c r="P27" s="5" t="s">
        <v>154</v>
      </c>
      <c r="Q27" s="87" t="s">
        <v>554</v>
      </c>
      <c r="R27" s="87" t="s">
        <v>132</v>
      </c>
      <c r="S27" s="87" t="s">
        <v>533</v>
      </c>
      <c r="T27" s="5" t="s">
        <v>2</v>
      </c>
      <c r="U27" s="5" t="s">
        <v>553</v>
      </c>
      <c r="V27" s="5" t="s">
        <v>665</v>
      </c>
      <c r="W27" s="2">
        <v>20160</v>
      </c>
      <c r="X27" s="7">
        <f ca="1">YEAR($X$1)-YEAR(W27)</f>
        <v>63</v>
      </c>
      <c r="Y27" s="5" t="s">
        <v>1</v>
      </c>
      <c r="Z27" s="87" t="s">
        <v>552</v>
      </c>
      <c r="AA27" s="5">
        <v>12</v>
      </c>
      <c r="AB27" s="5" t="s">
        <v>15</v>
      </c>
      <c r="AC27" s="5" t="s">
        <v>0</v>
      </c>
      <c r="AD27" s="5" t="s">
        <v>31</v>
      </c>
      <c r="AE27" s="5">
        <v>33209</v>
      </c>
      <c r="AF27" s="5">
        <v>657038512</v>
      </c>
      <c r="AG27" s="88" t="s">
        <v>862</v>
      </c>
      <c r="AH27" s="105" t="s">
        <v>1403</v>
      </c>
      <c r="AI27" s="105" t="s">
        <v>1380</v>
      </c>
      <c r="AJ27" s="105" t="s">
        <v>44</v>
      </c>
      <c r="AK27" s="105" t="s">
        <v>1389</v>
      </c>
      <c r="AL27" s="105" t="s">
        <v>1404</v>
      </c>
      <c r="AM27" s="84"/>
      <c r="AN27" s="8"/>
      <c r="AO27" s="89">
        <v>10</v>
      </c>
      <c r="AQ27" s="116" t="str">
        <f>CONCATENATE("NS",C26,"AZ")</f>
        <v>NS0007AZ</v>
      </c>
      <c r="AR27" s="9" t="str">
        <f>CONCATENATE(Q27," ",R27," ",S27)</f>
        <v>JUAN LUIS GARCÍA FOMBONA</v>
      </c>
      <c r="AS27" s="9"/>
      <c r="AT27" s="162" t="str">
        <f t="shared" si="0"/>
        <v>NS0007AZ-JUAN LUIS GARCÍA FOMBONA</v>
      </c>
      <c r="AU27" s="9" t="str">
        <f>U27</f>
        <v>10795752N</v>
      </c>
      <c r="AV27" s="116"/>
      <c r="AW27" s="9" t="str">
        <f>CONCATENATE(AH27,AI27,AJ27,AK27,AL27)</f>
        <v>ES6930070003191579031210</v>
      </c>
      <c r="AZ27" s="159">
        <v>43108</v>
      </c>
    </row>
    <row r="28" spans="1:52" ht="15" customHeight="1" x14ac:dyDescent="0.25">
      <c r="A28" s="72">
        <v>28</v>
      </c>
      <c r="B28" s="80"/>
      <c r="C28" s="157" t="s">
        <v>1717</v>
      </c>
      <c r="D28" s="5" t="s">
        <v>604</v>
      </c>
      <c r="E28" s="5" t="s">
        <v>581</v>
      </c>
      <c r="F28" s="5" t="s">
        <v>807</v>
      </c>
      <c r="G28" s="5" t="s">
        <v>810</v>
      </c>
      <c r="H28" s="2"/>
      <c r="I28" s="165"/>
      <c r="J28" s="5" t="s">
        <v>581</v>
      </c>
      <c r="K28" s="5" t="s">
        <v>1236</v>
      </c>
      <c r="L28" s="5" t="s">
        <v>1231</v>
      </c>
      <c r="M28" s="5" t="str">
        <f>CONCATENATE(K28," ",L28)</f>
        <v>ZITRON-ASCAZ HOSPITALARIA</v>
      </c>
      <c r="N28" s="5"/>
      <c r="O28" s="5"/>
      <c r="P28" s="5" t="s">
        <v>43</v>
      </c>
      <c r="Q28" s="87" t="s">
        <v>1137</v>
      </c>
      <c r="R28" s="87" t="s">
        <v>551</v>
      </c>
      <c r="S28" s="87" t="s">
        <v>550</v>
      </c>
      <c r="T28" s="5" t="s">
        <v>2</v>
      </c>
      <c r="U28" s="5" t="s">
        <v>549</v>
      </c>
      <c r="V28" s="5" t="s">
        <v>646</v>
      </c>
      <c r="W28" s="2">
        <v>21093</v>
      </c>
      <c r="X28" s="7">
        <f ca="1">YEAR($X$1)-YEAR(W28)</f>
        <v>61</v>
      </c>
      <c r="Y28" s="5"/>
      <c r="Z28" s="87"/>
      <c r="AA28" s="5"/>
      <c r="AB28" s="5"/>
      <c r="AC28" s="5"/>
      <c r="AD28" s="5"/>
      <c r="AE28" s="5"/>
      <c r="AF28" s="5"/>
      <c r="AG28" s="88"/>
      <c r="AH28" s="105"/>
      <c r="AI28" s="105"/>
      <c r="AJ28" s="105"/>
      <c r="AK28" s="105"/>
      <c r="AL28" s="105"/>
      <c r="AM28" s="84"/>
      <c r="AN28" s="8"/>
      <c r="AO28" s="89">
        <v>10</v>
      </c>
      <c r="AR28" s="9"/>
      <c r="AS28" s="9"/>
      <c r="AT28" s="162" t="str">
        <f t="shared" si="0"/>
        <v>-</v>
      </c>
      <c r="AU28" s="9"/>
      <c r="AV28" s="116"/>
    </row>
    <row r="29" spans="1:52" ht="15" customHeight="1" x14ac:dyDescent="0.25">
      <c r="A29" s="72">
        <v>29</v>
      </c>
      <c r="B29" s="80"/>
      <c r="C29" s="156" t="s">
        <v>1579</v>
      </c>
      <c r="D29" s="81"/>
      <c r="E29" s="6"/>
      <c r="F29" s="6"/>
      <c r="G29" s="6"/>
      <c r="H29" s="4"/>
      <c r="I29" s="166"/>
      <c r="J29" s="6"/>
      <c r="K29" s="6"/>
      <c r="L29" s="6"/>
      <c r="M29" s="91"/>
      <c r="N29" s="91"/>
      <c r="O29" s="91"/>
      <c r="P29" s="6"/>
      <c r="Q29" s="92"/>
      <c r="R29" s="92"/>
      <c r="S29" s="92"/>
      <c r="T29" s="6"/>
      <c r="U29" s="6"/>
      <c r="V29" s="6"/>
      <c r="W29" s="4"/>
      <c r="X29" s="6"/>
      <c r="Y29" s="6"/>
      <c r="Z29" s="92"/>
      <c r="AA29" s="6"/>
      <c r="AB29" s="6"/>
      <c r="AC29" s="6"/>
      <c r="AD29" s="6"/>
      <c r="AE29" s="6"/>
      <c r="AF29" s="6"/>
      <c r="AG29" s="93"/>
      <c r="AH29" s="110"/>
      <c r="AI29" s="110"/>
      <c r="AJ29" s="110"/>
      <c r="AK29" s="110"/>
      <c r="AL29" s="110"/>
      <c r="AM29" s="84"/>
      <c r="AN29" s="85">
        <v>30</v>
      </c>
      <c r="AO29" s="85"/>
      <c r="AP29" s="117" t="str">
        <f>C29</f>
        <v>0008</v>
      </c>
      <c r="AR29" s="9"/>
      <c r="AS29" s="9"/>
      <c r="AT29" s="162" t="str">
        <f t="shared" si="0"/>
        <v>-</v>
      </c>
      <c r="AU29" s="9"/>
      <c r="AV29" s="116"/>
    </row>
    <row r="30" spans="1:52" ht="15" customHeight="1" x14ac:dyDescent="0.25">
      <c r="A30" s="72">
        <v>30</v>
      </c>
      <c r="B30" s="80"/>
      <c r="C30" s="157" t="s">
        <v>1717</v>
      </c>
      <c r="D30" s="5" t="s">
        <v>605</v>
      </c>
      <c r="E30" s="5" t="s">
        <v>581</v>
      </c>
      <c r="F30" s="5" t="s">
        <v>580</v>
      </c>
      <c r="G30" s="5" t="s">
        <v>811</v>
      </c>
      <c r="H30" s="2"/>
      <c r="I30" s="165">
        <v>43112</v>
      </c>
      <c r="J30" s="5" t="s">
        <v>581</v>
      </c>
      <c r="K30" s="5" t="s">
        <v>1236</v>
      </c>
      <c r="L30" s="5" t="s">
        <v>1231</v>
      </c>
      <c r="M30" s="5" t="str">
        <f>CONCATENATE(K30," ",L30)</f>
        <v>ZITRON-ASCAZ HOSPITALARIA</v>
      </c>
      <c r="N30" s="5"/>
      <c r="O30" s="5"/>
      <c r="P30" s="5" t="s">
        <v>154</v>
      </c>
      <c r="Q30" s="87" t="s">
        <v>548</v>
      </c>
      <c r="R30" s="87" t="s">
        <v>547</v>
      </c>
      <c r="S30" s="87" t="s">
        <v>546</v>
      </c>
      <c r="T30" s="5" t="s">
        <v>2</v>
      </c>
      <c r="U30" s="5" t="s">
        <v>545</v>
      </c>
      <c r="V30" s="5" t="s">
        <v>665</v>
      </c>
      <c r="W30" s="2">
        <v>26723</v>
      </c>
      <c r="X30" s="7">
        <f ca="1">YEAR($X$1)-YEAR(W30)</f>
        <v>45</v>
      </c>
      <c r="Y30" s="5" t="s">
        <v>1</v>
      </c>
      <c r="Z30" s="87" t="s">
        <v>544</v>
      </c>
      <c r="AA30" s="5">
        <v>4</v>
      </c>
      <c r="AB30" s="5" t="s">
        <v>543</v>
      </c>
      <c r="AC30" s="5" t="s">
        <v>0</v>
      </c>
      <c r="AD30" s="5" t="s">
        <v>31</v>
      </c>
      <c r="AE30" s="5">
        <v>33210</v>
      </c>
      <c r="AF30" s="5">
        <v>637974971</v>
      </c>
      <c r="AG30" s="88" t="s">
        <v>863</v>
      </c>
      <c r="AH30" s="105" t="s">
        <v>120</v>
      </c>
      <c r="AI30" s="105">
        <v>1465</v>
      </c>
      <c r="AJ30" s="105" t="s">
        <v>77</v>
      </c>
      <c r="AK30" s="105">
        <v>96</v>
      </c>
      <c r="AL30" s="105" t="s">
        <v>1405</v>
      </c>
      <c r="AM30" s="84"/>
      <c r="AN30" s="8"/>
      <c r="AO30" s="89">
        <v>10</v>
      </c>
      <c r="AQ30" s="116" t="str">
        <f>CONCATENATE("NS",C29,"AZ")</f>
        <v>NS0008AZ</v>
      </c>
      <c r="AR30" s="9" t="str">
        <f>CONCATENATE(Q30," ",R30," ",S30)</f>
        <v>MARCO FABIO BARBÓN ÁLVAREZ</v>
      </c>
      <c r="AS30" s="9"/>
      <c r="AT30" s="162" t="str">
        <f t="shared" si="0"/>
        <v>NS0008AZ-MARCO FABIO BARBÓN ÁLVAREZ</v>
      </c>
      <c r="AU30" s="9" t="str">
        <f>U30</f>
        <v>10902897T</v>
      </c>
      <c r="AV30" s="116"/>
      <c r="AW30" s="9" t="str">
        <f>CONCATENATE(AH30,AI30,AJ30,AK30,AL30)</f>
        <v>ES3214650100961705666124</v>
      </c>
      <c r="AZ30" s="159">
        <v>43112</v>
      </c>
    </row>
    <row r="31" spans="1:52" ht="15" customHeight="1" x14ac:dyDescent="0.25">
      <c r="A31" s="72">
        <v>31</v>
      </c>
      <c r="B31" s="80"/>
      <c r="C31" s="157" t="s">
        <v>1717</v>
      </c>
      <c r="D31" s="5" t="s">
        <v>606</v>
      </c>
      <c r="E31" s="5" t="s">
        <v>581</v>
      </c>
      <c r="F31" s="5" t="s">
        <v>580</v>
      </c>
      <c r="G31" s="5" t="s">
        <v>811</v>
      </c>
      <c r="H31" s="2"/>
      <c r="I31" s="165"/>
      <c r="J31" s="5" t="s">
        <v>581</v>
      </c>
      <c r="K31" s="5" t="s">
        <v>1236</v>
      </c>
      <c r="L31" s="5" t="s">
        <v>1231</v>
      </c>
      <c r="M31" s="5" t="str">
        <f>CONCATENATE(K31," ",L31)</f>
        <v>ZITRON-ASCAZ HOSPITALARIA</v>
      </c>
      <c r="N31" s="5"/>
      <c r="O31" s="5"/>
      <c r="P31" s="5" t="s">
        <v>43</v>
      </c>
      <c r="Q31" s="87" t="s">
        <v>542</v>
      </c>
      <c r="R31" s="87" t="s">
        <v>297</v>
      </c>
      <c r="S31" s="87" t="s">
        <v>541</v>
      </c>
      <c r="T31" s="5" t="s">
        <v>2</v>
      </c>
      <c r="U31" s="5" t="s">
        <v>540</v>
      </c>
      <c r="V31" s="5" t="s">
        <v>646</v>
      </c>
      <c r="W31" s="2">
        <v>28393</v>
      </c>
      <c r="X31" s="7">
        <f ca="1">YEAR($X$1)-YEAR(W31)</f>
        <v>41</v>
      </c>
      <c r="Y31" s="5"/>
      <c r="Z31" s="87"/>
      <c r="AA31" s="5"/>
      <c r="AB31" s="5"/>
      <c r="AC31" s="5"/>
      <c r="AD31" s="5"/>
      <c r="AE31" s="5"/>
      <c r="AF31" s="5"/>
      <c r="AG31" s="88"/>
      <c r="AH31" s="105"/>
      <c r="AI31" s="105"/>
      <c r="AJ31" s="105"/>
      <c r="AK31" s="105"/>
      <c r="AL31" s="105"/>
      <c r="AM31" s="84"/>
      <c r="AN31" s="8"/>
      <c r="AO31" s="89">
        <v>10</v>
      </c>
      <c r="AR31" s="9"/>
      <c r="AS31" s="9"/>
      <c r="AT31" s="162" t="str">
        <f t="shared" si="0"/>
        <v>-</v>
      </c>
      <c r="AU31" s="9"/>
      <c r="AV31" s="116"/>
    </row>
    <row r="32" spans="1:52" ht="15" customHeight="1" x14ac:dyDescent="0.25">
      <c r="A32" s="72">
        <v>32</v>
      </c>
      <c r="B32" s="80"/>
      <c r="C32" s="156" t="s">
        <v>1580</v>
      </c>
      <c r="D32" s="81"/>
      <c r="E32" s="6"/>
      <c r="F32" s="6"/>
      <c r="G32" s="6"/>
      <c r="H32" s="4"/>
      <c r="I32" s="166"/>
      <c r="J32" s="6"/>
      <c r="K32" s="6"/>
      <c r="L32" s="6"/>
      <c r="M32" s="91"/>
      <c r="N32" s="91"/>
      <c r="O32" s="91"/>
      <c r="P32" s="6"/>
      <c r="Q32" s="92"/>
      <c r="R32" s="92"/>
      <c r="S32" s="92"/>
      <c r="T32" s="6"/>
      <c r="U32" s="6"/>
      <c r="V32" s="6"/>
      <c r="W32" s="4"/>
      <c r="X32" s="6"/>
      <c r="Y32" s="6"/>
      <c r="Z32" s="92"/>
      <c r="AA32" s="6"/>
      <c r="AB32" s="6"/>
      <c r="AC32" s="6"/>
      <c r="AD32" s="6"/>
      <c r="AE32" s="6"/>
      <c r="AF32" s="6"/>
      <c r="AG32" s="93"/>
      <c r="AH32" s="110"/>
      <c r="AI32" s="110"/>
      <c r="AJ32" s="110"/>
      <c r="AK32" s="110"/>
      <c r="AL32" s="110"/>
      <c r="AM32" s="84"/>
      <c r="AN32" s="85">
        <v>0</v>
      </c>
      <c r="AO32" s="85"/>
      <c r="AP32" s="117" t="str">
        <f>C32</f>
        <v>0009</v>
      </c>
      <c r="AR32" s="9"/>
      <c r="AS32" s="9"/>
      <c r="AT32" s="162" t="str">
        <f t="shared" si="0"/>
        <v>-</v>
      </c>
      <c r="AU32" s="9"/>
      <c r="AV32" s="116"/>
    </row>
    <row r="33" spans="1:52" ht="15" customHeight="1" x14ac:dyDescent="0.25">
      <c r="A33" s="72">
        <v>33</v>
      </c>
      <c r="B33" s="80"/>
      <c r="C33" s="157" t="s">
        <v>1717</v>
      </c>
      <c r="D33" s="5" t="s">
        <v>607</v>
      </c>
      <c r="E33" s="5" t="s">
        <v>581</v>
      </c>
      <c r="F33" s="5" t="s">
        <v>580</v>
      </c>
      <c r="G33" s="5" t="s">
        <v>810</v>
      </c>
      <c r="H33" s="2"/>
      <c r="I33" s="165">
        <v>43111</v>
      </c>
      <c r="J33" s="5" t="s">
        <v>581</v>
      </c>
      <c r="K33" s="5" t="s">
        <v>1236</v>
      </c>
      <c r="L33" s="5" t="s">
        <v>1231</v>
      </c>
      <c r="M33" s="5" t="str">
        <f>CONCATENATE(K33," ",L33)</f>
        <v>ZITRON-ASCAZ HOSPITALARIA</v>
      </c>
      <c r="N33" s="5"/>
      <c r="O33" s="5"/>
      <c r="P33" s="5" t="s">
        <v>154</v>
      </c>
      <c r="Q33" s="87" t="s">
        <v>287</v>
      </c>
      <c r="R33" s="87" t="s">
        <v>864</v>
      </c>
      <c r="S33" s="87" t="s">
        <v>546</v>
      </c>
      <c r="T33" s="5" t="s">
        <v>2</v>
      </c>
      <c r="U33" s="5" t="s">
        <v>539</v>
      </c>
      <c r="V33" s="5" t="s">
        <v>665</v>
      </c>
      <c r="W33" s="2">
        <v>30087</v>
      </c>
      <c r="X33" s="7">
        <f ca="1">YEAR($X$1)-YEAR(W33)</f>
        <v>36</v>
      </c>
      <c r="Y33" s="5" t="s">
        <v>1</v>
      </c>
      <c r="Z33" s="87" t="s">
        <v>538</v>
      </c>
      <c r="AA33" s="5">
        <v>38</v>
      </c>
      <c r="AB33" s="5" t="s">
        <v>537</v>
      </c>
      <c r="AC33" s="5" t="s">
        <v>0</v>
      </c>
      <c r="AD33" s="5" t="s">
        <v>31</v>
      </c>
      <c r="AE33" s="5">
        <v>33204</v>
      </c>
      <c r="AF33" s="5">
        <v>606896192</v>
      </c>
      <c r="AG33" s="88" t="s">
        <v>865</v>
      </c>
      <c r="AH33" s="105" t="s">
        <v>1115</v>
      </c>
      <c r="AI33" s="105" t="s">
        <v>17</v>
      </c>
      <c r="AJ33" s="105" t="s">
        <v>1406</v>
      </c>
      <c r="AK33" s="105" t="s">
        <v>1190</v>
      </c>
      <c r="AL33" s="105" t="s">
        <v>1407</v>
      </c>
      <c r="AM33" s="84"/>
      <c r="AN33" s="8"/>
      <c r="AO33" s="89">
        <v>10</v>
      </c>
      <c r="AQ33" s="116" t="str">
        <f>CONCATENATE("NS",C32,"AZ")</f>
        <v>NS0009AZ</v>
      </c>
      <c r="AR33" s="9" t="str">
        <f>CONCATENATE(Q33," ",R33," ",S33)</f>
        <v>JAVIER PUERTAS ÁLVAREZ</v>
      </c>
      <c r="AS33" s="9"/>
      <c r="AT33" s="162" t="str">
        <f t="shared" si="0"/>
        <v>NS0009AZ-JAVIER PUERTAS ÁLVAREZ</v>
      </c>
      <c r="AU33" s="9" t="str">
        <f>U33</f>
        <v>53547531N</v>
      </c>
      <c r="AV33" s="116"/>
      <c r="AW33" s="9" t="str">
        <f>CONCATENATE(AH33,AI33,AJ33,AK33,AL33)</f>
        <v>ES2500496247172516068020</v>
      </c>
      <c r="AZ33" s="159">
        <v>43111</v>
      </c>
    </row>
    <row r="34" spans="1:52" ht="15" customHeight="1" x14ac:dyDescent="0.25">
      <c r="A34" s="72">
        <v>34</v>
      </c>
      <c r="B34" s="80"/>
      <c r="C34" s="156" t="s">
        <v>1581</v>
      </c>
      <c r="D34" s="81"/>
      <c r="E34" s="6"/>
      <c r="F34" s="6"/>
      <c r="G34" s="6"/>
      <c r="H34" s="4"/>
      <c r="I34" s="166"/>
      <c r="J34" s="6"/>
      <c r="K34" s="6"/>
      <c r="L34" s="6"/>
      <c r="M34" s="91"/>
      <c r="N34" s="91"/>
      <c r="O34" s="91"/>
      <c r="P34" s="6"/>
      <c r="Q34" s="92"/>
      <c r="R34" s="92"/>
      <c r="S34" s="92"/>
      <c r="T34" s="6"/>
      <c r="U34" s="6"/>
      <c r="V34" s="6"/>
      <c r="W34" s="4"/>
      <c r="X34" s="6"/>
      <c r="Y34" s="6"/>
      <c r="Z34" s="92"/>
      <c r="AA34" s="6"/>
      <c r="AB34" s="6"/>
      <c r="AC34" s="6"/>
      <c r="AD34" s="6"/>
      <c r="AE34" s="6"/>
      <c r="AF34" s="6"/>
      <c r="AG34" s="93"/>
      <c r="AH34" s="110"/>
      <c r="AI34" s="110"/>
      <c r="AJ34" s="110"/>
      <c r="AK34" s="110"/>
      <c r="AL34" s="110"/>
      <c r="AM34" s="84"/>
      <c r="AN34" s="85">
        <v>30</v>
      </c>
      <c r="AO34" s="85"/>
      <c r="AP34" s="117" t="str">
        <f>C34</f>
        <v>0010</v>
      </c>
      <c r="AR34" s="9"/>
      <c r="AS34" s="9"/>
      <c r="AT34" s="162" t="str">
        <f t="shared" si="0"/>
        <v>-</v>
      </c>
      <c r="AU34" s="9"/>
      <c r="AV34" s="116"/>
    </row>
    <row r="35" spans="1:52" ht="15" customHeight="1" x14ac:dyDescent="0.25">
      <c r="A35" s="72">
        <v>35</v>
      </c>
      <c r="B35" s="80"/>
      <c r="C35" s="157" t="s">
        <v>1717</v>
      </c>
      <c r="D35" s="5" t="s">
        <v>608</v>
      </c>
      <c r="E35" s="5" t="s">
        <v>581</v>
      </c>
      <c r="F35" s="5" t="s">
        <v>580</v>
      </c>
      <c r="G35" s="5" t="s">
        <v>811</v>
      </c>
      <c r="H35" s="2"/>
      <c r="I35" s="165">
        <v>43104</v>
      </c>
      <c r="J35" s="5" t="s">
        <v>581</v>
      </c>
      <c r="K35" s="5" t="s">
        <v>1236</v>
      </c>
      <c r="L35" s="5" t="s">
        <v>1231</v>
      </c>
      <c r="M35" s="5" t="str">
        <f>CONCATENATE(K35," ",L35)</f>
        <v>ZITRON-ASCAZ HOSPITALARIA</v>
      </c>
      <c r="N35" s="5"/>
      <c r="O35" s="5"/>
      <c r="P35" s="5" t="s">
        <v>3</v>
      </c>
      <c r="Q35" s="87" t="s">
        <v>536</v>
      </c>
      <c r="R35" s="87" t="s">
        <v>1151</v>
      </c>
      <c r="S35" s="87" t="s">
        <v>535</v>
      </c>
      <c r="T35" s="5" t="s">
        <v>2</v>
      </c>
      <c r="U35" s="5" t="s">
        <v>534</v>
      </c>
      <c r="V35" s="5" t="s">
        <v>646</v>
      </c>
      <c r="W35" s="2">
        <v>30701</v>
      </c>
      <c r="X35" s="7">
        <f ca="1">YEAR($X$1)-YEAR(W35)</f>
        <v>34</v>
      </c>
      <c r="Y35" s="5" t="s">
        <v>364</v>
      </c>
      <c r="Z35" s="87" t="s">
        <v>363</v>
      </c>
      <c r="AA35" s="5">
        <v>1</v>
      </c>
      <c r="AB35" s="5" t="s">
        <v>362</v>
      </c>
      <c r="AC35" s="5" t="s">
        <v>45</v>
      </c>
      <c r="AD35" s="5" t="s">
        <v>1213</v>
      </c>
      <c r="AE35" s="5">
        <v>33208</v>
      </c>
      <c r="AF35" s="5">
        <v>626169026</v>
      </c>
      <c r="AG35" s="88" t="s">
        <v>866</v>
      </c>
      <c r="AH35" s="105" t="s">
        <v>1408</v>
      </c>
      <c r="AI35" s="105" t="s">
        <v>102</v>
      </c>
      <c r="AJ35" s="105" t="s">
        <v>77</v>
      </c>
      <c r="AK35" s="105" t="s">
        <v>1409</v>
      </c>
      <c r="AL35" s="105" t="s">
        <v>1410</v>
      </c>
      <c r="AM35" s="84"/>
      <c r="AN35" s="8"/>
      <c r="AO35" s="89">
        <v>10</v>
      </c>
      <c r="AQ35" s="116" t="str">
        <f>CONCATENATE("NS",C34,"AZ")</f>
        <v>NS0010AZ</v>
      </c>
      <c r="AR35" s="9" t="str">
        <f>CONCATENATE(Q35," ",R35," ",S35)</f>
        <v>ISABEL  PÉREZ  VERDE</v>
      </c>
      <c r="AS35" s="9"/>
      <c r="AT35" s="162" t="str">
        <f t="shared" si="0"/>
        <v>NS0010AZ-ISABEL  PÉREZ  VERDE</v>
      </c>
      <c r="AU35" s="9" t="str">
        <f>U35</f>
        <v>35573863Q</v>
      </c>
      <c r="AV35" s="116"/>
      <c r="AW35" s="9" t="str">
        <f>CONCATENATE(AH35,AI35,AJ35,AK35,AL35)</f>
        <v>ES2214650100991718590631</v>
      </c>
      <c r="AZ35" s="159">
        <v>43104</v>
      </c>
    </row>
    <row r="36" spans="1:52" ht="15" customHeight="1" x14ac:dyDescent="0.25">
      <c r="A36" s="72">
        <v>36</v>
      </c>
      <c r="B36" s="80"/>
      <c r="C36" s="156" t="s">
        <v>1582</v>
      </c>
      <c r="D36" s="81"/>
      <c r="E36" s="6"/>
      <c r="F36" s="6"/>
      <c r="G36" s="6"/>
      <c r="H36" s="4"/>
      <c r="I36" s="166"/>
      <c r="J36" s="6"/>
      <c r="K36" s="6"/>
      <c r="L36" s="6"/>
      <c r="M36" s="91"/>
      <c r="N36" s="91"/>
      <c r="O36" s="91"/>
      <c r="P36" s="6"/>
      <c r="Q36" s="92"/>
      <c r="R36" s="92"/>
      <c r="S36" s="92"/>
      <c r="T36" s="6"/>
      <c r="U36" s="6"/>
      <c r="V36" s="6"/>
      <c r="W36" s="4"/>
      <c r="X36" s="6"/>
      <c r="Y36" s="6"/>
      <c r="Z36" s="92"/>
      <c r="AA36" s="6"/>
      <c r="AB36" s="6"/>
      <c r="AC36" s="6"/>
      <c r="AD36" s="6"/>
      <c r="AE36" s="6"/>
      <c r="AF36" s="6"/>
      <c r="AG36" s="93"/>
      <c r="AH36" s="110"/>
      <c r="AI36" s="110"/>
      <c r="AJ36" s="110"/>
      <c r="AK36" s="110"/>
      <c r="AL36" s="110"/>
      <c r="AM36" s="84"/>
      <c r="AN36" s="85">
        <v>30</v>
      </c>
      <c r="AO36" s="85"/>
      <c r="AP36" s="117" t="str">
        <f>C36</f>
        <v>0011</v>
      </c>
      <c r="AR36" s="9"/>
      <c r="AS36" s="9"/>
      <c r="AT36" s="162" t="str">
        <f t="shared" si="0"/>
        <v>-</v>
      </c>
      <c r="AU36" s="9"/>
      <c r="AV36" s="116"/>
    </row>
    <row r="37" spans="1:52" ht="15" customHeight="1" x14ac:dyDescent="0.25">
      <c r="A37" s="72">
        <v>37</v>
      </c>
      <c r="B37" s="80"/>
      <c r="C37" s="157" t="s">
        <v>1717</v>
      </c>
      <c r="D37" s="5" t="s">
        <v>609</v>
      </c>
      <c r="E37" s="5" t="s">
        <v>581</v>
      </c>
      <c r="F37" s="5" t="s">
        <v>807</v>
      </c>
      <c r="G37" s="5" t="s">
        <v>811</v>
      </c>
      <c r="H37" s="2"/>
      <c r="I37" s="165">
        <v>43112</v>
      </c>
      <c r="J37" s="5" t="s">
        <v>581</v>
      </c>
      <c r="K37" s="5" t="s">
        <v>1236</v>
      </c>
      <c r="L37" s="5" t="s">
        <v>1231</v>
      </c>
      <c r="M37" s="5" t="str">
        <f>CONCATENATE(K37," ",L37)</f>
        <v>ZITRON-ASCAZ HOSPITALARIA</v>
      </c>
      <c r="N37" s="5"/>
      <c r="O37" s="5"/>
      <c r="P37" s="5" t="s">
        <v>154</v>
      </c>
      <c r="Q37" s="87" t="s">
        <v>287</v>
      </c>
      <c r="R37" s="87" t="s">
        <v>1150</v>
      </c>
      <c r="S37" s="87" t="s">
        <v>533</v>
      </c>
      <c r="T37" s="5" t="s">
        <v>2</v>
      </c>
      <c r="U37" s="5" t="s">
        <v>532</v>
      </c>
      <c r="V37" s="5" t="s">
        <v>665</v>
      </c>
      <c r="W37" s="2">
        <v>20583</v>
      </c>
      <c r="X37" s="7">
        <f ca="1">YEAR($X$1)-YEAR(W37)</f>
        <v>62</v>
      </c>
      <c r="Y37" s="5" t="s">
        <v>225</v>
      </c>
      <c r="Z37" s="87" t="s">
        <v>531</v>
      </c>
      <c r="AA37" s="5"/>
      <c r="AB37" s="5"/>
      <c r="AC37" s="5" t="s">
        <v>0</v>
      </c>
      <c r="AD37" s="5" t="s">
        <v>222</v>
      </c>
      <c r="AE37" s="5" t="s">
        <v>1175</v>
      </c>
      <c r="AF37" s="5">
        <v>626635787</v>
      </c>
      <c r="AG37" s="88" t="s">
        <v>867</v>
      </c>
      <c r="AH37" s="105" t="s">
        <v>321</v>
      </c>
      <c r="AI37" s="105" t="s">
        <v>1486</v>
      </c>
      <c r="AJ37" s="105" t="s">
        <v>1487</v>
      </c>
      <c r="AK37" s="105" t="s">
        <v>1488</v>
      </c>
      <c r="AL37" s="105" t="s">
        <v>1489</v>
      </c>
      <c r="AM37" s="84"/>
      <c r="AN37" s="8"/>
      <c r="AO37" s="89">
        <v>10</v>
      </c>
      <c r="AQ37" s="116" t="str">
        <f>CONCATENATE("NS",C36,"AZ")</f>
        <v>NS0011AZ</v>
      </c>
      <c r="AR37" s="9" t="str">
        <f>CONCATENATE(Q37," ",R37," ",S37)</f>
        <v>JAVIER MORÁN FOMBONA</v>
      </c>
      <c r="AS37" s="9"/>
      <c r="AT37" s="162" t="str">
        <f t="shared" si="0"/>
        <v>NS0011AZ-JAVIER MORÁN FOMBONA</v>
      </c>
      <c r="AU37" s="9" t="str">
        <f>U37</f>
        <v>10803336Y</v>
      </c>
      <c r="AV37" s="116"/>
      <c r="AW37" s="9" t="str">
        <f>CONCATENATE(AH37,AI37,AJ37,AK37,AL37)</f>
        <v>ES0201280151610100015864</v>
      </c>
      <c r="AZ37" s="159">
        <v>43112</v>
      </c>
    </row>
    <row r="38" spans="1:52" ht="15" customHeight="1" x14ac:dyDescent="0.25">
      <c r="A38" s="72">
        <v>38</v>
      </c>
      <c r="B38" s="80"/>
      <c r="C38" s="157" t="s">
        <v>1717</v>
      </c>
      <c r="D38" s="5" t="s">
        <v>330</v>
      </c>
      <c r="E38" s="5" t="s">
        <v>581</v>
      </c>
      <c r="F38" s="5" t="s">
        <v>807</v>
      </c>
      <c r="G38" s="5" t="s">
        <v>811</v>
      </c>
      <c r="H38" s="2"/>
      <c r="I38" s="165"/>
      <c r="J38" s="5" t="s">
        <v>581</v>
      </c>
      <c r="K38" s="5" t="s">
        <v>1236</v>
      </c>
      <c r="L38" s="5" t="s">
        <v>1231</v>
      </c>
      <c r="M38" s="5" t="str">
        <f>CONCATENATE(K38," ",L38)</f>
        <v>ZITRON-ASCAZ HOSPITALARIA</v>
      </c>
      <c r="N38" s="5"/>
      <c r="O38" s="5"/>
      <c r="P38" s="5" t="s">
        <v>43</v>
      </c>
      <c r="Q38" s="87" t="s">
        <v>1128</v>
      </c>
      <c r="R38" s="87" t="s">
        <v>530</v>
      </c>
      <c r="S38" s="87" t="s">
        <v>132</v>
      </c>
      <c r="T38" s="5" t="s">
        <v>2</v>
      </c>
      <c r="U38" s="5" t="s">
        <v>529</v>
      </c>
      <c r="V38" s="5" t="s">
        <v>646</v>
      </c>
      <c r="W38" s="2">
        <v>20838</v>
      </c>
      <c r="X38" s="7">
        <f ca="1">YEAR($X$1)-YEAR(W38)</f>
        <v>61</v>
      </c>
      <c r="Y38" s="5"/>
      <c r="Z38" s="87"/>
      <c r="AA38" s="5"/>
      <c r="AB38" s="5"/>
      <c r="AC38" s="5"/>
      <c r="AD38" s="5"/>
      <c r="AE38" s="5"/>
      <c r="AF38" s="5">
        <v>656822067</v>
      </c>
      <c r="AG38" s="88"/>
      <c r="AH38" s="105"/>
      <c r="AI38" s="105"/>
      <c r="AJ38" s="105"/>
      <c r="AK38" s="105"/>
      <c r="AL38" s="105"/>
      <c r="AM38" s="84"/>
      <c r="AN38" s="8"/>
      <c r="AO38" s="89">
        <v>10</v>
      </c>
      <c r="AR38" s="9"/>
      <c r="AS38" s="9"/>
      <c r="AT38" s="162" t="str">
        <f t="shared" si="0"/>
        <v>-</v>
      </c>
      <c r="AU38" s="9"/>
      <c r="AV38" s="116"/>
    </row>
    <row r="39" spans="1:52" ht="15" customHeight="1" x14ac:dyDescent="0.25">
      <c r="A39" s="72">
        <v>39</v>
      </c>
      <c r="B39" s="80"/>
      <c r="C39" s="156" t="s">
        <v>1583</v>
      </c>
      <c r="D39" s="81"/>
      <c r="E39" s="6"/>
      <c r="F39" s="6"/>
      <c r="G39" s="6"/>
      <c r="H39" s="4"/>
      <c r="I39" s="166"/>
      <c r="J39" s="6"/>
      <c r="K39" s="6"/>
      <c r="L39" s="6"/>
      <c r="M39" s="91"/>
      <c r="N39" s="91"/>
      <c r="O39" s="91"/>
      <c r="P39" s="6"/>
      <c r="Q39" s="92"/>
      <c r="R39" s="92"/>
      <c r="S39" s="92"/>
      <c r="T39" s="6"/>
      <c r="U39" s="6"/>
      <c r="V39" s="6"/>
      <c r="W39" s="4"/>
      <c r="X39" s="6"/>
      <c r="Y39" s="6"/>
      <c r="Z39" s="92"/>
      <c r="AA39" s="6"/>
      <c r="AB39" s="6"/>
      <c r="AC39" s="6"/>
      <c r="AD39" s="6"/>
      <c r="AE39" s="6"/>
      <c r="AF39" s="6"/>
      <c r="AG39" s="93"/>
      <c r="AH39" s="110"/>
      <c r="AI39" s="110"/>
      <c r="AJ39" s="110"/>
      <c r="AK39" s="110"/>
      <c r="AL39" s="110"/>
      <c r="AM39" s="84"/>
      <c r="AN39" s="85">
        <v>30</v>
      </c>
      <c r="AO39" s="85"/>
      <c r="AP39" s="117" t="str">
        <f>C39</f>
        <v>0012</v>
      </c>
      <c r="AR39" s="9"/>
      <c r="AS39" s="9"/>
      <c r="AT39" s="162" t="str">
        <f t="shared" si="0"/>
        <v>-</v>
      </c>
      <c r="AU39" s="9"/>
      <c r="AV39" s="116"/>
    </row>
    <row r="40" spans="1:52" ht="15" customHeight="1" x14ac:dyDescent="0.25">
      <c r="A40" s="72">
        <v>40</v>
      </c>
      <c r="B40" s="80"/>
      <c r="C40" s="157" t="s">
        <v>1717</v>
      </c>
      <c r="D40" s="5" t="s">
        <v>610</v>
      </c>
      <c r="E40" s="5" t="s">
        <v>581</v>
      </c>
      <c r="F40" s="5" t="s">
        <v>580</v>
      </c>
      <c r="G40" s="5" t="s">
        <v>811</v>
      </c>
      <c r="H40" s="2"/>
      <c r="I40" s="165">
        <v>43100</v>
      </c>
      <c r="J40" s="5" t="s">
        <v>581</v>
      </c>
      <c r="K40" s="5" t="s">
        <v>1236</v>
      </c>
      <c r="L40" s="5" t="s">
        <v>1231</v>
      </c>
      <c r="M40" s="5" t="str">
        <f>CONCATENATE(K40," ",L40)</f>
        <v>ZITRON-ASCAZ HOSPITALARIA</v>
      </c>
      <c r="N40" s="5"/>
      <c r="O40" s="5"/>
      <c r="P40" s="5" t="s">
        <v>154</v>
      </c>
      <c r="Q40" s="87" t="s">
        <v>528</v>
      </c>
      <c r="R40" s="87" t="s">
        <v>527</v>
      </c>
      <c r="S40" s="87" t="s">
        <v>354</v>
      </c>
      <c r="T40" s="5" t="s">
        <v>2</v>
      </c>
      <c r="U40" s="5" t="s">
        <v>526</v>
      </c>
      <c r="V40" s="5" t="s">
        <v>646</v>
      </c>
      <c r="W40" s="2">
        <v>31179</v>
      </c>
      <c r="X40" s="7">
        <f ca="1">YEAR($X$1)-YEAR(W40)</f>
        <v>33</v>
      </c>
      <c r="Y40" s="5" t="s">
        <v>1</v>
      </c>
      <c r="Z40" s="87" t="s">
        <v>351</v>
      </c>
      <c r="AA40" s="5">
        <v>12</v>
      </c>
      <c r="AB40" s="5" t="s">
        <v>350</v>
      </c>
      <c r="AC40" s="5" t="s">
        <v>0</v>
      </c>
      <c r="AD40" s="5" t="s">
        <v>31</v>
      </c>
      <c r="AE40" s="5">
        <v>33212</v>
      </c>
      <c r="AF40" s="5">
        <v>625028284</v>
      </c>
      <c r="AG40" s="88" t="s">
        <v>868</v>
      </c>
      <c r="AH40" s="105" t="s">
        <v>1400</v>
      </c>
      <c r="AI40" s="105" t="s">
        <v>1484</v>
      </c>
      <c r="AJ40" s="105" t="s">
        <v>49</v>
      </c>
      <c r="AK40" s="105" t="s">
        <v>1395</v>
      </c>
      <c r="AL40" s="105" t="s">
        <v>1502</v>
      </c>
      <c r="AM40" s="84"/>
      <c r="AN40" s="8"/>
      <c r="AO40" s="89">
        <v>10</v>
      </c>
      <c r="AQ40" s="116" t="str">
        <f>CONCATENATE("NS",C39,"AZ")</f>
        <v>NS0012AZ</v>
      </c>
      <c r="AR40" s="9" t="str">
        <f>CONCATENATE(Q40," ",R40," ",S40)</f>
        <v>SOFIA PRADO COCAÑA</v>
      </c>
      <c r="AS40" s="9"/>
      <c r="AT40" s="162" t="str">
        <f t="shared" si="0"/>
        <v>NS0012AZ-SOFIA PRADO COCAÑA</v>
      </c>
      <c r="AU40" s="9" t="str">
        <f>U40</f>
        <v>53547246A</v>
      </c>
      <c r="AV40" s="116"/>
      <c r="AW40" s="9" t="str">
        <f>CONCATENATE(AH40,AI40,AJ40,AK40,AL40)</f>
        <v>ES8120800769703040010162</v>
      </c>
      <c r="AZ40" s="159">
        <v>43100</v>
      </c>
    </row>
    <row r="41" spans="1:52" ht="15" customHeight="1" x14ac:dyDescent="0.25">
      <c r="A41" s="72">
        <v>41</v>
      </c>
      <c r="B41" s="80"/>
      <c r="C41" s="156" t="s">
        <v>1584</v>
      </c>
      <c r="D41" s="81"/>
      <c r="E41" s="6"/>
      <c r="F41" s="6"/>
      <c r="G41" s="6"/>
      <c r="H41" s="4"/>
      <c r="I41" s="166"/>
      <c r="J41" s="6"/>
      <c r="K41" s="6"/>
      <c r="L41" s="6"/>
      <c r="M41" s="91"/>
      <c r="N41" s="91"/>
      <c r="O41" s="91"/>
      <c r="P41" s="6"/>
      <c r="Q41" s="92"/>
      <c r="R41" s="92"/>
      <c r="S41" s="92"/>
      <c r="T41" s="6"/>
      <c r="U41" s="6"/>
      <c r="V41" s="6"/>
      <c r="W41" s="4"/>
      <c r="X41" s="6"/>
      <c r="Y41" s="6"/>
      <c r="Z41" s="92"/>
      <c r="AA41" s="6"/>
      <c r="AB41" s="6"/>
      <c r="AC41" s="6"/>
      <c r="AD41" s="6"/>
      <c r="AE41" s="6"/>
      <c r="AF41" s="6"/>
      <c r="AG41" s="93"/>
      <c r="AH41" s="110"/>
      <c r="AI41" s="110"/>
      <c r="AJ41" s="110"/>
      <c r="AK41" s="110"/>
      <c r="AL41" s="110"/>
      <c r="AM41" s="84"/>
      <c r="AN41" s="85">
        <v>30</v>
      </c>
      <c r="AO41" s="85"/>
      <c r="AP41" s="117" t="str">
        <f>C41</f>
        <v>0013</v>
      </c>
      <c r="AR41" s="9"/>
      <c r="AS41" s="9"/>
      <c r="AT41" s="162" t="str">
        <f t="shared" si="0"/>
        <v>-</v>
      </c>
      <c r="AU41" s="9"/>
      <c r="AV41" s="116"/>
    </row>
    <row r="42" spans="1:52" ht="15" customHeight="1" x14ac:dyDescent="0.25">
      <c r="A42" s="72">
        <v>42</v>
      </c>
      <c r="B42" s="80"/>
      <c r="C42" s="157" t="s">
        <v>1717</v>
      </c>
      <c r="D42" s="5" t="s">
        <v>611</v>
      </c>
      <c r="E42" s="5" t="s">
        <v>581</v>
      </c>
      <c r="F42" s="5" t="s">
        <v>580</v>
      </c>
      <c r="G42" s="5" t="s">
        <v>811</v>
      </c>
      <c r="H42" s="2"/>
      <c r="I42" s="165">
        <v>43102</v>
      </c>
      <c r="J42" s="5" t="s">
        <v>581</v>
      </c>
      <c r="K42" s="5" t="s">
        <v>1236</v>
      </c>
      <c r="L42" s="5" t="s">
        <v>1231</v>
      </c>
      <c r="M42" s="5" t="str">
        <f>CONCATENATE(K42," ",L42)</f>
        <v>ZITRON-ASCAZ HOSPITALARIA</v>
      </c>
      <c r="N42" s="5"/>
      <c r="O42" s="5"/>
      <c r="P42" s="5" t="s">
        <v>154</v>
      </c>
      <c r="Q42" s="87" t="s">
        <v>869</v>
      </c>
      <c r="R42" s="87" t="s">
        <v>870</v>
      </c>
      <c r="S42" s="87" t="s">
        <v>871</v>
      </c>
      <c r="T42" s="5" t="s">
        <v>2</v>
      </c>
      <c r="U42" s="5" t="s">
        <v>525</v>
      </c>
      <c r="V42" s="5" t="s">
        <v>665</v>
      </c>
      <c r="W42" s="2">
        <v>21886</v>
      </c>
      <c r="X42" s="7">
        <f ca="1">YEAR($X$1)-YEAR(W42)</f>
        <v>59</v>
      </c>
      <c r="Y42" s="5" t="s">
        <v>1</v>
      </c>
      <c r="Z42" s="87" t="s">
        <v>872</v>
      </c>
      <c r="AA42" s="5">
        <v>31</v>
      </c>
      <c r="AB42" s="5" t="s">
        <v>543</v>
      </c>
      <c r="AC42" s="5" t="s">
        <v>0</v>
      </c>
      <c r="AD42" s="5" t="s">
        <v>31</v>
      </c>
      <c r="AE42" s="5">
        <v>33209</v>
      </c>
      <c r="AF42" s="5">
        <v>615991504</v>
      </c>
      <c r="AG42" s="88" t="s">
        <v>873</v>
      </c>
      <c r="AH42" s="105" t="s">
        <v>1503</v>
      </c>
      <c r="AI42" s="105" t="s">
        <v>386</v>
      </c>
      <c r="AJ42" s="105" t="s">
        <v>1504</v>
      </c>
      <c r="AK42" s="105" t="s">
        <v>1505</v>
      </c>
      <c r="AL42" s="105" t="s">
        <v>1506</v>
      </c>
      <c r="AM42" s="84"/>
      <c r="AN42" s="8"/>
      <c r="AO42" s="89">
        <v>10</v>
      </c>
      <c r="AQ42" s="116" t="str">
        <f>CONCATENATE("NS",C41,"AZ")</f>
        <v>NS0013AZ</v>
      </c>
      <c r="AR42" s="9" t="str">
        <f>CONCATENATE(Q42," ",R42," ",S42)</f>
        <v>NEMESIO ENRIQUE PARAJÓN SOLARES</v>
      </c>
      <c r="AS42" s="9"/>
      <c r="AT42" s="162" t="str">
        <f t="shared" si="0"/>
        <v>NS0013AZ-NEMESIO ENRIQUE PARAJÓN SOLARES</v>
      </c>
      <c r="AU42" s="9" t="str">
        <f>U42</f>
        <v>10820609Y</v>
      </c>
      <c r="AV42" s="116"/>
      <c r="AW42" s="9" t="str">
        <f>CONCATENATE(AH42,AI42,AJ42,AK42,AL42)</f>
        <v>ES1700750209150700055869</v>
      </c>
      <c r="AZ42" s="159">
        <v>43102</v>
      </c>
    </row>
    <row r="43" spans="1:52" ht="15" customHeight="1" x14ac:dyDescent="0.25">
      <c r="A43" s="72">
        <v>43</v>
      </c>
      <c r="B43" s="80"/>
      <c r="C43" s="157" t="s">
        <v>1717</v>
      </c>
      <c r="D43" s="5" t="s">
        <v>612</v>
      </c>
      <c r="E43" s="5" t="s">
        <v>581</v>
      </c>
      <c r="F43" s="5" t="s">
        <v>580</v>
      </c>
      <c r="G43" s="5" t="s">
        <v>811</v>
      </c>
      <c r="H43" s="2"/>
      <c r="I43" s="165"/>
      <c r="J43" s="5" t="s">
        <v>581</v>
      </c>
      <c r="K43" s="5" t="s">
        <v>1236</v>
      </c>
      <c r="L43" s="5" t="s">
        <v>1231</v>
      </c>
      <c r="M43" s="5" t="str">
        <f>CONCATENATE(K43," ",L43)</f>
        <v>ZITRON-ASCAZ HOSPITALARIA</v>
      </c>
      <c r="N43" s="5"/>
      <c r="O43" s="5"/>
      <c r="P43" s="5" t="s">
        <v>43</v>
      </c>
      <c r="Q43" s="87" t="s">
        <v>874</v>
      </c>
      <c r="R43" s="87" t="s">
        <v>875</v>
      </c>
      <c r="S43" s="87" t="s">
        <v>1152</v>
      </c>
      <c r="T43" s="5" t="s">
        <v>2</v>
      </c>
      <c r="U43" s="5" t="s">
        <v>1162</v>
      </c>
      <c r="V43" s="5" t="s">
        <v>646</v>
      </c>
      <c r="W43" s="2">
        <v>23788</v>
      </c>
      <c r="X43" s="7">
        <f ca="1">YEAR($X$1)-YEAR(W43)</f>
        <v>53</v>
      </c>
      <c r="Y43" s="5"/>
      <c r="Z43" s="87"/>
      <c r="AA43" s="5"/>
      <c r="AB43" s="5"/>
      <c r="AC43" s="5"/>
      <c r="AD43" s="5"/>
      <c r="AE43" s="5"/>
      <c r="AF43" s="5"/>
      <c r="AG43" s="88"/>
      <c r="AH43" s="105"/>
      <c r="AI43" s="105"/>
      <c r="AJ43" s="105"/>
      <c r="AK43" s="105"/>
      <c r="AL43" s="105"/>
      <c r="AM43" s="84"/>
      <c r="AN43" s="8"/>
      <c r="AO43" s="89">
        <v>10</v>
      </c>
      <c r="AR43" s="9"/>
      <c r="AS43" s="9"/>
      <c r="AT43" s="162" t="str">
        <f t="shared" si="0"/>
        <v>-</v>
      </c>
      <c r="AU43" s="9"/>
      <c r="AV43" s="116"/>
    </row>
    <row r="44" spans="1:52" ht="15" customHeight="1" x14ac:dyDescent="0.25">
      <c r="A44" s="72">
        <v>44</v>
      </c>
      <c r="B44" s="80"/>
      <c r="C44" s="157" t="s">
        <v>1717</v>
      </c>
      <c r="D44" s="5" t="s">
        <v>613</v>
      </c>
      <c r="E44" s="5" t="s">
        <v>581</v>
      </c>
      <c r="F44" s="5" t="s">
        <v>580</v>
      </c>
      <c r="G44" s="5" t="s">
        <v>811</v>
      </c>
      <c r="H44" s="2"/>
      <c r="I44" s="165"/>
      <c r="J44" s="5" t="s">
        <v>581</v>
      </c>
      <c r="K44" s="5" t="s">
        <v>1236</v>
      </c>
      <c r="L44" s="5" t="s">
        <v>1231</v>
      </c>
      <c r="M44" s="5" t="str">
        <f>CONCATENATE(K44," ",L44)</f>
        <v>ZITRON-ASCAZ HOSPITALARIA</v>
      </c>
      <c r="N44" s="5"/>
      <c r="O44" s="5"/>
      <c r="P44" s="90" t="s">
        <v>815</v>
      </c>
      <c r="Q44" s="87" t="s">
        <v>876</v>
      </c>
      <c r="R44" s="87" t="s">
        <v>870</v>
      </c>
      <c r="S44" s="87" t="s">
        <v>875</v>
      </c>
      <c r="T44" s="5" t="s">
        <v>2</v>
      </c>
      <c r="U44" s="5" t="s">
        <v>524</v>
      </c>
      <c r="V44" s="5" t="s">
        <v>665</v>
      </c>
      <c r="W44" s="2">
        <v>34721</v>
      </c>
      <c r="X44" s="7">
        <f ca="1">YEAR($X$1)-YEAR(W44)</f>
        <v>23</v>
      </c>
      <c r="Y44" s="5"/>
      <c r="Z44" s="87"/>
      <c r="AA44" s="5"/>
      <c r="AB44" s="5"/>
      <c r="AC44" s="5"/>
      <c r="AD44" s="5"/>
      <c r="AE44" s="5"/>
      <c r="AF44" s="5"/>
      <c r="AG44" s="88"/>
      <c r="AH44" s="105"/>
      <c r="AI44" s="105"/>
      <c r="AJ44" s="105"/>
      <c r="AK44" s="105"/>
      <c r="AL44" s="105"/>
      <c r="AM44" s="84"/>
      <c r="AN44" s="8"/>
      <c r="AO44" s="89">
        <v>10</v>
      </c>
      <c r="AR44" s="9"/>
      <c r="AS44" s="9"/>
      <c r="AT44" s="162" t="str">
        <f t="shared" si="0"/>
        <v>-</v>
      </c>
      <c r="AU44" s="9"/>
      <c r="AV44" s="116"/>
    </row>
    <row r="45" spans="1:52" ht="15" customHeight="1" x14ac:dyDescent="0.25">
      <c r="A45" s="72">
        <v>45</v>
      </c>
      <c r="B45" s="80"/>
      <c r="C45" s="156" t="s">
        <v>1585</v>
      </c>
      <c r="D45" s="81"/>
      <c r="E45" s="6"/>
      <c r="F45" s="6"/>
      <c r="G45" s="6"/>
      <c r="H45" s="4"/>
      <c r="I45" s="166"/>
      <c r="J45" s="6"/>
      <c r="K45" s="6"/>
      <c r="L45" s="6"/>
      <c r="M45" s="91"/>
      <c r="N45" s="91"/>
      <c r="O45" s="91"/>
      <c r="P45" s="6"/>
      <c r="Q45" s="92"/>
      <c r="R45" s="92"/>
      <c r="S45" s="92"/>
      <c r="T45" s="6"/>
      <c r="U45" s="6"/>
      <c r="V45" s="6"/>
      <c r="W45" s="4"/>
      <c r="X45" s="6"/>
      <c r="Y45" s="6"/>
      <c r="Z45" s="92"/>
      <c r="AA45" s="6"/>
      <c r="AB45" s="6"/>
      <c r="AC45" s="6"/>
      <c r="AD45" s="6"/>
      <c r="AE45" s="6"/>
      <c r="AF45" s="6"/>
      <c r="AG45" s="93"/>
      <c r="AH45" s="110"/>
      <c r="AI45" s="110"/>
      <c r="AJ45" s="110"/>
      <c r="AK45" s="110"/>
      <c r="AL45" s="110"/>
      <c r="AM45" s="84"/>
      <c r="AN45" s="85">
        <v>0</v>
      </c>
      <c r="AO45" s="85"/>
      <c r="AP45" s="117" t="str">
        <f>C45</f>
        <v>0014</v>
      </c>
      <c r="AR45" s="9"/>
      <c r="AS45" s="9"/>
      <c r="AT45" s="162" t="str">
        <f t="shared" si="0"/>
        <v>-</v>
      </c>
      <c r="AU45" s="9"/>
      <c r="AV45" s="116"/>
    </row>
    <row r="46" spans="1:52" ht="15" customHeight="1" x14ac:dyDescent="0.25">
      <c r="A46" s="72">
        <v>46</v>
      </c>
      <c r="B46" s="80"/>
      <c r="C46" s="157" t="s">
        <v>1717</v>
      </c>
      <c r="D46" s="5" t="s">
        <v>614</v>
      </c>
      <c r="E46" s="5" t="s">
        <v>581</v>
      </c>
      <c r="F46" s="5" t="s">
        <v>580</v>
      </c>
      <c r="G46" s="5" t="s">
        <v>810</v>
      </c>
      <c r="H46" s="2"/>
      <c r="I46" s="165">
        <v>43115</v>
      </c>
      <c r="J46" s="5" t="s">
        <v>581</v>
      </c>
      <c r="K46" s="5" t="s">
        <v>1236</v>
      </c>
      <c r="L46" s="5" t="s">
        <v>1231</v>
      </c>
      <c r="M46" s="5" t="str">
        <f>CONCATENATE(K46," ",L46)</f>
        <v>ZITRON-ASCAZ HOSPITALARIA</v>
      </c>
      <c r="N46" s="5"/>
      <c r="O46" s="5"/>
      <c r="P46" s="5" t="s">
        <v>154</v>
      </c>
      <c r="Q46" s="87" t="s">
        <v>461</v>
      </c>
      <c r="R46" s="87" t="s">
        <v>286</v>
      </c>
      <c r="S46" s="87" t="s">
        <v>460</v>
      </c>
      <c r="T46" s="5" t="s">
        <v>2</v>
      </c>
      <c r="U46" s="5" t="s">
        <v>459</v>
      </c>
      <c r="V46" s="5" t="s">
        <v>665</v>
      </c>
      <c r="W46" s="2">
        <v>29542</v>
      </c>
      <c r="X46" s="7">
        <f ca="1">YEAR($X$1)-YEAR(W46)</f>
        <v>38</v>
      </c>
      <c r="Y46" s="5" t="s">
        <v>1</v>
      </c>
      <c r="Z46" s="87" t="s">
        <v>458</v>
      </c>
      <c r="AA46" s="5">
        <v>1</v>
      </c>
      <c r="AB46" s="5" t="s">
        <v>457</v>
      </c>
      <c r="AC46" s="5" t="s">
        <v>0</v>
      </c>
      <c r="AD46" s="5" t="s">
        <v>456</v>
      </c>
      <c r="AE46" s="5">
        <v>33510</v>
      </c>
      <c r="AF46" s="5">
        <v>679944885</v>
      </c>
      <c r="AG46" s="88" t="s">
        <v>877</v>
      </c>
      <c r="AH46" s="105" t="s">
        <v>1507</v>
      </c>
      <c r="AI46" s="105" t="s">
        <v>1508</v>
      </c>
      <c r="AJ46" s="105" t="s">
        <v>113</v>
      </c>
      <c r="AK46" s="105" t="s">
        <v>1171</v>
      </c>
      <c r="AL46" s="105" t="s">
        <v>1509</v>
      </c>
      <c r="AM46" s="84"/>
      <c r="AN46" s="8"/>
      <c r="AO46" s="89">
        <v>10</v>
      </c>
      <c r="AQ46" s="116" t="str">
        <f>CONCATENATE("NS",C45,"AZ")</f>
        <v>NS0014AZ</v>
      </c>
      <c r="AR46" s="9" t="str">
        <f>CONCATENATE(Q46," ",R46," ",S46)</f>
        <v>ADRIAN ALONSO LORDA</v>
      </c>
      <c r="AS46" s="9"/>
      <c r="AT46" s="162" t="str">
        <f t="shared" si="0"/>
        <v>NS0014AZ-ADRIAN ALONSO LORDA</v>
      </c>
      <c r="AU46" s="9" t="str">
        <f>U46</f>
        <v>53506418T</v>
      </c>
      <c r="AV46" s="116"/>
      <c r="AW46" s="9" t="str">
        <f>CONCATENATE(AH46,AI46,AJ46,AK46,AL46)</f>
        <v>ES8330590006252231956018</v>
      </c>
      <c r="AZ46" s="159">
        <v>43115</v>
      </c>
    </row>
    <row r="47" spans="1:52" ht="15" customHeight="1" x14ac:dyDescent="0.25">
      <c r="A47" s="72">
        <v>47</v>
      </c>
      <c r="B47" s="80"/>
      <c r="C47" s="157" t="s">
        <v>1717</v>
      </c>
      <c r="D47" s="5" t="s">
        <v>615</v>
      </c>
      <c r="E47" s="5" t="s">
        <v>581</v>
      </c>
      <c r="F47" s="5" t="s">
        <v>580</v>
      </c>
      <c r="G47" s="5" t="s">
        <v>810</v>
      </c>
      <c r="H47" s="2"/>
      <c r="I47" s="165"/>
      <c r="J47" s="5" t="s">
        <v>581</v>
      </c>
      <c r="K47" s="5" t="s">
        <v>1236</v>
      </c>
      <c r="L47" s="5" t="s">
        <v>1231</v>
      </c>
      <c r="M47" s="5" t="str">
        <f>CONCATENATE(K47," ",L47)</f>
        <v>ZITRON-ASCAZ HOSPITALARIA</v>
      </c>
      <c r="N47" s="5"/>
      <c r="O47" s="5"/>
      <c r="P47" s="5" t="s">
        <v>43</v>
      </c>
      <c r="Q47" s="87" t="s">
        <v>523</v>
      </c>
      <c r="R47" s="87" t="s">
        <v>118</v>
      </c>
      <c r="S47" s="87" t="s">
        <v>132</v>
      </c>
      <c r="T47" s="5" t="s">
        <v>2</v>
      </c>
      <c r="U47" s="5" t="s">
        <v>522</v>
      </c>
      <c r="V47" s="5" t="s">
        <v>646</v>
      </c>
      <c r="W47" s="2">
        <v>28242</v>
      </c>
      <c r="X47" s="7">
        <f ca="1">YEAR($X$1)-YEAR(W47)</f>
        <v>41</v>
      </c>
      <c r="Y47" s="5"/>
      <c r="Z47" s="87"/>
      <c r="AA47" s="5"/>
      <c r="AB47" s="5"/>
      <c r="AC47" s="5"/>
      <c r="AD47" s="5"/>
      <c r="AE47" s="5"/>
      <c r="AF47" s="5"/>
      <c r="AG47" s="88"/>
      <c r="AH47" s="105"/>
      <c r="AI47" s="105"/>
      <c r="AJ47" s="105"/>
      <c r="AK47" s="105"/>
      <c r="AL47" s="105"/>
      <c r="AM47" s="84"/>
      <c r="AN47" s="8"/>
      <c r="AO47" s="89">
        <v>10</v>
      </c>
      <c r="AR47" s="9"/>
      <c r="AS47" s="9"/>
      <c r="AT47" s="162" t="str">
        <f t="shared" si="0"/>
        <v>-</v>
      </c>
      <c r="AU47" s="9"/>
      <c r="AV47" s="116"/>
    </row>
    <row r="48" spans="1:52" ht="15" customHeight="1" x14ac:dyDescent="0.25">
      <c r="A48" s="72">
        <v>48</v>
      </c>
      <c r="B48" s="80"/>
      <c r="C48" s="157" t="s">
        <v>1717</v>
      </c>
      <c r="D48" s="5" t="s">
        <v>616</v>
      </c>
      <c r="E48" s="5" t="s">
        <v>581</v>
      </c>
      <c r="F48" s="5" t="s">
        <v>580</v>
      </c>
      <c r="G48" s="5">
        <v>2012</v>
      </c>
      <c r="H48" s="2"/>
      <c r="I48" s="165"/>
      <c r="J48" s="5" t="s">
        <v>581</v>
      </c>
      <c r="K48" s="5" t="s">
        <v>1236</v>
      </c>
      <c r="L48" s="5" t="s">
        <v>1230</v>
      </c>
      <c r="M48" s="5" t="str">
        <f>CONCATENATE(K48," ",L48)</f>
        <v>ZITRON-ASCAZ AMBULATORIA</v>
      </c>
      <c r="N48" s="5"/>
      <c r="O48" s="5"/>
      <c r="P48" s="90" t="s">
        <v>815</v>
      </c>
      <c r="Q48" s="87" t="s">
        <v>455</v>
      </c>
      <c r="R48" s="87" t="s">
        <v>286</v>
      </c>
      <c r="S48" s="87" t="s">
        <v>118</v>
      </c>
      <c r="T48" s="5" t="s">
        <v>2</v>
      </c>
      <c r="U48" s="5" t="s">
        <v>454</v>
      </c>
      <c r="V48" s="5" t="s">
        <v>665</v>
      </c>
      <c r="W48" s="2">
        <v>40955</v>
      </c>
      <c r="X48" s="7">
        <f ca="1">YEAR($X$1)-YEAR(W48)</f>
        <v>6</v>
      </c>
      <c r="Y48" s="5"/>
      <c r="Z48" s="87"/>
      <c r="AA48" s="5"/>
      <c r="AB48" s="5"/>
      <c r="AC48" s="5"/>
      <c r="AD48" s="5"/>
      <c r="AE48" s="5"/>
      <c r="AF48" s="5"/>
      <c r="AG48" s="88"/>
      <c r="AH48" s="105"/>
      <c r="AI48" s="105"/>
      <c r="AJ48" s="105"/>
      <c r="AK48" s="105"/>
      <c r="AL48" s="105"/>
      <c r="AM48" s="84"/>
      <c r="AN48" s="8"/>
      <c r="AO48" s="89">
        <v>10</v>
      </c>
      <c r="AR48" s="9"/>
      <c r="AS48" s="9"/>
      <c r="AT48" s="162" t="str">
        <f t="shared" si="0"/>
        <v>-</v>
      </c>
      <c r="AU48" s="9"/>
      <c r="AV48" s="116"/>
    </row>
    <row r="49" spans="1:52" ht="15" customHeight="1" x14ac:dyDescent="0.25">
      <c r="A49" s="72">
        <v>49</v>
      </c>
      <c r="B49" s="80"/>
      <c r="C49" s="156" t="s">
        <v>1586</v>
      </c>
      <c r="D49" s="81"/>
      <c r="E49" s="6"/>
      <c r="F49" s="6"/>
      <c r="G49" s="6"/>
      <c r="H49" s="4"/>
      <c r="I49" s="166"/>
      <c r="J49" s="6"/>
      <c r="K49" s="6"/>
      <c r="L49" s="6"/>
      <c r="M49" s="91"/>
      <c r="N49" s="91"/>
      <c r="O49" s="91"/>
      <c r="P49" s="6"/>
      <c r="Q49" s="92"/>
      <c r="R49" s="92"/>
      <c r="S49" s="92"/>
      <c r="T49" s="6"/>
      <c r="U49" s="6"/>
      <c r="V49" s="6"/>
      <c r="W49" s="4"/>
      <c r="X49" s="6"/>
      <c r="Y49" s="6"/>
      <c r="Z49" s="92"/>
      <c r="AA49" s="6"/>
      <c r="AB49" s="6"/>
      <c r="AC49" s="6"/>
      <c r="AD49" s="6"/>
      <c r="AE49" s="6"/>
      <c r="AF49" s="6"/>
      <c r="AG49" s="93"/>
      <c r="AH49" s="110"/>
      <c r="AI49" s="110"/>
      <c r="AJ49" s="110"/>
      <c r="AK49" s="110"/>
      <c r="AL49" s="110"/>
      <c r="AM49" s="84"/>
      <c r="AN49" s="85">
        <v>0</v>
      </c>
      <c r="AO49" s="85"/>
      <c r="AP49" s="117" t="str">
        <f>C49</f>
        <v>0015</v>
      </c>
      <c r="AR49" s="9"/>
      <c r="AS49" s="9"/>
      <c r="AT49" s="162" t="str">
        <f t="shared" si="0"/>
        <v>-</v>
      </c>
      <c r="AU49" s="9"/>
      <c r="AV49" s="116"/>
    </row>
    <row r="50" spans="1:52" ht="15" customHeight="1" x14ac:dyDescent="0.25">
      <c r="A50" s="72">
        <v>50</v>
      </c>
      <c r="B50" s="80"/>
      <c r="C50" s="157" t="s">
        <v>1717</v>
      </c>
      <c r="D50" s="5" t="s">
        <v>617</v>
      </c>
      <c r="E50" s="5" t="s">
        <v>581</v>
      </c>
      <c r="F50" s="5" t="s">
        <v>580</v>
      </c>
      <c r="G50" s="5" t="s">
        <v>810</v>
      </c>
      <c r="H50" s="2"/>
      <c r="I50" s="165">
        <v>43112</v>
      </c>
      <c r="J50" s="5" t="s">
        <v>581</v>
      </c>
      <c r="K50" s="5" t="s">
        <v>1236</v>
      </c>
      <c r="L50" s="5" t="s">
        <v>1231</v>
      </c>
      <c r="M50" s="5" t="str">
        <f>CONCATENATE(K50," ",L50)</f>
        <v>ZITRON-ASCAZ HOSPITALARIA</v>
      </c>
      <c r="N50" s="5"/>
      <c r="O50" s="5"/>
      <c r="P50" s="5" t="s">
        <v>154</v>
      </c>
      <c r="Q50" s="87" t="s">
        <v>521</v>
      </c>
      <c r="R50" s="87" t="s">
        <v>63</v>
      </c>
      <c r="S50" s="87" t="s">
        <v>314</v>
      </c>
      <c r="T50" s="5" t="s">
        <v>2</v>
      </c>
      <c r="U50" s="5" t="s">
        <v>520</v>
      </c>
      <c r="V50" s="5" t="s">
        <v>665</v>
      </c>
      <c r="W50" s="2">
        <v>30063</v>
      </c>
      <c r="X50" s="7">
        <f ca="1">YEAR($X$1)-YEAR(W50)</f>
        <v>36</v>
      </c>
      <c r="Y50" s="5"/>
      <c r="Z50" s="87" t="s">
        <v>519</v>
      </c>
      <c r="AA50" s="5" t="s">
        <v>518</v>
      </c>
      <c r="AB50" s="5"/>
      <c r="AC50" s="5" t="s">
        <v>0</v>
      </c>
      <c r="AD50" s="5" t="s">
        <v>517</v>
      </c>
      <c r="AE50" s="5">
        <v>33189</v>
      </c>
      <c r="AF50" s="5">
        <v>645654032</v>
      </c>
      <c r="AG50" s="88" t="s">
        <v>878</v>
      </c>
      <c r="AH50" s="105" t="s">
        <v>1510</v>
      </c>
      <c r="AI50" s="105" t="s">
        <v>1511</v>
      </c>
      <c r="AJ50" s="105" t="s">
        <v>1512</v>
      </c>
      <c r="AK50" s="105" t="s">
        <v>1362</v>
      </c>
      <c r="AL50" s="105" t="s">
        <v>1513</v>
      </c>
      <c r="AM50" s="84"/>
      <c r="AN50" s="8"/>
      <c r="AO50" s="89">
        <v>10</v>
      </c>
      <c r="AQ50" s="116" t="str">
        <f>CONCATENATE("NS",C49,"AZ")</f>
        <v>NS0015AZ</v>
      </c>
      <c r="AR50" s="9" t="str">
        <f>CONCATENATE(Q50," ",R50," ",S50)</f>
        <v>ADOLFO ANTONIO FERNÁNDEZ TRABANCO</v>
      </c>
      <c r="AS50" s="9"/>
      <c r="AT50" s="162" t="str">
        <f t="shared" si="0"/>
        <v>NS0015AZ-ADOLFO ANTONIO FERNÁNDEZ TRABANCO</v>
      </c>
      <c r="AU50" s="9" t="str">
        <f>U50</f>
        <v>53534858N</v>
      </c>
      <c r="AV50" s="116"/>
      <c r="AW50" s="9" t="str">
        <f>CONCATENATE(AH50,AI50,AJ50,AK50,AL50)</f>
        <v>ES1201303053510106238903</v>
      </c>
      <c r="AZ50" s="159">
        <v>43112</v>
      </c>
    </row>
    <row r="51" spans="1:52" ht="15" customHeight="1" x14ac:dyDescent="0.25">
      <c r="A51" s="72">
        <v>51</v>
      </c>
      <c r="B51" s="80"/>
      <c r="C51" s="157" t="s">
        <v>1717</v>
      </c>
      <c r="D51" s="5" t="s">
        <v>618</v>
      </c>
      <c r="E51" s="5" t="s">
        <v>581</v>
      </c>
      <c r="F51" s="5" t="s">
        <v>580</v>
      </c>
      <c r="G51" s="5" t="s">
        <v>810</v>
      </c>
      <c r="H51" s="2"/>
      <c r="I51" s="165"/>
      <c r="J51" s="5" t="s">
        <v>581</v>
      </c>
      <c r="K51" s="5" t="s">
        <v>1236</v>
      </c>
      <c r="L51" s="5" t="s">
        <v>1231</v>
      </c>
      <c r="M51" s="5" t="str">
        <f>CONCATENATE(K51," ",L51)</f>
        <v>ZITRON-ASCAZ HOSPITALARIA</v>
      </c>
      <c r="N51" s="5"/>
      <c r="O51" s="5"/>
      <c r="P51" s="5" t="s">
        <v>43</v>
      </c>
      <c r="Q51" s="87" t="s">
        <v>955</v>
      </c>
      <c r="R51" s="87" t="s">
        <v>195</v>
      </c>
      <c r="S51" s="87" t="s">
        <v>1157</v>
      </c>
      <c r="T51" s="5" t="s">
        <v>2</v>
      </c>
      <c r="U51" s="5" t="s">
        <v>516</v>
      </c>
      <c r="V51" s="5" t="s">
        <v>646</v>
      </c>
      <c r="W51" s="2">
        <v>30237</v>
      </c>
      <c r="X51" s="7">
        <f ca="1">YEAR($X$1)-YEAR(W51)</f>
        <v>36</v>
      </c>
      <c r="Y51" s="5"/>
      <c r="Z51" s="87"/>
      <c r="AA51" s="5"/>
      <c r="AB51" s="5"/>
      <c r="AC51" s="5"/>
      <c r="AD51" s="5"/>
      <c r="AE51" s="5"/>
      <c r="AF51" s="5"/>
      <c r="AG51" s="88"/>
      <c r="AH51" s="105"/>
      <c r="AI51" s="105"/>
      <c r="AJ51" s="105"/>
      <c r="AK51" s="105"/>
      <c r="AL51" s="105"/>
      <c r="AM51" s="84"/>
      <c r="AN51" s="8"/>
      <c r="AO51" s="89">
        <v>10</v>
      </c>
      <c r="AR51" s="9"/>
      <c r="AS51" s="9"/>
      <c r="AT51" s="162" t="str">
        <f t="shared" si="0"/>
        <v>-</v>
      </c>
      <c r="AU51" s="9"/>
      <c r="AV51" s="116"/>
    </row>
    <row r="52" spans="1:52" ht="15" customHeight="1" x14ac:dyDescent="0.25">
      <c r="A52" s="72">
        <v>52</v>
      </c>
      <c r="B52" s="80"/>
      <c r="C52" s="157" t="s">
        <v>1717</v>
      </c>
      <c r="D52" s="5" t="s">
        <v>619</v>
      </c>
      <c r="E52" s="5" t="s">
        <v>581</v>
      </c>
      <c r="F52" s="5" t="s">
        <v>580</v>
      </c>
      <c r="G52" s="5" t="s">
        <v>810</v>
      </c>
      <c r="H52" s="2"/>
      <c r="I52" s="165"/>
      <c r="J52" s="5" t="s">
        <v>581</v>
      </c>
      <c r="K52" s="5" t="s">
        <v>1236</v>
      </c>
      <c r="L52" s="5" t="s">
        <v>1231</v>
      </c>
      <c r="M52" s="5" t="str">
        <f>CONCATENATE(K52," ",L52)</f>
        <v>ZITRON-ASCAZ HOSPITALARIA</v>
      </c>
      <c r="N52" s="5"/>
      <c r="O52" s="5"/>
      <c r="P52" s="90" t="s">
        <v>815</v>
      </c>
      <c r="Q52" s="87" t="s">
        <v>254</v>
      </c>
      <c r="R52" s="87" t="s">
        <v>63</v>
      </c>
      <c r="S52" s="87" t="s">
        <v>195</v>
      </c>
      <c r="T52" s="5"/>
      <c r="U52" s="5"/>
      <c r="V52" s="5" t="s">
        <v>665</v>
      </c>
      <c r="W52" s="2">
        <v>41253</v>
      </c>
      <c r="X52" s="7">
        <f ca="1">YEAR($X$1)-YEAR(W52)</f>
        <v>6</v>
      </c>
      <c r="Y52" s="5"/>
      <c r="Z52" s="87"/>
      <c r="AA52" s="5"/>
      <c r="AB52" s="5"/>
      <c r="AC52" s="5"/>
      <c r="AD52" s="5"/>
      <c r="AE52" s="5"/>
      <c r="AF52" s="5"/>
      <c r="AG52" s="88"/>
      <c r="AH52" s="105"/>
      <c r="AI52" s="105"/>
      <c r="AJ52" s="105"/>
      <c r="AK52" s="105"/>
      <c r="AL52" s="105"/>
      <c r="AM52" s="84"/>
      <c r="AN52" s="8"/>
      <c r="AO52" s="89">
        <v>10</v>
      </c>
      <c r="AR52" s="9"/>
      <c r="AS52" s="9"/>
      <c r="AT52" s="162" t="str">
        <f t="shared" si="0"/>
        <v>-</v>
      </c>
      <c r="AU52" s="9"/>
      <c r="AV52" s="116"/>
    </row>
    <row r="53" spans="1:52" ht="15" customHeight="1" x14ac:dyDescent="0.25">
      <c r="A53" s="72">
        <v>53</v>
      </c>
      <c r="B53" s="80"/>
      <c r="C53" s="156" t="s">
        <v>1587</v>
      </c>
      <c r="D53" s="81"/>
      <c r="E53" s="6"/>
      <c r="F53" s="6"/>
      <c r="G53" s="6"/>
      <c r="H53" s="4"/>
      <c r="I53" s="166"/>
      <c r="J53" s="6"/>
      <c r="K53" s="6"/>
      <c r="L53" s="6"/>
      <c r="M53" s="91"/>
      <c r="N53" s="91"/>
      <c r="O53" s="91"/>
      <c r="P53" s="6"/>
      <c r="Q53" s="92"/>
      <c r="R53" s="92"/>
      <c r="S53" s="92"/>
      <c r="T53" s="6"/>
      <c r="U53" s="6"/>
      <c r="V53" s="6"/>
      <c r="W53" s="4"/>
      <c r="X53" s="6"/>
      <c r="Y53" s="6"/>
      <c r="Z53" s="92"/>
      <c r="AA53" s="6"/>
      <c r="AB53" s="6"/>
      <c r="AC53" s="6"/>
      <c r="AD53" s="6"/>
      <c r="AE53" s="6"/>
      <c r="AF53" s="6"/>
      <c r="AG53" s="93"/>
      <c r="AH53" s="110"/>
      <c r="AI53" s="110"/>
      <c r="AJ53" s="110"/>
      <c r="AK53" s="110"/>
      <c r="AL53" s="110"/>
      <c r="AM53" s="84"/>
      <c r="AN53" s="85">
        <v>0</v>
      </c>
      <c r="AO53" s="85"/>
      <c r="AP53" s="117" t="str">
        <f>C53</f>
        <v>0016</v>
      </c>
      <c r="AR53" s="9"/>
      <c r="AS53" s="9"/>
      <c r="AT53" s="162" t="str">
        <f t="shared" si="0"/>
        <v>-</v>
      </c>
      <c r="AU53" s="9"/>
      <c r="AV53" s="116"/>
    </row>
    <row r="54" spans="1:52" ht="15" customHeight="1" x14ac:dyDescent="0.25">
      <c r="A54" s="72">
        <v>54</v>
      </c>
      <c r="B54" s="80"/>
      <c r="C54" s="157" t="s">
        <v>1717</v>
      </c>
      <c r="D54" s="5" t="s">
        <v>620</v>
      </c>
      <c r="E54" s="5" t="s">
        <v>581</v>
      </c>
      <c r="F54" s="5" t="s">
        <v>580</v>
      </c>
      <c r="G54" s="5" t="s">
        <v>810</v>
      </c>
      <c r="H54" s="2"/>
      <c r="I54" s="165">
        <v>43111</v>
      </c>
      <c r="J54" s="5" t="s">
        <v>581</v>
      </c>
      <c r="K54" s="5" t="s">
        <v>1236</v>
      </c>
      <c r="L54" s="5" t="s">
        <v>1231</v>
      </c>
      <c r="M54" s="5" t="str">
        <f>CONCATENATE(K54," ",L54)</f>
        <v>ZITRON-ASCAZ HOSPITALARIA</v>
      </c>
      <c r="N54" s="5"/>
      <c r="O54" s="5"/>
      <c r="P54" s="5" t="s">
        <v>154</v>
      </c>
      <c r="Q54" s="87" t="s">
        <v>95</v>
      </c>
      <c r="R54" s="87" t="s">
        <v>63</v>
      </c>
      <c r="S54" s="87" t="s">
        <v>1149</v>
      </c>
      <c r="T54" s="5" t="s">
        <v>2</v>
      </c>
      <c r="U54" s="5" t="s">
        <v>515</v>
      </c>
      <c r="V54" s="5" t="s">
        <v>646</v>
      </c>
      <c r="W54" s="2">
        <v>26270</v>
      </c>
      <c r="X54" s="7">
        <f ca="1">YEAR($X$1)-YEAR(W54)</f>
        <v>47</v>
      </c>
      <c r="Y54" s="5" t="s">
        <v>1</v>
      </c>
      <c r="Z54" s="87" t="s">
        <v>879</v>
      </c>
      <c r="AA54" s="5">
        <v>46</v>
      </c>
      <c r="AB54" s="5" t="s">
        <v>514</v>
      </c>
      <c r="AC54" s="5" t="s">
        <v>0</v>
      </c>
      <c r="AD54" s="5" t="s">
        <v>7</v>
      </c>
      <c r="AE54" s="5">
        <v>33007</v>
      </c>
      <c r="AF54" s="5">
        <v>649457291</v>
      </c>
      <c r="AG54" s="88" t="s">
        <v>880</v>
      </c>
      <c r="AH54" s="105" t="s">
        <v>1514</v>
      </c>
      <c r="AI54" s="105" t="s">
        <v>13</v>
      </c>
      <c r="AJ54" s="105" t="s">
        <v>1361</v>
      </c>
      <c r="AK54" s="105" t="s">
        <v>1260</v>
      </c>
      <c r="AL54" s="105" t="s">
        <v>1515</v>
      </c>
      <c r="AM54" s="84"/>
      <c r="AN54" s="8"/>
      <c r="AO54" s="89">
        <v>10</v>
      </c>
      <c r="AQ54" s="116" t="str">
        <f>CONCATENATE("NS",C53,"AZ")</f>
        <v>NS0016AZ</v>
      </c>
      <c r="AR54" s="9" t="str">
        <f>CONCATENATE(Q54," ",R54," ",S54)</f>
        <v>MARTA FERNÁNDEZ MARTÍNEZ</v>
      </c>
      <c r="AS54" s="9"/>
      <c r="AT54" s="162" t="str">
        <f t="shared" si="0"/>
        <v>NS0016AZ-MARTA FERNÁNDEZ MARTÍNEZ</v>
      </c>
      <c r="AU54" s="9" t="str">
        <f>U54</f>
        <v>09422854F</v>
      </c>
      <c r="AV54" s="116"/>
      <c r="AW54" s="9" t="str">
        <f>CONCATENATE(AH54,AI54,AJ54,AK54,AL54)</f>
        <v>ES0800815051570002776485</v>
      </c>
      <c r="AZ54" s="159">
        <v>43111</v>
      </c>
    </row>
    <row r="55" spans="1:52" ht="15" customHeight="1" x14ac:dyDescent="0.25">
      <c r="A55" s="72">
        <v>55</v>
      </c>
      <c r="B55" s="80"/>
      <c r="C55" s="157" t="s">
        <v>1717</v>
      </c>
      <c r="D55" s="5" t="s">
        <v>621</v>
      </c>
      <c r="E55" s="5" t="s">
        <v>581</v>
      </c>
      <c r="F55" s="5" t="s">
        <v>580</v>
      </c>
      <c r="G55" s="5" t="s">
        <v>810</v>
      </c>
      <c r="H55" s="2"/>
      <c r="I55" s="165"/>
      <c r="J55" s="5" t="s">
        <v>581</v>
      </c>
      <c r="K55" s="5" t="s">
        <v>1236</v>
      </c>
      <c r="L55" s="5" t="s">
        <v>1231</v>
      </c>
      <c r="M55" s="5" t="str">
        <f>CONCATENATE(K55," ",L55)</f>
        <v>ZITRON-ASCAZ HOSPITALARIA</v>
      </c>
      <c r="N55" s="5"/>
      <c r="O55" s="5"/>
      <c r="P55" s="5" t="s">
        <v>43</v>
      </c>
      <c r="Q55" s="87" t="s">
        <v>881</v>
      </c>
      <c r="R55" s="87" t="s">
        <v>297</v>
      </c>
      <c r="S55" s="87" t="s">
        <v>63</v>
      </c>
      <c r="T55" s="5" t="s">
        <v>2</v>
      </c>
      <c r="U55" s="5" t="s">
        <v>513</v>
      </c>
      <c r="V55" s="5" t="s">
        <v>665</v>
      </c>
      <c r="W55" s="2">
        <v>25550</v>
      </c>
      <c r="X55" s="7">
        <f ca="1">YEAR($X$1)-YEAR(W55)</f>
        <v>49</v>
      </c>
      <c r="Y55" s="5"/>
      <c r="Z55" s="87"/>
      <c r="AA55" s="5"/>
      <c r="AB55" s="5"/>
      <c r="AC55" s="5"/>
      <c r="AD55" s="5"/>
      <c r="AE55" s="5"/>
      <c r="AF55" s="5"/>
      <c r="AG55" s="88"/>
      <c r="AH55" s="105"/>
      <c r="AI55" s="105"/>
      <c r="AJ55" s="105"/>
      <c r="AK55" s="105"/>
      <c r="AL55" s="105"/>
      <c r="AM55" s="84"/>
      <c r="AN55" s="8"/>
      <c r="AO55" s="89">
        <v>10</v>
      </c>
      <c r="AR55" s="9"/>
      <c r="AS55" s="9"/>
      <c r="AT55" s="162" t="str">
        <f t="shared" si="0"/>
        <v>-</v>
      </c>
      <c r="AU55" s="9"/>
      <c r="AV55" s="116"/>
    </row>
    <row r="56" spans="1:52" ht="15" customHeight="1" x14ac:dyDescent="0.25">
      <c r="A56" s="72">
        <v>56</v>
      </c>
      <c r="B56" s="80"/>
      <c r="C56" s="157" t="s">
        <v>1717</v>
      </c>
      <c r="D56" s="5" t="s">
        <v>622</v>
      </c>
      <c r="E56" s="5" t="s">
        <v>581</v>
      </c>
      <c r="F56" s="5" t="s">
        <v>580</v>
      </c>
      <c r="G56" s="5" t="s">
        <v>810</v>
      </c>
      <c r="H56" s="2"/>
      <c r="I56" s="165"/>
      <c r="J56" s="5" t="s">
        <v>581</v>
      </c>
      <c r="K56" s="5" t="s">
        <v>1236</v>
      </c>
      <c r="L56" s="5" t="s">
        <v>1231</v>
      </c>
      <c r="M56" s="5" t="str">
        <f>CONCATENATE(K56," ",L56)</f>
        <v>ZITRON-ASCAZ HOSPITALARIA</v>
      </c>
      <c r="N56" s="5"/>
      <c r="O56" s="5"/>
      <c r="P56" s="90" t="s">
        <v>815</v>
      </c>
      <c r="Q56" s="87" t="s">
        <v>851</v>
      </c>
      <c r="R56" s="87" t="s">
        <v>297</v>
      </c>
      <c r="S56" s="87" t="s">
        <v>63</v>
      </c>
      <c r="T56" s="5"/>
      <c r="U56" s="5"/>
      <c r="V56" s="5" t="s">
        <v>646</v>
      </c>
      <c r="W56" s="2">
        <v>40025</v>
      </c>
      <c r="X56" s="7">
        <f ca="1">YEAR($X$1)-YEAR(W56)</f>
        <v>9</v>
      </c>
      <c r="Y56" s="5"/>
      <c r="Z56" s="87"/>
      <c r="AA56" s="5"/>
      <c r="AB56" s="5"/>
      <c r="AC56" s="5"/>
      <c r="AD56" s="5"/>
      <c r="AE56" s="5"/>
      <c r="AF56" s="5"/>
      <c r="AG56" s="88"/>
      <c r="AH56" s="105"/>
      <c r="AI56" s="105"/>
      <c r="AJ56" s="105"/>
      <c r="AK56" s="105"/>
      <c r="AL56" s="105"/>
      <c r="AM56" s="84"/>
      <c r="AN56" s="8"/>
      <c r="AO56" s="89">
        <v>10</v>
      </c>
      <c r="AR56" s="9"/>
      <c r="AS56" s="9"/>
      <c r="AT56" s="162" t="str">
        <f t="shared" si="0"/>
        <v>-</v>
      </c>
      <c r="AU56" s="9"/>
      <c r="AV56" s="116"/>
    </row>
    <row r="57" spans="1:52" ht="15" customHeight="1" x14ac:dyDescent="0.25">
      <c r="A57" s="72">
        <v>57</v>
      </c>
      <c r="B57" s="80"/>
      <c r="C57" s="156" t="s">
        <v>1588</v>
      </c>
      <c r="D57" s="81"/>
      <c r="E57" s="6"/>
      <c r="F57" s="6"/>
      <c r="G57" s="6"/>
      <c r="H57" s="4"/>
      <c r="I57" s="166"/>
      <c r="J57" s="6"/>
      <c r="K57" s="6"/>
      <c r="L57" s="6"/>
      <c r="M57" s="91"/>
      <c r="N57" s="91"/>
      <c r="O57" s="91"/>
      <c r="P57" s="6"/>
      <c r="Q57" s="92"/>
      <c r="R57" s="92"/>
      <c r="S57" s="92"/>
      <c r="T57" s="6"/>
      <c r="U57" s="6"/>
      <c r="V57" s="6"/>
      <c r="W57" s="4"/>
      <c r="X57" s="6"/>
      <c r="Y57" s="6"/>
      <c r="Z57" s="92"/>
      <c r="AA57" s="6"/>
      <c r="AB57" s="6"/>
      <c r="AC57" s="6"/>
      <c r="AD57" s="6"/>
      <c r="AE57" s="6"/>
      <c r="AF57" s="6"/>
      <c r="AG57" s="93"/>
      <c r="AH57" s="110"/>
      <c r="AI57" s="110"/>
      <c r="AJ57" s="110"/>
      <c r="AK57" s="110"/>
      <c r="AL57" s="110"/>
      <c r="AM57" s="84"/>
      <c r="AN57" s="85">
        <v>30</v>
      </c>
      <c r="AO57" s="85"/>
      <c r="AP57" s="117" t="str">
        <f>C57</f>
        <v>0017</v>
      </c>
      <c r="AR57" s="9"/>
      <c r="AS57" s="9"/>
      <c r="AT57" s="162" t="str">
        <f t="shared" si="0"/>
        <v>-</v>
      </c>
      <c r="AU57" s="9"/>
      <c r="AV57" s="116"/>
    </row>
    <row r="58" spans="1:52" ht="15" customHeight="1" x14ac:dyDescent="0.25">
      <c r="A58" s="72">
        <v>58</v>
      </c>
      <c r="B58" s="80"/>
      <c r="C58" s="157" t="s">
        <v>1717</v>
      </c>
      <c r="D58" s="5" t="s">
        <v>623</v>
      </c>
      <c r="E58" s="5" t="s">
        <v>581</v>
      </c>
      <c r="F58" s="5" t="s">
        <v>580</v>
      </c>
      <c r="G58" s="5" t="s">
        <v>811</v>
      </c>
      <c r="H58" s="2"/>
      <c r="I58" s="165">
        <v>43112</v>
      </c>
      <c r="J58" s="5" t="s">
        <v>581</v>
      </c>
      <c r="K58" s="5" t="s">
        <v>1236</v>
      </c>
      <c r="L58" s="5" t="s">
        <v>1231</v>
      </c>
      <c r="M58" s="5" t="str">
        <f>CONCATENATE(K58," ",L58)</f>
        <v>ZITRON-ASCAZ HOSPITALARIA</v>
      </c>
      <c r="N58" s="5"/>
      <c r="O58" s="5"/>
      <c r="P58" s="5" t="s">
        <v>154</v>
      </c>
      <c r="Q58" s="87" t="s">
        <v>512</v>
      </c>
      <c r="R58" s="87" t="s">
        <v>291</v>
      </c>
      <c r="S58" s="87" t="s">
        <v>511</v>
      </c>
      <c r="T58" s="5" t="s">
        <v>2</v>
      </c>
      <c r="U58" s="5" t="s">
        <v>510</v>
      </c>
      <c r="V58" s="5" t="s">
        <v>665</v>
      </c>
      <c r="W58" s="2">
        <v>30957</v>
      </c>
      <c r="X58" s="7">
        <f ca="1">YEAR($X$1)-YEAR(W58)</f>
        <v>34</v>
      </c>
      <c r="Y58" s="5" t="s">
        <v>171</v>
      </c>
      <c r="Z58" s="87" t="s">
        <v>509</v>
      </c>
      <c r="AA58" s="5">
        <v>30</v>
      </c>
      <c r="AB58" s="5" t="s">
        <v>503</v>
      </c>
      <c r="AC58" s="5" t="s">
        <v>0</v>
      </c>
      <c r="AD58" s="5" t="s">
        <v>31</v>
      </c>
      <c r="AE58" s="5">
        <v>33212</v>
      </c>
      <c r="AF58" s="5">
        <v>626644467</v>
      </c>
      <c r="AG58" s="88" t="s">
        <v>882</v>
      </c>
      <c r="AH58" s="105" t="s">
        <v>1516</v>
      </c>
      <c r="AI58" s="105" t="s">
        <v>1380</v>
      </c>
      <c r="AJ58" s="105" t="s">
        <v>77</v>
      </c>
      <c r="AK58" s="105" t="s">
        <v>1386</v>
      </c>
      <c r="AL58" s="105" t="s">
        <v>1517</v>
      </c>
      <c r="AM58" s="84"/>
      <c r="AN58" s="8"/>
      <c r="AO58" s="89">
        <v>10</v>
      </c>
      <c r="AQ58" s="116" t="str">
        <f>CONCATENATE("NS",C57,"AZ")</f>
        <v>NS0017AZ</v>
      </c>
      <c r="AR58" s="9" t="str">
        <f>CONCATENATE(Q58," ",R58," ",S58)</f>
        <v>DAVID RODRÍGUEZ CUETO</v>
      </c>
      <c r="AS58" s="9"/>
      <c r="AT58" s="162" t="str">
        <f t="shared" si="0"/>
        <v>NS0017AZ-DAVID RODRÍGUEZ CUETO</v>
      </c>
      <c r="AU58" s="9" t="str">
        <f>U58</f>
        <v>53529145A</v>
      </c>
      <c r="AV58" s="116"/>
      <c r="AW58" s="9" t="str">
        <f>CONCATENATE(AH58,AI58,AJ58,AK58,AL58)</f>
        <v>ES8430070100162007062017</v>
      </c>
      <c r="AZ58" s="159">
        <v>43112</v>
      </c>
    </row>
    <row r="59" spans="1:52" ht="15" customHeight="1" x14ac:dyDescent="0.25">
      <c r="A59" s="72">
        <v>59</v>
      </c>
      <c r="B59" s="80"/>
      <c r="C59" s="156" t="s">
        <v>1589</v>
      </c>
      <c r="D59" s="81"/>
      <c r="E59" s="6"/>
      <c r="F59" s="6"/>
      <c r="G59" s="6"/>
      <c r="H59" s="4"/>
      <c r="I59" s="166"/>
      <c r="J59" s="6"/>
      <c r="K59" s="6"/>
      <c r="L59" s="6"/>
      <c r="M59" s="91"/>
      <c r="N59" s="91"/>
      <c r="O59" s="91"/>
      <c r="P59" s="6"/>
      <c r="Q59" s="92"/>
      <c r="R59" s="92"/>
      <c r="S59" s="92"/>
      <c r="T59" s="6"/>
      <c r="U59" s="6"/>
      <c r="V59" s="6"/>
      <c r="W59" s="4"/>
      <c r="X59" s="6"/>
      <c r="Y59" s="6"/>
      <c r="Z59" s="92"/>
      <c r="AA59" s="6"/>
      <c r="AB59" s="6"/>
      <c r="AC59" s="6"/>
      <c r="AD59" s="6"/>
      <c r="AE59" s="6"/>
      <c r="AF59" s="6"/>
      <c r="AG59" s="93"/>
      <c r="AH59" s="110"/>
      <c r="AI59" s="110"/>
      <c r="AJ59" s="110"/>
      <c r="AK59" s="110"/>
      <c r="AL59" s="110"/>
      <c r="AM59" s="84"/>
      <c r="AN59" s="85">
        <v>30</v>
      </c>
      <c r="AO59" s="85"/>
      <c r="AP59" s="117" t="str">
        <f>C59</f>
        <v>0018</v>
      </c>
      <c r="AR59" s="9"/>
      <c r="AS59" s="9"/>
      <c r="AT59" s="162" t="str">
        <f t="shared" si="0"/>
        <v>-</v>
      </c>
      <c r="AU59" s="9"/>
      <c r="AV59" s="116"/>
    </row>
    <row r="60" spans="1:52" ht="15" customHeight="1" x14ac:dyDescent="0.25">
      <c r="A60" s="72">
        <v>60</v>
      </c>
      <c r="B60" s="80"/>
      <c r="C60" s="157" t="s">
        <v>1717</v>
      </c>
      <c r="D60" s="5" t="s">
        <v>624</v>
      </c>
      <c r="E60" s="5" t="s">
        <v>581</v>
      </c>
      <c r="F60" s="5" t="s">
        <v>580</v>
      </c>
      <c r="G60" s="5" t="s">
        <v>811</v>
      </c>
      <c r="H60" s="2"/>
      <c r="I60" s="165">
        <v>43112</v>
      </c>
      <c r="J60" s="5" t="s">
        <v>581</v>
      </c>
      <c r="K60" s="5" t="s">
        <v>1236</v>
      </c>
      <c r="L60" s="5" t="s">
        <v>1231</v>
      </c>
      <c r="M60" s="5" t="str">
        <f>CONCATENATE(K60," ",L60)</f>
        <v>ZITRON-ASCAZ HOSPITALARIA</v>
      </c>
      <c r="N60" s="5"/>
      <c r="O60" s="5"/>
      <c r="P60" s="5" t="s">
        <v>154</v>
      </c>
      <c r="Q60" s="87" t="s">
        <v>443</v>
      </c>
      <c r="R60" s="87" t="s">
        <v>233</v>
      </c>
      <c r="S60" s="87" t="s">
        <v>297</v>
      </c>
      <c r="T60" s="5" t="s">
        <v>2</v>
      </c>
      <c r="U60" s="5" t="s">
        <v>442</v>
      </c>
      <c r="V60" s="5" t="s">
        <v>646</v>
      </c>
      <c r="W60" s="2">
        <v>27089</v>
      </c>
      <c r="X60" s="7">
        <f ca="1">YEAR($X$1)-YEAR(W60)</f>
        <v>44</v>
      </c>
      <c r="Y60" s="5" t="s">
        <v>441</v>
      </c>
      <c r="Z60" s="87" t="s">
        <v>440</v>
      </c>
      <c r="AA60" s="5">
        <v>188</v>
      </c>
      <c r="AB60" s="5" t="s">
        <v>439</v>
      </c>
      <c r="AC60" s="5" t="s">
        <v>0</v>
      </c>
      <c r="AD60" s="5" t="s">
        <v>31</v>
      </c>
      <c r="AE60" s="5">
        <v>33394</v>
      </c>
      <c r="AF60" s="5">
        <v>637342166</v>
      </c>
      <c r="AG60" s="88" t="s">
        <v>883</v>
      </c>
      <c r="AH60" s="105" t="s">
        <v>269</v>
      </c>
      <c r="AI60" s="105" t="s">
        <v>13</v>
      </c>
      <c r="AJ60" s="105" t="s">
        <v>1518</v>
      </c>
      <c r="AK60" s="105" t="s">
        <v>1519</v>
      </c>
      <c r="AL60" s="105" t="s">
        <v>1520</v>
      </c>
      <c r="AM60" s="84"/>
      <c r="AN60" s="8"/>
      <c r="AO60" s="89">
        <v>10</v>
      </c>
      <c r="AQ60" s="116" t="str">
        <f>CONCATENATE("NS",C59,"AZ")</f>
        <v>NS0018AZ</v>
      </c>
      <c r="AR60" s="9" t="str">
        <f>CONCATENATE(Q60," ",R60," ",S60)</f>
        <v>BEGOÑA MARCOS SUÁREZ</v>
      </c>
      <c r="AS60" s="9"/>
      <c r="AT60" s="162" t="str">
        <f t="shared" si="0"/>
        <v>NS0018AZ-BEGOÑA MARCOS SUÁREZ</v>
      </c>
      <c r="AU60" s="9" t="str">
        <f>U60</f>
        <v>10892763D</v>
      </c>
      <c r="AV60" s="116"/>
      <c r="AW60" s="9" t="str">
        <f>CONCATENATE(AH60,AI60,AJ60,AK60,AL60)</f>
        <v>ES5700815157600001338436</v>
      </c>
      <c r="AZ60" s="159">
        <v>43112</v>
      </c>
    </row>
    <row r="61" spans="1:52" ht="15" customHeight="1" x14ac:dyDescent="0.25">
      <c r="A61" s="72">
        <v>61</v>
      </c>
      <c r="B61" s="80"/>
      <c r="C61" s="157" t="s">
        <v>1717</v>
      </c>
      <c r="D61" s="5" t="s">
        <v>625</v>
      </c>
      <c r="E61" s="5" t="s">
        <v>581</v>
      </c>
      <c r="F61" s="5" t="s">
        <v>580</v>
      </c>
      <c r="G61" s="5" t="s">
        <v>811</v>
      </c>
      <c r="H61" s="2"/>
      <c r="I61" s="165"/>
      <c r="J61" s="5" t="s">
        <v>581</v>
      </c>
      <c r="K61" s="5" t="s">
        <v>1236</v>
      </c>
      <c r="L61" s="5" t="s">
        <v>1231</v>
      </c>
      <c r="M61" s="5" t="str">
        <f>CONCATENATE(K61," ",L61)</f>
        <v>ZITRON-ASCAZ HOSPITALARIA</v>
      </c>
      <c r="N61" s="5"/>
      <c r="O61" s="5"/>
      <c r="P61" s="5" t="s">
        <v>43</v>
      </c>
      <c r="Q61" s="87" t="s">
        <v>508</v>
      </c>
      <c r="R61" s="87" t="s">
        <v>174</v>
      </c>
      <c r="S61" s="87" t="s">
        <v>297</v>
      </c>
      <c r="T61" s="5" t="s">
        <v>2</v>
      </c>
      <c r="U61" s="5" t="s">
        <v>507</v>
      </c>
      <c r="V61" s="5" t="s">
        <v>665</v>
      </c>
      <c r="W61" s="2">
        <v>23676</v>
      </c>
      <c r="X61" s="7">
        <f ca="1">YEAR($X$1)-YEAR(W61)</f>
        <v>54</v>
      </c>
      <c r="Y61" s="5"/>
      <c r="Z61" s="87"/>
      <c r="AA61" s="5"/>
      <c r="AB61" s="5"/>
      <c r="AC61" s="5"/>
      <c r="AD61" s="5"/>
      <c r="AE61" s="5"/>
      <c r="AF61" s="5">
        <v>649815158</v>
      </c>
      <c r="AG61" s="88" t="s">
        <v>884</v>
      </c>
      <c r="AH61" s="105"/>
      <c r="AI61" s="105"/>
      <c r="AJ61" s="105"/>
      <c r="AK61" s="105"/>
      <c r="AL61" s="105"/>
      <c r="AM61" s="84"/>
      <c r="AN61" s="8"/>
      <c r="AO61" s="89">
        <v>10</v>
      </c>
      <c r="AR61" s="9"/>
      <c r="AS61" s="9"/>
      <c r="AT61" s="162" t="str">
        <f t="shared" si="0"/>
        <v>-</v>
      </c>
      <c r="AU61" s="9"/>
      <c r="AV61" s="116"/>
    </row>
    <row r="62" spans="1:52" ht="15" customHeight="1" x14ac:dyDescent="0.25">
      <c r="A62" s="72">
        <v>62</v>
      </c>
      <c r="B62" s="80"/>
      <c r="C62" s="157" t="s">
        <v>1717</v>
      </c>
      <c r="D62" s="5" t="s">
        <v>626</v>
      </c>
      <c r="E62" s="5" t="s">
        <v>581</v>
      </c>
      <c r="F62" s="5" t="s">
        <v>580</v>
      </c>
      <c r="G62" s="5" t="s">
        <v>811</v>
      </c>
      <c r="H62" s="2"/>
      <c r="I62" s="165"/>
      <c r="J62" s="5" t="s">
        <v>581</v>
      </c>
      <c r="K62" s="5" t="s">
        <v>1236</v>
      </c>
      <c r="L62" s="5" t="s">
        <v>1230</v>
      </c>
      <c r="M62" s="5" t="str">
        <f>CONCATENATE(K62," ",L62)</f>
        <v>ZITRON-ASCAZ AMBULATORIA</v>
      </c>
      <c r="N62" s="5"/>
      <c r="O62" s="5"/>
      <c r="P62" s="90" t="s">
        <v>815</v>
      </c>
      <c r="Q62" s="87" t="s">
        <v>438</v>
      </c>
      <c r="R62" s="87" t="s">
        <v>174</v>
      </c>
      <c r="S62" s="87" t="s">
        <v>233</v>
      </c>
      <c r="T62" s="5" t="s">
        <v>2</v>
      </c>
      <c r="U62" s="5" t="s">
        <v>437</v>
      </c>
      <c r="V62" s="5" t="s">
        <v>646</v>
      </c>
      <c r="W62" s="2">
        <v>40123</v>
      </c>
      <c r="X62" s="7">
        <f ca="1">YEAR($X$1)-YEAR(W62)</f>
        <v>9</v>
      </c>
      <c r="Y62" s="5"/>
      <c r="Z62" s="87"/>
      <c r="AA62" s="5"/>
      <c r="AB62" s="5"/>
      <c r="AC62" s="5"/>
      <c r="AD62" s="5"/>
      <c r="AE62" s="5"/>
      <c r="AF62" s="5"/>
      <c r="AG62" s="88"/>
      <c r="AH62" s="105"/>
      <c r="AI62" s="105"/>
      <c r="AJ62" s="105"/>
      <c r="AK62" s="105"/>
      <c r="AL62" s="105"/>
      <c r="AM62" s="84"/>
      <c r="AN62" s="8"/>
      <c r="AO62" s="89">
        <v>10</v>
      </c>
      <c r="AR62" s="9"/>
      <c r="AS62" s="9"/>
      <c r="AT62" s="162" t="str">
        <f t="shared" si="0"/>
        <v>-</v>
      </c>
      <c r="AU62" s="9"/>
      <c r="AV62" s="116"/>
    </row>
    <row r="63" spans="1:52" ht="15" customHeight="1" x14ac:dyDescent="0.25">
      <c r="A63" s="72">
        <v>63</v>
      </c>
      <c r="B63" s="80"/>
      <c r="C63" s="156" t="s">
        <v>405</v>
      </c>
      <c r="D63" s="81"/>
      <c r="E63" s="6"/>
      <c r="F63" s="6"/>
      <c r="G63" s="6"/>
      <c r="H63" s="4"/>
      <c r="I63" s="166"/>
      <c r="J63" s="6"/>
      <c r="K63" s="6"/>
      <c r="L63" s="6"/>
      <c r="M63" s="91"/>
      <c r="N63" s="91"/>
      <c r="O63" s="91"/>
      <c r="P63" s="6"/>
      <c r="Q63" s="92"/>
      <c r="R63" s="92"/>
      <c r="S63" s="92"/>
      <c r="T63" s="6"/>
      <c r="U63" s="6"/>
      <c r="V63" s="6"/>
      <c r="W63" s="4"/>
      <c r="X63" s="6"/>
      <c r="Y63" s="6"/>
      <c r="Z63" s="92"/>
      <c r="AA63" s="6"/>
      <c r="AB63" s="6"/>
      <c r="AC63" s="6"/>
      <c r="AD63" s="6"/>
      <c r="AE63" s="6"/>
      <c r="AF63" s="6"/>
      <c r="AG63" s="93"/>
      <c r="AH63" s="110"/>
      <c r="AI63" s="110"/>
      <c r="AJ63" s="110"/>
      <c r="AK63" s="110"/>
      <c r="AL63" s="110"/>
      <c r="AM63" s="84"/>
      <c r="AN63" s="85">
        <v>30</v>
      </c>
      <c r="AO63" s="85"/>
      <c r="AP63" s="117" t="str">
        <f>C63</f>
        <v>0019</v>
      </c>
      <c r="AR63" s="9"/>
      <c r="AS63" s="9"/>
      <c r="AT63" s="162" t="str">
        <f t="shared" si="0"/>
        <v>-</v>
      </c>
      <c r="AU63" s="9"/>
      <c r="AV63" s="116"/>
    </row>
    <row r="64" spans="1:52" ht="15" customHeight="1" x14ac:dyDescent="0.25">
      <c r="A64" s="72">
        <v>64</v>
      </c>
      <c r="B64" s="80"/>
      <c r="C64" s="157" t="s">
        <v>1717</v>
      </c>
      <c r="D64" s="5" t="s">
        <v>627</v>
      </c>
      <c r="E64" s="5" t="s">
        <v>581</v>
      </c>
      <c r="F64" s="5" t="s">
        <v>580</v>
      </c>
      <c r="G64" s="5" t="s">
        <v>811</v>
      </c>
      <c r="H64" s="2"/>
      <c r="I64" s="165">
        <v>43112</v>
      </c>
      <c r="J64" s="5" t="s">
        <v>581</v>
      </c>
      <c r="K64" s="5" t="s">
        <v>1236</v>
      </c>
      <c r="L64" s="5" t="s">
        <v>1231</v>
      </c>
      <c r="M64" s="5" t="str">
        <f>CONCATENATE(K64," ",L64)</f>
        <v>ZITRON-ASCAZ HOSPITALARIA</v>
      </c>
      <c r="N64" s="5"/>
      <c r="O64" s="5"/>
      <c r="P64" s="5" t="s">
        <v>154</v>
      </c>
      <c r="Q64" s="87" t="s">
        <v>203</v>
      </c>
      <c r="R64" s="87" t="s">
        <v>1151</v>
      </c>
      <c r="S64" s="87" t="s">
        <v>463</v>
      </c>
      <c r="T64" s="5" t="s">
        <v>2</v>
      </c>
      <c r="U64" s="5" t="s">
        <v>506</v>
      </c>
      <c r="V64" s="5" t="s">
        <v>665</v>
      </c>
      <c r="W64" s="2">
        <v>29602</v>
      </c>
      <c r="X64" s="7">
        <f ca="1">YEAR($X$1)-YEAR(W64)</f>
        <v>37</v>
      </c>
      <c r="Y64" s="5" t="s">
        <v>1</v>
      </c>
      <c r="Z64" s="87" t="s">
        <v>885</v>
      </c>
      <c r="AA64" s="5">
        <v>1271</v>
      </c>
      <c r="AB64" s="5" t="s">
        <v>505</v>
      </c>
      <c r="AC64" s="5" t="s">
        <v>0</v>
      </c>
      <c r="AD64" s="5" t="s">
        <v>31</v>
      </c>
      <c r="AE64" s="5">
        <v>33209</v>
      </c>
      <c r="AF64" s="5">
        <v>664513605</v>
      </c>
      <c r="AG64" s="88" t="s">
        <v>886</v>
      </c>
      <c r="AH64" s="105" t="s">
        <v>1521</v>
      </c>
      <c r="AI64" s="105" t="s">
        <v>1508</v>
      </c>
      <c r="AJ64" s="105" t="s">
        <v>268</v>
      </c>
      <c r="AK64" s="105" t="s">
        <v>1308</v>
      </c>
      <c r="AL64" s="105" t="s">
        <v>1522</v>
      </c>
      <c r="AM64" s="84"/>
      <c r="AN64" s="8"/>
      <c r="AO64" s="89">
        <v>10</v>
      </c>
      <c r="AQ64" s="116" t="str">
        <f>CONCATENATE("NS",C63,"AZ")</f>
        <v>NS0019AZ</v>
      </c>
      <c r="AR64" s="9" t="str">
        <f>CONCATENATE(Q64," ",R64," ",S64)</f>
        <v>ALEJANDRO PÉREZ  VALLINA</v>
      </c>
      <c r="AS64" s="9"/>
      <c r="AT64" s="162" t="str">
        <f t="shared" si="0"/>
        <v>NS0019AZ-ALEJANDRO PÉREZ  VALLINA</v>
      </c>
      <c r="AU64" s="9" t="str">
        <f>U64</f>
        <v>76946299Y</v>
      </c>
      <c r="AV64" s="116"/>
      <c r="AW64" s="9" t="str">
        <f>CONCATENATE(AH64,AI64,AJ64,AK64,AL64)</f>
        <v>ES5330590030751551209818</v>
      </c>
      <c r="AZ64" s="159">
        <v>43112</v>
      </c>
    </row>
    <row r="65" spans="1:52" ht="15" customHeight="1" x14ac:dyDescent="0.25">
      <c r="A65" s="72">
        <v>65</v>
      </c>
      <c r="B65" s="80"/>
      <c r="C65" s="156" t="s">
        <v>1590</v>
      </c>
      <c r="D65" s="81"/>
      <c r="E65" s="6"/>
      <c r="F65" s="6"/>
      <c r="G65" s="6"/>
      <c r="H65" s="4"/>
      <c r="I65" s="166"/>
      <c r="J65" s="6"/>
      <c r="K65" s="6"/>
      <c r="L65" s="6"/>
      <c r="M65" s="91"/>
      <c r="N65" s="91"/>
      <c r="O65" s="91"/>
      <c r="P65" s="6"/>
      <c r="Q65" s="92"/>
      <c r="R65" s="92"/>
      <c r="S65" s="92"/>
      <c r="T65" s="6"/>
      <c r="U65" s="6"/>
      <c r="V65" s="6"/>
      <c r="W65" s="4"/>
      <c r="X65" s="6"/>
      <c r="Y65" s="6"/>
      <c r="Z65" s="92"/>
      <c r="AA65" s="6"/>
      <c r="AB65" s="6"/>
      <c r="AC65" s="6"/>
      <c r="AD65" s="6"/>
      <c r="AE65" s="6"/>
      <c r="AF65" s="6"/>
      <c r="AG65" s="93"/>
      <c r="AH65" s="110"/>
      <c r="AI65" s="110"/>
      <c r="AJ65" s="110"/>
      <c r="AK65" s="110"/>
      <c r="AL65" s="110"/>
      <c r="AM65" s="84"/>
      <c r="AN65" s="85">
        <v>0</v>
      </c>
      <c r="AO65" s="85"/>
      <c r="AP65" s="117" t="str">
        <f>C65</f>
        <v>0020</v>
      </c>
      <c r="AR65" s="9"/>
      <c r="AS65" s="9"/>
      <c r="AT65" s="162" t="str">
        <f t="shared" si="0"/>
        <v>-</v>
      </c>
      <c r="AU65" s="9"/>
      <c r="AV65" s="116"/>
    </row>
    <row r="66" spans="1:52" ht="15" customHeight="1" x14ac:dyDescent="0.25">
      <c r="A66" s="72">
        <v>66</v>
      </c>
      <c r="B66" s="80"/>
      <c r="C66" s="157" t="s">
        <v>1717</v>
      </c>
      <c r="D66" s="5" t="s">
        <v>628</v>
      </c>
      <c r="E66" s="5" t="s">
        <v>581</v>
      </c>
      <c r="F66" s="5" t="s">
        <v>580</v>
      </c>
      <c r="G66" s="5" t="s">
        <v>810</v>
      </c>
      <c r="H66" s="2"/>
      <c r="I66" s="165">
        <v>43131</v>
      </c>
      <c r="J66" s="5" t="s">
        <v>581</v>
      </c>
      <c r="K66" s="5" t="s">
        <v>1236</v>
      </c>
      <c r="L66" s="5" t="s">
        <v>1231</v>
      </c>
      <c r="M66" s="5" t="str">
        <f>CONCATENATE(K66," ",L66)</f>
        <v>ZITRON-ASCAZ HOSPITALARIA</v>
      </c>
      <c r="N66" s="5"/>
      <c r="O66" s="5"/>
      <c r="P66" s="5" t="s">
        <v>154</v>
      </c>
      <c r="Q66" s="87" t="s">
        <v>887</v>
      </c>
      <c r="R66" s="87" t="s">
        <v>9</v>
      </c>
      <c r="S66" s="87" t="s">
        <v>63</v>
      </c>
      <c r="T66" s="5" t="s">
        <v>2</v>
      </c>
      <c r="U66" s="5" t="s">
        <v>888</v>
      </c>
      <c r="V66" s="5" t="s">
        <v>665</v>
      </c>
      <c r="W66" s="2">
        <v>27540</v>
      </c>
      <c r="X66" s="7">
        <f ca="1">YEAR($X$1)-YEAR(W66)</f>
        <v>43</v>
      </c>
      <c r="Y66" s="5" t="s">
        <v>1</v>
      </c>
      <c r="Z66" s="87" t="s">
        <v>889</v>
      </c>
      <c r="AA66" s="5" t="s">
        <v>504</v>
      </c>
      <c r="AB66" s="5" t="s">
        <v>503</v>
      </c>
      <c r="AC66" s="5" t="s">
        <v>0</v>
      </c>
      <c r="AD66" s="5" t="s">
        <v>31</v>
      </c>
      <c r="AE66" s="5">
        <v>33207</v>
      </c>
      <c r="AF66" s="5">
        <v>659827836</v>
      </c>
      <c r="AG66" s="88" t="s">
        <v>1314</v>
      </c>
      <c r="AH66" s="105" t="s">
        <v>156</v>
      </c>
      <c r="AI66" s="105" t="s">
        <v>1397</v>
      </c>
      <c r="AJ66" s="105" t="s">
        <v>1523</v>
      </c>
      <c r="AK66" s="105" t="s">
        <v>1524</v>
      </c>
      <c r="AL66" s="105" t="s">
        <v>1525</v>
      </c>
      <c r="AM66" s="84"/>
      <c r="AN66" s="8"/>
      <c r="AO66" s="89">
        <v>10</v>
      </c>
      <c r="AQ66" s="116" t="str">
        <f>CONCATENATE("NS",C65,"AZ")</f>
        <v>NS0020AZ</v>
      </c>
      <c r="AR66" s="9" t="str">
        <f>CONCATENATE(Q66," ",R66," ",S66)</f>
        <v>LUIS ALBERTO OTERO FERNÁNDEZ</v>
      </c>
      <c r="AS66" s="9"/>
      <c r="AT66" s="162" t="str">
        <f t="shared" si="0"/>
        <v>NS0020AZ-LUIS ALBERTO OTERO FERNÁNDEZ</v>
      </c>
      <c r="AU66" s="9" t="str">
        <f>U66</f>
        <v>10901147K</v>
      </c>
      <c r="AV66" s="116"/>
      <c r="AW66" s="9" t="str">
        <f>CONCATENATE(AH66,AI66,AJ66,AK66,AL66)</f>
        <v>ES4221004804012100155183</v>
      </c>
      <c r="AZ66" s="159">
        <v>43131</v>
      </c>
    </row>
    <row r="67" spans="1:52" ht="15" customHeight="1" x14ac:dyDescent="0.25">
      <c r="A67" s="72">
        <v>67</v>
      </c>
      <c r="B67" s="80"/>
      <c r="C67" s="157" t="s">
        <v>1717</v>
      </c>
      <c r="D67" s="5" t="s">
        <v>629</v>
      </c>
      <c r="E67" s="5" t="s">
        <v>581</v>
      </c>
      <c r="F67" s="5" t="s">
        <v>580</v>
      </c>
      <c r="G67" s="5" t="s">
        <v>810</v>
      </c>
      <c r="H67" s="2"/>
      <c r="I67" s="165"/>
      <c r="J67" s="5" t="s">
        <v>581</v>
      </c>
      <c r="K67" s="5" t="s">
        <v>1236</v>
      </c>
      <c r="L67" s="5" t="s">
        <v>1231</v>
      </c>
      <c r="M67" s="5" t="str">
        <f>CONCATENATE(K67," ",L67)</f>
        <v>ZITRON-ASCAZ HOSPITALARIA</v>
      </c>
      <c r="N67" s="5"/>
      <c r="O67" s="5"/>
      <c r="P67" s="5" t="s">
        <v>43</v>
      </c>
      <c r="Q67" s="87" t="s">
        <v>890</v>
      </c>
      <c r="R67" s="87" t="s">
        <v>891</v>
      </c>
      <c r="S67" s="87" t="s">
        <v>21</v>
      </c>
      <c r="T67" s="5" t="s">
        <v>2</v>
      </c>
      <c r="U67" s="5" t="s">
        <v>892</v>
      </c>
      <c r="V67" s="5" t="s">
        <v>646</v>
      </c>
      <c r="W67" s="2">
        <v>28821</v>
      </c>
      <c r="X67" s="7">
        <f ca="1">YEAR($X$1)-YEAR(W67)</f>
        <v>40</v>
      </c>
      <c r="Y67" s="5"/>
      <c r="Z67" s="87"/>
      <c r="AA67" s="5"/>
      <c r="AB67" s="5"/>
      <c r="AC67" s="5"/>
      <c r="AD67" s="5"/>
      <c r="AE67" s="5"/>
      <c r="AF67" s="5"/>
      <c r="AG67" s="88"/>
      <c r="AH67" s="105"/>
      <c r="AI67" s="105"/>
      <c r="AJ67" s="105"/>
      <c r="AK67" s="105"/>
      <c r="AL67" s="105"/>
      <c r="AM67" s="84"/>
      <c r="AN67" s="8"/>
      <c r="AO67" s="89">
        <v>10</v>
      </c>
      <c r="AR67" s="9"/>
      <c r="AS67" s="9"/>
      <c r="AT67" s="162" t="str">
        <f t="shared" ref="AT67:AT132" si="2">CONCATENATE(AQ67,"-",AR67,)</f>
        <v>-</v>
      </c>
      <c r="AU67" s="9"/>
      <c r="AV67" s="116"/>
    </row>
    <row r="68" spans="1:52" ht="15" customHeight="1" x14ac:dyDescent="0.25">
      <c r="A68" s="72">
        <v>68</v>
      </c>
      <c r="B68" s="80"/>
      <c r="C68" s="156" t="s">
        <v>1591</v>
      </c>
      <c r="D68" s="81"/>
      <c r="E68" s="6"/>
      <c r="F68" s="6"/>
      <c r="G68" s="6"/>
      <c r="H68" s="4"/>
      <c r="I68" s="166"/>
      <c r="J68" s="6"/>
      <c r="K68" s="6"/>
      <c r="L68" s="6"/>
      <c r="M68" s="91"/>
      <c r="N68" s="91"/>
      <c r="O68" s="91"/>
      <c r="P68" s="6"/>
      <c r="Q68" s="92"/>
      <c r="R68" s="92"/>
      <c r="S68" s="92"/>
      <c r="T68" s="6"/>
      <c r="U68" s="6"/>
      <c r="V68" s="6"/>
      <c r="W68" s="4"/>
      <c r="X68" s="6"/>
      <c r="Y68" s="6"/>
      <c r="Z68" s="92"/>
      <c r="AA68" s="6"/>
      <c r="AB68" s="6"/>
      <c r="AC68" s="6"/>
      <c r="AD68" s="6"/>
      <c r="AE68" s="6"/>
      <c r="AF68" s="6"/>
      <c r="AG68" s="93"/>
      <c r="AH68" s="110"/>
      <c r="AI68" s="110"/>
      <c r="AJ68" s="110"/>
      <c r="AK68" s="110"/>
      <c r="AL68" s="110"/>
      <c r="AM68" s="84"/>
      <c r="AN68" s="85">
        <v>0</v>
      </c>
      <c r="AO68" s="85"/>
      <c r="AP68" s="117" t="str">
        <f>C68</f>
        <v>0021</v>
      </c>
      <c r="AR68" s="9"/>
      <c r="AS68" s="9"/>
      <c r="AT68" s="162" t="str">
        <f t="shared" si="2"/>
        <v>-</v>
      </c>
      <c r="AU68" s="9"/>
      <c r="AV68" s="116"/>
    </row>
    <row r="69" spans="1:52" ht="15" customHeight="1" x14ac:dyDescent="0.25">
      <c r="A69" s="72">
        <v>69</v>
      </c>
      <c r="B69" s="80"/>
      <c r="C69" s="157" t="s">
        <v>1717</v>
      </c>
      <c r="D69" s="5" t="s">
        <v>630</v>
      </c>
      <c r="E69" s="5" t="s">
        <v>581</v>
      </c>
      <c r="F69" s="5" t="s">
        <v>580</v>
      </c>
      <c r="G69" s="5" t="s">
        <v>810</v>
      </c>
      <c r="H69" s="2"/>
      <c r="I69" s="165">
        <v>43101</v>
      </c>
      <c r="J69" s="5" t="s">
        <v>581</v>
      </c>
      <c r="K69" s="5" t="s">
        <v>1236</v>
      </c>
      <c r="L69" s="5" t="s">
        <v>1231</v>
      </c>
      <c r="M69" s="5" t="str">
        <f>CONCATENATE(K69," ",L69)</f>
        <v>ZITRON-ASCAZ HOSPITALARIA</v>
      </c>
      <c r="N69" s="5"/>
      <c r="O69" s="5"/>
      <c r="P69" s="5" t="s">
        <v>154</v>
      </c>
      <c r="Q69" s="87" t="s">
        <v>502</v>
      </c>
      <c r="R69" s="87" t="s">
        <v>84</v>
      </c>
      <c r="S69" s="87" t="s">
        <v>501</v>
      </c>
      <c r="T69" s="5" t="s">
        <v>2</v>
      </c>
      <c r="U69" s="5" t="s">
        <v>500</v>
      </c>
      <c r="V69" s="5" t="s">
        <v>665</v>
      </c>
      <c r="W69" s="2">
        <v>20478</v>
      </c>
      <c r="X69" s="7">
        <f ca="1">YEAR($X$1)-YEAR(W69)</f>
        <v>62</v>
      </c>
      <c r="Y69" s="5" t="s">
        <v>1</v>
      </c>
      <c r="Z69" s="87" t="s">
        <v>81</v>
      </c>
      <c r="AA69" s="5">
        <v>17</v>
      </c>
      <c r="AB69" s="5" t="s">
        <v>80</v>
      </c>
      <c r="AC69" s="5" t="s">
        <v>0</v>
      </c>
      <c r="AD69" s="5" t="s">
        <v>31</v>
      </c>
      <c r="AE69" s="5">
        <v>33204</v>
      </c>
      <c r="AF69" s="5">
        <v>985364576</v>
      </c>
      <c r="AG69" s="88" t="s">
        <v>893</v>
      </c>
      <c r="AH69" s="105" t="s">
        <v>1526</v>
      </c>
      <c r="AI69" s="105" t="s">
        <v>28</v>
      </c>
      <c r="AJ69" s="105" t="s">
        <v>1527</v>
      </c>
      <c r="AK69" s="105" t="s">
        <v>1528</v>
      </c>
      <c r="AL69" s="105" t="s">
        <v>1529</v>
      </c>
      <c r="AM69" s="84"/>
      <c r="AN69" s="8"/>
      <c r="AO69" s="89">
        <v>10</v>
      </c>
      <c r="AQ69" s="116" t="str">
        <f>CONCATENATE("NS",C68,"AZ")</f>
        <v>NS0021AZ</v>
      </c>
      <c r="AR69" s="9" t="str">
        <f>CONCATENATE(Q69," ",R69," ",S69)</f>
        <v>JULIO  MANUEL ARROYO GALAN</v>
      </c>
      <c r="AS69" s="9"/>
      <c r="AT69" s="162" t="str">
        <f t="shared" si="2"/>
        <v>NS0021AZ-JULIO  MANUEL ARROYO GALAN</v>
      </c>
      <c r="AU69" s="9" t="str">
        <f>U69</f>
        <v>10802737M</v>
      </c>
      <c r="AV69" s="116"/>
      <c r="AW69" s="9" t="str">
        <f>CONCATENATE(AH69,AI69,AJ69,AK69,AL69)</f>
        <v>ES4901824937280201507684</v>
      </c>
      <c r="AZ69" s="159">
        <v>43101</v>
      </c>
    </row>
    <row r="70" spans="1:52" ht="15" customHeight="1" x14ac:dyDescent="0.25">
      <c r="A70" s="72">
        <v>70</v>
      </c>
      <c r="B70" s="80"/>
      <c r="C70" s="157" t="s">
        <v>1717</v>
      </c>
      <c r="D70" s="5" t="s">
        <v>631</v>
      </c>
      <c r="E70" s="5" t="s">
        <v>581</v>
      </c>
      <c r="F70" s="5" t="s">
        <v>580</v>
      </c>
      <c r="G70" s="5" t="s">
        <v>810</v>
      </c>
      <c r="H70" s="2"/>
      <c r="I70" s="165"/>
      <c r="J70" s="5" t="s">
        <v>581</v>
      </c>
      <c r="K70" s="5" t="s">
        <v>1236</v>
      </c>
      <c r="L70" s="5" t="s">
        <v>1231</v>
      </c>
      <c r="M70" s="5" t="str">
        <f>CONCATENATE(K70," ",L70)</f>
        <v>ZITRON-ASCAZ HOSPITALARIA</v>
      </c>
      <c r="N70" s="5"/>
      <c r="O70" s="5"/>
      <c r="P70" s="5" t="s">
        <v>43</v>
      </c>
      <c r="Q70" s="87" t="s">
        <v>1138</v>
      </c>
      <c r="R70" s="87" t="s">
        <v>83</v>
      </c>
      <c r="S70" s="87" t="s">
        <v>499</v>
      </c>
      <c r="T70" s="5" t="s">
        <v>2</v>
      </c>
      <c r="U70" s="5" t="s">
        <v>498</v>
      </c>
      <c r="V70" s="5" t="s">
        <v>646</v>
      </c>
      <c r="W70" s="2">
        <v>20758</v>
      </c>
      <c r="X70" s="7">
        <f ca="1">YEAR($X$1)-YEAR(W70)</f>
        <v>62</v>
      </c>
      <c r="Y70" s="5"/>
      <c r="Z70" s="87"/>
      <c r="AA70" s="5"/>
      <c r="AB70" s="5"/>
      <c r="AC70" s="5"/>
      <c r="AD70" s="5"/>
      <c r="AE70" s="5"/>
      <c r="AF70" s="5"/>
      <c r="AG70" s="88"/>
      <c r="AH70" s="105"/>
      <c r="AI70" s="105"/>
      <c r="AJ70" s="105"/>
      <c r="AK70" s="105"/>
      <c r="AL70" s="105"/>
      <c r="AM70" s="84"/>
      <c r="AN70" s="8"/>
      <c r="AO70" s="89">
        <v>10</v>
      </c>
      <c r="AR70" s="9"/>
      <c r="AS70" s="9"/>
      <c r="AT70" s="162" t="str">
        <f t="shared" si="2"/>
        <v>-</v>
      </c>
      <c r="AU70" s="9"/>
      <c r="AV70" s="116"/>
    </row>
    <row r="71" spans="1:52" ht="15" customHeight="1" x14ac:dyDescent="0.25">
      <c r="A71" s="72">
        <v>71</v>
      </c>
      <c r="B71" s="80"/>
      <c r="C71" s="156" t="s">
        <v>1592</v>
      </c>
      <c r="D71" s="81"/>
      <c r="E71" s="6"/>
      <c r="F71" s="6"/>
      <c r="G71" s="6"/>
      <c r="H71" s="4"/>
      <c r="I71" s="166"/>
      <c r="J71" s="6"/>
      <c r="K71" s="6"/>
      <c r="L71" s="6"/>
      <c r="M71" s="91"/>
      <c r="N71" s="91"/>
      <c r="O71" s="91"/>
      <c r="P71" s="6"/>
      <c r="Q71" s="92"/>
      <c r="R71" s="92"/>
      <c r="S71" s="92"/>
      <c r="T71" s="6"/>
      <c r="U71" s="6"/>
      <c r="V71" s="6"/>
      <c r="W71" s="4"/>
      <c r="X71" s="6"/>
      <c r="Y71" s="6"/>
      <c r="Z71" s="92"/>
      <c r="AA71" s="6"/>
      <c r="AB71" s="6"/>
      <c r="AC71" s="6"/>
      <c r="AD71" s="6"/>
      <c r="AE71" s="6"/>
      <c r="AF71" s="6"/>
      <c r="AG71" s="93"/>
      <c r="AH71" s="110"/>
      <c r="AI71" s="110"/>
      <c r="AJ71" s="110"/>
      <c r="AK71" s="110"/>
      <c r="AL71" s="110"/>
      <c r="AM71" s="84"/>
      <c r="AN71" s="85">
        <v>0</v>
      </c>
      <c r="AO71" s="85"/>
      <c r="AP71" s="117" t="str">
        <f>C71</f>
        <v>0022</v>
      </c>
      <c r="AR71" s="9"/>
      <c r="AS71" s="9"/>
      <c r="AT71" s="162" t="str">
        <f t="shared" si="2"/>
        <v>-</v>
      </c>
      <c r="AU71" s="9"/>
      <c r="AV71" s="116"/>
    </row>
    <row r="72" spans="1:52" ht="15" customHeight="1" x14ac:dyDescent="0.25">
      <c r="A72" s="72">
        <v>72</v>
      </c>
      <c r="B72" s="80"/>
      <c r="C72" s="157" t="s">
        <v>1717</v>
      </c>
      <c r="D72" s="5" t="s">
        <v>632</v>
      </c>
      <c r="E72" s="5" t="s">
        <v>581</v>
      </c>
      <c r="F72" s="5" t="s">
        <v>580</v>
      </c>
      <c r="G72" s="5" t="s">
        <v>810</v>
      </c>
      <c r="H72" s="2"/>
      <c r="I72" s="165">
        <v>43102</v>
      </c>
      <c r="J72" s="5" t="s">
        <v>581</v>
      </c>
      <c r="K72" s="5" t="s">
        <v>1236</v>
      </c>
      <c r="L72" s="5" t="s">
        <v>1231</v>
      </c>
      <c r="M72" s="5" t="str">
        <f>CONCATENATE(K72," ",L72)</f>
        <v>ZITRON-ASCAZ HOSPITALARIA</v>
      </c>
      <c r="N72" s="5"/>
      <c r="O72" s="5"/>
      <c r="P72" s="5" t="s">
        <v>154</v>
      </c>
      <c r="Q72" s="87" t="s">
        <v>497</v>
      </c>
      <c r="R72" s="87" t="s">
        <v>84</v>
      </c>
      <c r="S72" s="87" t="s">
        <v>83</v>
      </c>
      <c r="T72" s="5" t="s">
        <v>2</v>
      </c>
      <c r="U72" s="5" t="s">
        <v>496</v>
      </c>
      <c r="V72" s="5" t="s">
        <v>665</v>
      </c>
      <c r="W72" s="2">
        <v>33043</v>
      </c>
      <c r="X72" s="7">
        <f ca="1">YEAR($X$1)-YEAR(W72)</f>
        <v>28</v>
      </c>
      <c r="Y72" s="5" t="s">
        <v>1</v>
      </c>
      <c r="Z72" s="87" t="s">
        <v>81</v>
      </c>
      <c r="AA72" s="5">
        <v>17</v>
      </c>
      <c r="AB72" s="5" t="s">
        <v>80</v>
      </c>
      <c r="AC72" s="5" t="s">
        <v>0</v>
      </c>
      <c r="AD72" s="5" t="s">
        <v>31</v>
      </c>
      <c r="AE72" s="5">
        <v>33204</v>
      </c>
      <c r="AF72" s="5">
        <v>677131164</v>
      </c>
      <c r="AG72" s="88" t="s">
        <v>894</v>
      </c>
      <c r="AH72" s="105" t="s">
        <v>120</v>
      </c>
      <c r="AI72" s="105" t="s">
        <v>1286</v>
      </c>
      <c r="AJ72" s="105" t="s">
        <v>1530</v>
      </c>
      <c r="AK72" s="105" t="s">
        <v>1378</v>
      </c>
      <c r="AL72" s="105" t="s">
        <v>1531</v>
      </c>
      <c r="AM72" s="84"/>
      <c r="AN72" s="8"/>
      <c r="AO72" s="89">
        <v>10</v>
      </c>
      <c r="AQ72" s="116" t="str">
        <f>CONCATENATE("NS",C71,"AZ")</f>
        <v>NS0022AZ</v>
      </c>
      <c r="AR72" s="9" t="str">
        <f>CONCATENATE(Q72," ",R72," ",S72)</f>
        <v>ALAN ARROYO JAIME</v>
      </c>
      <c r="AS72" s="9"/>
      <c r="AT72" s="162" t="str">
        <f t="shared" si="2"/>
        <v>NS0022AZ-ALAN ARROYO JAIME</v>
      </c>
      <c r="AU72" s="9" t="str">
        <f>U72</f>
        <v>53549079L</v>
      </c>
      <c r="AV72" s="116"/>
      <c r="AW72" s="9" t="str">
        <f>CONCATENATE(AH72,AI72,AJ72,AK72,AL72)</f>
        <v>ES3220480170713000028295</v>
      </c>
      <c r="AZ72" s="159">
        <v>43102</v>
      </c>
    </row>
    <row r="73" spans="1:52" ht="15" customHeight="1" x14ac:dyDescent="0.25">
      <c r="A73" s="72">
        <v>73</v>
      </c>
      <c r="B73" s="80"/>
      <c r="C73" s="156" t="s">
        <v>1593</v>
      </c>
      <c r="D73" s="81"/>
      <c r="E73" s="6"/>
      <c r="F73" s="6"/>
      <c r="G73" s="6"/>
      <c r="H73" s="4"/>
      <c r="I73" s="166"/>
      <c r="J73" s="6"/>
      <c r="K73" s="6"/>
      <c r="L73" s="6"/>
      <c r="M73" s="91"/>
      <c r="N73" s="91"/>
      <c r="O73" s="91"/>
      <c r="P73" s="6"/>
      <c r="Q73" s="92"/>
      <c r="R73" s="92"/>
      <c r="S73" s="92"/>
      <c r="T73" s="6"/>
      <c r="U73" s="6"/>
      <c r="V73" s="6"/>
      <c r="W73" s="4"/>
      <c r="X73" s="6"/>
      <c r="Y73" s="6"/>
      <c r="Z73" s="92"/>
      <c r="AA73" s="6"/>
      <c r="AB73" s="6"/>
      <c r="AC73" s="6"/>
      <c r="AD73" s="6"/>
      <c r="AE73" s="6"/>
      <c r="AF73" s="6"/>
      <c r="AG73" s="93"/>
      <c r="AH73" s="110"/>
      <c r="AI73" s="110"/>
      <c r="AJ73" s="110"/>
      <c r="AK73" s="110"/>
      <c r="AL73" s="110"/>
      <c r="AM73" s="84"/>
      <c r="AN73" s="85">
        <v>30</v>
      </c>
      <c r="AO73" s="85"/>
      <c r="AP73" s="117" t="str">
        <f>C73</f>
        <v>0023</v>
      </c>
      <c r="AR73" s="9"/>
      <c r="AS73" s="9"/>
      <c r="AT73" s="162" t="str">
        <f t="shared" si="2"/>
        <v>-</v>
      </c>
      <c r="AU73" s="9"/>
      <c r="AV73" s="116"/>
    </row>
    <row r="74" spans="1:52" ht="15" customHeight="1" x14ac:dyDescent="0.25">
      <c r="A74" s="72">
        <v>74</v>
      </c>
      <c r="B74" s="80"/>
      <c r="C74" s="157" t="s">
        <v>1717</v>
      </c>
      <c r="D74" s="5" t="s">
        <v>633</v>
      </c>
      <c r="E74" s="5" t="s">
        <v>581</v>
      </c>
      <c r="F74" s="5" t="s">
        <v>580</v>
      </c>
      <c r="G74" s="5" t="s">
        <v>811</v>
      </c>
      <c r="H74" s="2"/>
      <c r="I74" s="167">
        <v>43098</v>
      </c>
      <c r="J74" s="5" t="s">
        <v>581</v>
      </c>
      <c r="K74" s="5" t="s">
        <v>1236</v>
      </c>
      <c r="L74" s="5" t="s">
        <v>1231</v>
      </c>
      <c r="M74" s="5" t="str">
        <f>CONCATENATE(K74," ",L74)</f>
        <v>ZITRON-ASCAZ HOSPITALARIA</v>
      </c>
      <c r="N74" s="5"/>
      <c r="O74" s="5"/>
      <c r="P74" s="5" t="s">
        <v>154</v>
      </c>
      <c r="Q74" s="87" t="s">
        <v>895</v>
      </c>
      <c r="R74" s="87" t="s">
        <v>896</v>
      </c>
      <c r="S74" s="87" t="s">
        <v>897</v>
      </c>
      <c r="T74" s="5" t="s">
        <v>2</v>
      </c>
      <c r="U74" s="5" t="s">
        <v>495</v>
      </c>
      <c r="V74" s="5" t="s">
        <v>646</v>
      </c>
      <c r="W74" s="2">
        <v>23516</v>
      </c>
      <c r="X74" s="7">
        <f ca="1">YEAR($X$1)-YEAR(W74)</f>
        <v>54</v>
      </c>
      <c r="Y74" s="5" t="s">
        <v>1</v>
      </c>
      <c r="Z74" s="87" t="s">
        <v>416</v>
      </c>
      <c r="AA74" s="5">
        <v>188</v>
      </c>
      <c r="AB74" s="5" t="s">
        <v>494</v>
      </c>
      <c r="AC74" s="5" t="s">
        <v>0</v>
      </c>
      <c r="AD74" s="5" t="s">
        <v>31</v>
      </c>
      <c r="AE74" s="5">
        <v>33203</v>
      </c>
      <c r="AF74" s="5">
        <v>629416487</v>
      </c>
      <c r="AG74" s="88" t="s">
        <v>898</v>
      </c>
      <c r="AH74" s="105" t="s">
        <v>1503</v>
      </c>
      <c r="AI74" s="105" t="s">
        <v>1397</v>
      </c>
      <c r="AJ74" s="105" t="s">
        <v>1398</v>
      </c>
      <c r="AK74" s="105" t="s">
        <v>1532</v>
      </c>
      <c r="AL74" s="105" t="s">
        <v>1533</v>
      </c>
      <c r="AM74" s="84"/>
      <c r="AN74" s="8"/>
      <c r="AO74" s="89">
        <v>10</v>
      </c>
      <c r="AQ74" s="116" t="str">
        <f>CONCATENATE("NS",C73,"AZ")</f>
        <v>NS0023AZ</v>
      </c>
      <c r="AR74" s="9" t="str">
        <f>CONCATENATE(Q74," ",R74," ",S74)</f>
        <v>ASMA OUAZZANI TOUHAMI</v>
      </c>
      <c r="AS74" s="9"/>
      <c r="AT74" s="162" t="str">
        <f t="shared" si="2"/>
        <v>NS0023AZ-ASMA OUAZZANI TOUHAMI</v>
      </c>
      <c r="AU74" s="9" t="str">
        <f>U74</f>
        <v>53780479Q</v>
      </c>
      <c r="AV74" s="116"/>
      <c r="AW74" s="9" t="str">
        <f>CONCATENATE(AH74,AI74,AJ74,AK74,AL74)</f>
        <v>ES1721002899502200145969</v>
      </c>
      <c r="AZ74" s="159">
        <v>43098</v>
      </c>
    </row>
    <row r="75" spans="1:52" ht="15" customHeight="1" x14ac:dyDescent="0.25">
      <c r="A75" s="72">
        <v>75</v>
      </c>
      <c r="B75" s="80"/>
      <c r="C75" s="156" t="s">
        <v>1594</v>
      </c>
      <c r="D75" s="81"/>
      <c r="E75" s="6"/>
      <c r="F75" s="6"/>
      <c r="G75" s="6"/>
      <c r="H75" s="4"/>
      <c r="I75" s="166"/>
      <c r="J75" s="6"/>
      <c r="K75" s="6"/>
      <c r="L75" s="6"/>
      <c r="M75" s="91"/>
      <c r="N75" s="91"/>
      <c r="O75" s="91"/>
      <c r="P75" s="6"/>
      <c r="Q75" s="92"/>
      <c r="R75" s="92"/>
      <c r="S75" s="92"/>
      <c r="T75" s="6"/>
      <c r="U75" s="6"/>
      <c r="V75" s="6"/>
      <c r="W75" s="4"/>
      <c r="X75" s="6"/>
      <c r="Y75" s="6"/>
      <c r="Z75" s="92"/>
      <c r="AA75" s="6"/>
      <c r="AB75" s="6"/>
      <c r="AC75" s="6"/>
      <c r="AD75" s="6"/>
      <c r="AE75" s="6"/>
      <c r="AF75" s="6"/>
      <c r="AG75" s="93"/>
      <c r="AH75" s="110"/>
      <c r="AI75" s="110"/>
      <c r="AJ75" s="110"/>
      <c r="AK75" s="110"/>
      <c r="AL75" s="110"/>
      <c r="AM75" s="84"/>
      <c r="AN75" s="85">
        <v>30</v>
      </c>
      <c r="AO75" s="85"/>
      <c r="AP75" s="117" t="str">
        <f>C75</f>
        <v>0024</v>
      </c>
      <c r="AR75" s="9"/>
      <c r="AS75" s="9"/>
      <c r="AT75" s="162" t="str">
        <f t="shared" si="2"/>
        <v>-</v>
      </c>
      <c r="AU75" s="9"/>
      <c r="AV75" s="116"/>
    </row>
    <row r="76" spans="1:52" ht="15" customHeight="1" x14ac:dyDescent="0.25">
      <c r="A76" s="72">
        <v>76</v>
      </c>
      <c r="B76" s="80"/>
      <c r="C76" s="157" t="s">
        <v>1717</v>
      </c>
      <c r="D76" s="5" t="s">
        <v>634</v>
      </c>
      <c r="E76" s="5" t="s">
        <v>581</v>
      </c>
      <c r="F76" s="5" t="s">
        <v>580</v>
      </c>
      <c r="G76" s="5" t="s">
        <v>811</v>
      </c>
      <c r="H76" s="2"/>
      <c r="I76" s="165">
        <v>43132</v>
      </c>
      <c r="J76" s="5" t="s">
        <v>581</v>
      </c>
      <c r="K76" s="5" t="s">
        <v>1236</v>
      </c>
      <c r="L76" s="5" t="s">
        <v>1231</v>
      </c>
      <c r="M76" s="5" t="str">
        <f>CONCATENATE(K76," ",L76)</f>
        <v>ZITRON-ASCAZ HOSPITALARIA</v>
      </c>
      <c r="N76" s="5"/>
      <c r="O76" s="5"/>
      <c r="P76" s="5" t="s">
        <v>3</v>
      </c>
      <c r="Q76" s="87" t="s">
        <v>899</v>
      </c>
      <c r="R76" s="87" t="s">
        <v>900</v>
      </c>
      <c r="S76" s="87"/>
      <c r="T76" s="5" t="s">
        <v>451</v>
      </c>
      <c r="U76" s="5" t="s">
        <v>493</v>
      </c>
      <c r="V76" s="5" t="s">
        <v>665</v>
      </c>
      <c r="W76" s="2">
        <v>31652</v>
      </c>
      <c r="X76" s="7">
        <f ca="1">YEAR($X$1)-YEAR(W76)</f>
        <v>32</v>
      </c>
      <c r="Y76" s="5" t="s">
        <v>1</v>
      </c>
      <c r="Z76" s="87" t="s">
        <v>901</v>
      </c>
      <c r="AA76" s="5">
        <v>17</v>
      </c>
      <c r="AB76" s="5" t="s">
        <v>24</v>
      </c>
      <c r="AC76" s="5" t="s">
        <v>0</v>
      </c>
      <c r="AD76" s="5" t="s">
        <v>31</v>
      </c>
      <c r="AE76" s="5">
        <v>33202</v>
      </c>
      <c r="AF76" s="5">
        <v>686560846</v>
      </c>
      <c r="AG76" s="88" t="s">
        <v>902</v>
      </c>
      <c r="AH76" s="105" t="s">
        <v>1400</v>
      </c>
      <c r="AI76" s="105" t="s">
        <v>28</v>
      </c>
      <c r="AJ76" s="105" t="s">
        <v>27</v>
      </c>
      <c r="AK76" s="105" t="s">
        <v>1534</v>
      </c>
      <c r="AL76" s="105" t="s">
        <v>1535</v>
      </c>
      <c r="AM76" s="84"/>
      <c r="AN76" s="8"/>
      <c r="AO76" s="89">
        <v>10</v>
      </c>
      <c r="AQ76" s="116" t="str">
        <f>CONCATENATE("NS",C75,"AZ")</f>
        <v>NS0024AZ</v>
      </c>
      <c r="AR76" s="9" t="str">
        <f>CONCATENATE(Q76," ",R76," ",S76)</f>
        <v xml:space="preserve">YUNLONG  ZHAO </v>
      </c>
      <c r="AS76" s="9"/>
      <c r="AT76" s="162" t="str">
        <f t="shared" si="2"/>
        <v xml:space="preserve">NS0024AZ-YUNLONG  ZHAO </v>
      </c>
      <c r="AU76" s="9" t="str">
        <f>U76</f>
        <v>X-1997427S</v>
      </c>
      <c r="AV76" s="116"/>
      <c r="AW76" s="9" t="str">
        <f>CONCATENATE(AH76,AI76,AJ76,AK76,AL76)</f>
        <v>ES8101820602120201505713</v>
      </c>
      <c r="AZ76" s="159">
        <v>43132</v>
      </c>
    </row>
    <row r="77" spans="1:52" ht="15" customHeight="1" x14ac:dyDescent="0.25">
      <c r="A77" s="72">
        <v>77</v>
      </c>
      <c r="B77" s="80"/>
      <c r="C77" s="157" t="s">
        <v>1717</v>
      </c>
      <c r="D77" s="150" t="s">
        <v>1462</v>
      </c>
      <c r="E77" s="5" t="s">
        <v>581</v>
      </c>
      <c r="F77" s="5" t="s">
        <v>580</v>
      </c>
      <c r="G77" s="2">
        <v>43209</v>
      </c>
      <c r="H77" s="2"/>
      <c r="I77" s="165"/>
      <c r="J77" s="5" t="s">
        <v>581</v>
      </c>
      <c r="K77" s="5" t="s">
        <v>1229</v>
      </c>
      <c r="L77" s="5" t="s">
        <v>1230</v>
      </c>
      <c r="M77" s="5" t="str">
        <f>CONCATENATE(K77," ",L77)</f>
        <v>ASCAZ AMBULATORIA</v>
      </c>
      <c r="N77" s="2">
        <v>43221</v>
      </c>
      <c r="O77" s="5"/>
      <c r="P77" s="90" t="s">
        <v>818</v>
      </c>
      <c r="Q77" s="149" t="s">
        <v>1464</v>
      </c>
      <c r="R77" s="149" t="s">
        <v>900</v>
      </c>
      <c r="S77" s="149"/>
      <c r="T77" s="5" t="s">
        <v>451</v>
      </c>
      <c r="U77" s="5" t="s">
        <v>1467</v>
      </c>
      <c r="V77" s="5" t="s">
        <v>665</v>
      </c>
      <c r="W77" s="2">
        <v>21758</v>
      </c>
      <c r="X77" s="7">
        <f ca="1">YEAR($X$1)-YEAR(W77)</f>
        <v>59</v>
      </c>
      <c r="Y77" s="5"/>
      <c r="Z77" s="149"/>
      <c r="AA77" s="5"/>
      <c r="AB77" s="5"/>
      <c r="AC77" s="5"/>
      <c r="AD77" s="5"/>
      <c r="AE77" s="5"/>
      <c r="AF77" s="5"/>
      <c r="AG77" s="88"/>
      <c r="AH77" s="105"/>
      <c r="AI77" s="105"/>
      <c r="AJ77" s="105"/>
      <c r="AK77" s="105"/>
      <c r="AL77" s="105"/>
      <c r="AM77" s="84"/>
      <c r="AN77" s="8"/>
      <c r="AO77" s="89">
        <v>10</v>
      </c>
      <c r="AR77" s="9"/>
      <c r="AS77" s="9"/>
      <c r="AT77" s="162" t="str">
        <f t="shared" si="2"/>
        <v>-</v>
      </c>
      <c r="AU77" s="9"/>
      <c r="AV77" s="116"/>
    </row>
    <row r="78" spans="1:52" ht="15" customHeight="1" x14ac:dyDescent="0.25">
      <c r="A78" s="72">
        <v>78</v>
      </c>
      <c r="B78" s="80"/>
      <c r="C78" s="157" t="s">
        <v>1717</v>
      </c>
      <c r="D78" s="150" t="s">
        <v>1463</v>
      </c>
      <c r="E78" s="5" t="s">
        <v>581</v>
      </c>
      <c r="F78" s="5" t="s">
        <v>580</v>
      </c>
      <c r="G78" s="2">
        <v>43209</v>
      </c>
      <c r="H78" s="2"/>
      <c r="I78" s="165"/>
      <c r="J78" s="5" t="s">
        <v>581</v>
      </c>
      <c r="K78" s="5" t="s">
        <v>1229</v>
      </c>
      <c r="L78" s="5" t="s">
        <v>1230</v>
      </c>
      <c r="M78" s="5" t="str">
        <f>CONCATENATE(K78," ",L78)</f>
        <v>ASCAZ AMBULATORIA</v>
      </c>
      <c r="N78" s="2">
        <v>43221</v>
      </c>
      <c r="O78" s="5"/>
      <c r="P78" s="90" t="s">
        <v>818</v>
      </c>
      <c r="Q78" s="149" t="s">
        <v>1466</v>
      </c>
      <c r="R78" s="149" t="s">
        <v>1465</v>
      </c>
      <c r="S78" s="149"/>
      <c r="T78" s="5" t="s">
        <v>451</v>
      </c>
      <c r="U78" s="5" t="s">
        <v>1468</v>
      </c>
      <c r="V78" s="5" t="s">
        <v>646</v>
      </c>
      <c r="W78" s="2">
        <v>21618</v>
      </c>
      <c r="X78" s="7">
        <f ca="1">YEAR($X$1)-YEAR(W78)</f>
        <v>59</v>
      </c>
      <c r="Y78" s="5"/>
      <c r="Z78" s="149"/>
      <c r="AA78" s="5"/>
      <c r="AB78" s="5"/>
      <c r="AC78" s="5"/>
      <c r="AD78" s="5"/>
      <c r="AE78" s="5"/>
      <c r="AF78" s="5"/>
      <c r="AG78" s="88"/>
      <c r="AH78" s="105"/>
      <c r="AI78" s="105"/>
      <c r="AJ78" s="105"/>
      <c r="AK78" s="105"/>
      <c r="AL78" s="105"/>
      <c r="AM78" s="84"/>
      <c r="AN78" s="8"/>
      <c r="AO78" s="89">
        <v>10</v>
      </c>
      <c r="AR78" s="9"/>
      <c r="AS78" s="9"/>
      <c r="AT78" s="162" t="str">
        <f t="shared" si="2"/>
        <v>-</v>
      </c>
      <c r="AU78" s="9"/>
      <c r="AV78" s="116"/>
    </row>
    <row r="79" spans="1:52" ht="15" customHeight="1" x14ac:dyDescent="0.25">
      <c r="A79" s="72">
        <v>78</v>
      </c>
      <c r="B79" s="80"/>
      <c r="C79" s="157" t="s">
        <v>1717</v>
      </c>
      <c r="D79" s="150" t="s">
        <v>1463</v>
      </c>
      <c r="E79" s="5" t="s">
        <v>581</v>
      </c>
      <c r="F79" s="5" t="s">
        <v>580</v>
      </c>
      <c r="G79" s="2">
        <v>43209</v>
      </c>
      <c r="H79" s="2"/>
      <c r="I79" s="165"/>
      <c r="J79" s="5" t="s">
        <v>581</v>
      </c>
      <c r="K79" s="5" t="s">
        <v>1229</v>
      </c>
      <c r="L79" s="5" t="s">
        <v>1231</v>
      </c>
      <c r="M79" s="5" t="str">
        <f>CONCATENATE(K79," ",L79)</f>
        <v>ASCAZ HOSPITALARIA</v>
      </c>
      <c r="N79" s="2">
        <v>43332</v>
      </c>
      <c r="O79" s="5"/>
      <c r="P79" s="90" t="s">
        <v>1762</v>
      </c>
      <c r="Q79" s="202" t="s">
        <v>1763</v>
      </c>
      <c r="R79" s="202" t="s">
        <v>900</v>
      </c>
      <c r="S79" s="202"/>
      <c r="T79" s="5" t="s">
        <v>451</v>
      </c>
      <c r="U79" s="5" t="s">
        <v>1764</v>
      </c>
      <c r="V79" s="5" t="s">
        <v>646</v>
      </c>
      <c r="W79" s="2">
        <v>32179</v>
      </c>
      <c r="X79" s="7">
        <f ca="1">YEAR($X$1)-YEAR(W79)</f>
        <v>30</v>
      </c>
      <c r="Y79" s="5"/>
      <c r="Z79" s="202"/>
      <c r="AA79" s="5"/>
      <c r="AB79" s="5"/>
      <c r="AC79" s="5"/>
      <c r="AD79" s="5"/>
      <c r="AE79" s="5"/>
      <c r="AF79" s="5"/>
      <c r="AG79" s="88"/>
      <c r="AH79" s="105"/>
      <c r="AI79" s="105"/>
      <c r="AJ79" s="105"/>
      <c r="AK79" s="105"/>
      <c r="AL79" s="105"/>
      <c r="AM79" s="84"/>
      <c r="AN79" s="8"/>
      <c r="AO79" s="89">
        <v>10</v>
      </c>
      <c r="AR79" s="9"/>
      <c r="AS79" s="9"/>
      <c r="AT79" s="162" t="str">
        <f t="shared" ref="AT79" si="3">CONCATENATE(AQ79,"-",AR79,)</f>
        <v>-</v>
      </c>
      <c r="AU79" s="9"/>
      <c r="AV79" s="116"/>
    </row>
    <row r="80" spans="1:52" ht="15" customHeight="1" x14ac:dyDescent="0.25">
      <c r="A80" s="72">
        <v>79</v>
      </c>
      <c r="B80" s="80"/>
      <c r="C80" s="156" t="s">
        <v>1537</v>
      </c>
      <c r="D80" s="81"/>
      <c r="E80" s="6"/>
      <c r="F80" s="6"/>
      <c r="G80" s="6"/>
      <c r="H80" s="4"/>
      <c r="I80" s="166"/>
      <c r="J80" s="6"/>
      <c r="K80" s="6"/>
      <c r="L80" s="6"/>
      <c r="M80" s="91"/>
      <c r="N80" s="91"/>
      <c r="O80" s="91"/>
      <c r="P80" s="6"/>
      <c r="Q80" s="92"/>
      <c r="R80" s="92"/>
      <c r="S80" s="92"/>
      <c r="T80" s="6"/>
      <c r="U80" s="6"/>
      <c r="V80" s="6"/>
      <c r="W80" s="4"/>
      <c r="X80" s="6"/>
      <c r="Y80" s="6"/>
      <c r="Z80" s="92"/>
      <c r="AA80" s="6"/>
      <c r="AB80" s="6"/>
      <c r="AC80" s="6"/>
      <c r="AD80" s="6"/>
      <c r="AE80" s="6"/>
      <c r="AF80" s="6"/>
      <c r="AG80" s="93"/>
      <c r="AH80" s="110"/>
      <c r="AI80" s="110"/>
      <c r="AJ80" s="110"/>
      <c r="AK80" s="110"/>
      <c r="AL80" s="110"/>
      <c r="AM80" s="84"/>
      <c r="AN80" s="85">
        <v>30</v>
      </c>
      <c r="AO80" s="85"/>
      <c r="AP80" s="117" t="str">
        <f>C80</f>
        <v>0025</v>
      </c>
      <c r="AR80" s="9"/>
      <c r="AS80" s="9"/>
      <c r="AT80" s="162" t="str">
        <f t="shared" si="2"/>
        <v>-</v>
      </c>
      <c r="AU80" s="9"/>
      <c r="AV80" s="116"/>
    </row>
    <row r="81" spans="1:52" ht="15" customHeight="1" x14ac:dyDescent="0.25">
      <c r="A81" s="72">
        <v>80</v>
      </c>
      <c r="B81" s="80"/>
      <c r="C81" s="157" t="s">
        <v>1717</v>
      </c>
      <c r="D81" s="5" t="s">
        <v>635</v>
      </c>
      <c r="E81" s="5" t="s">
        <v>581</v>
      </c>
      <c r="F81" s="5" t="s">
        <v>580</v>
      </c>
      <c r="G81" s="5" t="s">
        <v>811</v>
      </c>
      <c r="H81" s="2"/>
      <c r="I81" s="165">
        <v>43110</v>
      </c>
      <c r="J81" s="5" t="s">
        <v>581</v>
      </c>
      <c r="K81" s="5" t="s">
        <v>1229</v>
      </c>
      <c r="L81" s="5" t="s">
        <v>1231</v>
      </c>
      <c r="M81" s="5" t="str">
        <f>CONCATENATE(K81," ",L81)</f>
        <v>ASCAZ HOSPITALARIA</v>
      </c>
      <c r="N81" s="5"/>
      <c r="O81" s="5"/>
      <c r="P81" s="5" t="s">
        <v>3</v>
      </c>
      <c r="Q81" s="87" t="s">
        <v>903</v>
      </c>
      <c r="R81" s="87" t="s">
        <v>396</v>
      </c>
      <c r="S81" s="87" t="s">
        <v>904</v>
      </c>
      <c r="T81" s="5" t="s">
        <v>2</v>
      </c>
      <c r="U81" s="5" t="s">
        <v>232</v>
      </c>
      <c r="V81" s="5" t="s">
        <v>665</v>
      </c>
      <c r="W81" s="2">
        <v>32014</v>
      </c>
      <c r="X81" s="7">
        <f ca="1">YEAR($X$1)-YEAR(W81)</f>
        <v>31</v>
      </c>
      <c r="Y81" s="5" t="s">
        <v>1</v>
      </c>
      <c r="Z81" s="87" t="s">
        <v>905</v>
      </c>
      <c r="AA81" s="5">
        <v>4</v>
      </c>
      <c r="AB81" s="5"/>
      <c r="AC81" s="5" t="s">
        <v>0</v>
      </c>
      <c r="AD81" s="5" t="s">
        <v>222</v>
      </c>
      <c r="AE81" s="5">
        <v>33316</v>
      </c>
      <c r="AF81" s="5">
        <v>680791548</v>
      </c>
      <c r="AG81" s="88" t="s">
        <v>906</v>
      </c>
      <c r="AH81" s="105" t="s">
        <v>1536</v>
      </c>
      <c r="AI81" s="105" t="s">
        <v>1286</v>
      </c>
      <c r="AJ81" s="105" t="s">
        <v>1537</v>
      </c>
      <c r="AK81" s="105" t="s">
        <v>1190</v>
      </c>
      <c r="AL81" s="105" t="s">
        <v>1538</v>
      </c>
      <c r="AM81" s="84"/>
      <c r="AN81" s="8"/>
      <c r="AO81" s="89">
        <v>10</v>
      </c>
      <c r="AQ81" s="116" t="str">
        <f>CONCATENATE("NS",C80,"AZ")</f>
        <v>NS0025AZ</v>
      </c>
      <c r="AR81" s="9" t="str">
        <f>CONCATENATE(Q81," ",R81," ",S81)</f>
        <v>AVELINO DÍAZ CADIERNO</v>
      </c>
      <c r="AS81" s="9"/>
      <c r="AT81" s="162" t="str">
        <f t="shared" si="2"/>
        <v>NS0025AZ-AVELINO DÍAZ CADIERNO</v>
      </c>
      <c r="AU81" s="9" t="str">
        <f>U81</f>
        <v>76962633X</v>
      </c>
      <c r="AV81" s="116"/>
      <c r="AW81" s="9" t="str">
        <f>CONCATENATE(AH81,AI81,AJ81,AK81,AL81)</f>
        <v>ES1620480025173000148768</v>
      </c>
      <c r="AZ81" s="159">
        <v>43110</v>
      </c>
    </row>
    <row r="82" spans="1:52" ht="15" customHeight="1" x14ac:dyDescent="0.25">
      <c r="A82" s="72">
        <v>81</v>
      </c>
      <c r="B82" s="80"/>
      <c r="C82" s="157" t="s">
        <v>1717</v>
      </c>
      <c r="D82" s="5" t="s">
        <v>734</v>
      </c>
      <c r="E82" s="5" t="s">
        <v>729</v>
      </c>
      <c r="F82" s="5" t="s">
        <v>580</v>
      </c>
      <c r="G82" s="5" t="s">
        <v>811</v>
      </c>
      <c r="H82" s="2"/>
      <c r="I82" s="165"/>
      <c r="J82" s="5" t="s">
        <v>581</v>
      </c>
      <c r="K82" s="5" t="s">
        <v>1229</v>
      </c>
      <c r="L82" s="5" t="s">
        <v>1231</v>
      </c>
      <c r="M82" s="5" t="str">
        <f>CONCATENATE(K82," ",L82)</f>
        <v>ASCAZ HOSPITALARIA</v>
      </c>
      <c r="N82" s="5"/>
      <c r="O82" s="5"/>
      <c r="P82" s="90" t="s">
        <v>816</v>
      </c>
      <c r="Q82" s="87" t="s">
        <v>1129</v>
      </c>
      <c r="R82" s="87" t="s">
        <v>904</v>
      </c>
      <c r="S82" s="87" t="s">
        <v>907</v>
      </c>
      <c r="T82" s="5" t="s">
        <v>2</v>
      </c>
      <c r="U82" s="5" t="s">
        <v>231</v>
      </c>
      <c r="V82" s="5" t="s">
        <v>646</v>
      </c>
      <c r="W82" s="2">
        <v>23701</v>
      </c>
      <c r="X82" s="7">
        <f ca="1">YEAR($X$1)-YEAR(W82)</f>
        <v>54</v>
      </c>
      <c r="Y82" s="5"/>
      <c r="Z82" s="87"/>
      <c r="AA82" s="5"/>
      <c r="AB82" s="5"/>
      <c r="AC82" s="5"/>
      <c r="AD82" s="5"/>
      <c r="AE82" s="5"/>
      <c r="AF82" s="5">
        <v>650837197</v>
      </c>
      <c r="AG82" s="88" t="s">
        <v>908</v>
      </c>
      <c r="AH82" s="105"/>
      <c r="AI82" s="105"/>
      <c r="AJ82" s="105"/>
      <c r="AK82" s="105"/>
      <c r="AL82" s="105"/>
      <c r="AM82" s="84"/>
      <c r="AN82" s="8"/>
      <c r="AO82" s="89">
        <v>10</v>
      </c>
      <c r="AR82" s="9"/>
      <c r="AS82" s="9"/>
      <c r="AT82" s="162" t="str">
        <f t="shared" si="2"/>
        <v>-</v>
      </c>
      <c r="AU82" s="9"/>
      <c r="AV82" s="116"/>
    </row>
    <row r="83" spans="1:52" ht="15" customHeight="1" x14ac:dyDescent="0.25">
      <c r="A83" s="72">
        <v>82</v>
      </c>
      <c r="B83" s="80"/>
      <c r="C83" s="157" t="s">
        <v>1717</v>
      </c>
      <c r="D83" s="5" t="s">
        <v>735</v>
      </c>
      <c r="E83" s="5" t="s">
        <v>729</v>
      </c>
      <c r="F83" s="5" t="s">
        <v>580</v>
      </c>
      <c r="G83" s="5" t="s">
        <v>811</v>
      </c>
      <c r="H83" s="2"/>
      <c r="I83" s="165"/>
      <c r="J83" s="5" t="s">
        <v>581</v>
      </c>
      <c r="K83" s="5" t="s">
        <v>1229</v>
      </c>
      <c r="L83" s="5" t="s">
        <v>1231</v>
      </c>
      <c r="M83" s="5" t="str">
        <f>CONCATENATE(K83," ",L83)</f>
        <v>ASCAZ HOSPITALARIA</v>
      </c>
      <c r="N83" s="5"/>
      <c r="O83" s="5"/>
      <c r="P83" s="90" t="s">
        <v>816</v>
      </c>
      <c r="Q83" s="87" t="s">
        <v>1135</v>
      </c>
      <c r="R83" s="87" t="s">
        <v>904</v>
      </c>
      <c r="S83" s="87" t="s">
        <v>907</v>
      </c>
      <c r="T83" s="5" t="s">
        <v>2</v>
      </c>
      <c r="U83" s="5" t="s">
        <v>230</v>
      </c>
      <c r="V83" s="5" t="s">
        <v>646</v>
      </c>
      <c r="W83" s="2">
        <v>23098</v>
      </c>
      <c r="X83" s="7">
        <f ca="1">YEAR($X$1)-YEAR(W83)</f>
        <v>55</v>
      </c>
      <c r="Y83" s="5"/>
      <c r="Z83" s="87"/>
      <c r="AA83" s="5"/>
      <c r="AB83" s="5"/>
      <c r="AC83" s="5"/>
      <c r="AD83" s="5"/>
      <c r="AE83" s="5"/>
      <c r="AF83" s="5">
        <v>680575730</v>
      </c>
      <c r="AG83" s="88"/>
      <c r="AH83" s="105"/>
      <c r="AI83" s="105"/>
      <c r="AJ83" s="105"/>
      <c r="AK83" s="105"/>
      <c r="AL83" s="105"/>
      <c r="AM83" s="84"/>
      <c r="AN83" s="8"/>
      <c r="AO83" s="89">
        <v>10</v>
      </c>
      <c r="AR83" s="9"/>
      <c r="AS83" s="9"/>
      <c r="AT83" s="162" t="str">
        <f t="shared" si="2"/>
        <v>-</v>
      </c>
      <c r="AU83" s="9"/>
      <c r="AV83" s="116"/>
    </row>
    <row r="84" spans="1:52" ht="15" customHeight="1" x14ac:dyDescent="0.25">
      <c r="A84" s="72">
        <v>83</v>
      </c>
      <c r="B84" s="80"/>
      <c r="C84" s="156" t="s">
        <v>1595</v>
      </c>
      <c r="D84" s="81"/>
      <c r="E84" s="6"/>
      <c r="F84" s="6"/>
      <c r="G84" s="6"/>
      <c r="H84" s="4"/>
      <c r="I84" s="166"/>
      <c r="J84" s="6"/>
      <c r="K84" s="6"/>
      <c r="L84" s="6"/>
      <c r="M84" s="91"/>
      <c r="N84" s="91"/>
      <c r="O84" s="91"/>
      <c r="P84" s="6"/>
      <c r="Q84" s="92"/>
      <c r="R84" s="92"/>
      <c r="S84" s="92"/>
      <c r="T84" s="6"/>
      <c r="U84" s="6"/>
      <c r="V84" s="6"/>
      <c r="W84" s="4"/>
      <c r="X84" s="6"/>
      <c r="Y84" s="6"/>
      <c r="Z84" s="92"/>
      <c r="AA84" s="6"/>
      <c r="AB84" s="6"/>
      <c r="AC84" s="6"/>
      <c r="AD84" s="6"/>
      <c r="AE84" s="6"/>
      <c r="AF84" s="6"/>
      <c r="AG84" s="93"/>
      <c r="AH84" s="110"/>
      <c r="AI84" s="110"/>
      <c r="AJ84" s="110"/>
      <c r="AK84" s="110"/>
      <c r="AL84" s="110"/>
      <c r="AM84" s="84"/>
      <c r="AN84" s="85">
        <v>30</v>
      </c>
      <c r="AO84" s="85"/>
      <c r="AP84" s="117" t="str">
        <f>C84</f>
        <v>0026</v>
      </c>
      <c r="AR84" s="9"/>
      <c r="AS84" s="9"/>
      <c r="AT84" s="162" t="str">
        <f t="shared" si="2"/>
        <v>-</v>
      </c>
      <c r="AU84" s="9"/>
      <c r="AV84" s="116"/>
    </row>
    <row r="85" spans="1:52" ht="15" customHeight="1" x14ac:dyDescent="0.25">
      <c r="A85" s="72">
        <v>84</v>
      </c>
      <c r="B85" s="80"/>
      <c r="C85" s="157" t="s">
        <v>1717</v>
      </c>
      <c r="D85" s="5" t="s">
        <v>636</v>
      </c>
      <c r="E85" s="5" t="s">
        <v>581</v>
      </c>
      <c r="F85" s="5" t="s">
        <v>580</v>
      </c>
      <c r="G85" s="5" t="s">
        <v>811</v>
      </c>
      <c r="H85" s="2"/>
      <c r="I85" s="165">
        <v>43112</v>
      </c>
      <c r="J85" s="5" t="s">
        <v>581</v>
      </c>
      <c r="K85" s="5" t="s">
        <v>1236</v>
      </c>
      <c r="L85" s="5" t="s">
        <v>1231</v>
      </c>
      <c r="M85" s="5" t="str">
        <f>CONCATENATE(K85," ",L85)</f>
        <v>ZITRON-ASCAZ HOSPITALARIA</v>
      </c>
      <c r="N85" s="5"/>
      <c r="O85" s="5"/>
      <c r="P85" s="5" t="s">
        <v>3</v>
      </c>
      <c r="Q85" s="87" t="s">
        <v>909</v>
      </c>
      <c r="R85" s="87" t="s">
        <v>910</v>
      </c>
      <c r="S85" s="87" t="s">
        <v>511</v>
      </c>
      <c r="T85" s="5" t="s">
        <v>2</v>
      </c>
      <c r="U85" s="5" t="s">
        <v>492</v>
      </c>
      <c r="V85" s="5" t="s">
        <v>665</v>
      </c>
      <c r="W85" s="2">
        <v>30830</v>
      </c>
      <c r="X85" s="7">
        <f ca="1">YEAR($X$1)-YEAR(W85)</f>
        <v>34</v>
      </c>
      <c r="Y85" s="5" t="s">
        <v>1</v>
      </c>
      <c r="Z85" s="87" t="s">
        <v>911</v>
      </c>
      <c r="AA85" s="5">
        <v>4</v>
      </c>
      <c r="AB85" s="5" t="s">
        <v>491</v>
      </c>
      <c r="AC85" s="5" t="s">
        <v>0</v>
      </c>
      <c r="AD85" s="5" t="s">
        <v>31</v>
      </c>
      <c r="AE85" s="5">
        <v>33205</v>
      </c>
      <c r="AF85" s="5">
        <v>620069054</v>
      </c>
      <c r="AG85" s="88" t="s">
        <v>912</v>
      </c>
      <c r="AH85" s="105" t="s">
        <v>1507</v>
      </c>
      <c r="AI85" s="105" t="s">
        <v>1380</v>
      </c>
      <c r="AJ85" s="105" t="s">
        <v>77</v>
      </c>
      <c r="AK85" s="105" t="s">
        <v>1539</v>
      </c>
      <c r="AL85" s="105" t="s">
        <v>1540</v>
      </c>
      <c r="AM85" s="84"/>
      <c r="AN85" s="8"/>
      <c r="AO85" s="89">
        <v>10</v>
      </c>
      <c r="AQ85" s="116" t="str">
        <f>CONCATENATE("NS",C84,"AZ")</f>
        <v>NS0026AZ</v>
      </c>
      <c r="AR85" s="9" t="str">
        <f>CONCATENATE(Q85," ",R85," ",S85)</f>
        <v>ISAAC VILLAVERDE CUETO</v>
      </c>
      <c r="AS85" s="9"/>
      <c r="AT85" s="162" t="str">
        <f t="shared" si="2"/>
        <v>NS0026AZ-ISAAC VILLAVERDE CUETO</v>
      </c>
      <c r="AU85" s="9" t="str">
        <f>U85</f>
        <v>53532124S</v>
      </c>
      <c r="AV85" s="116"/>
      <c r="AW85" s="9" t="str">
        <f>CONCATENATE(AH85,AI85,AJ85,AK85,AL85)</f>
        <v>ES8330070100142078558117</v>
      </c>
      <c r="AZ85" s="159">
        <v>43112</v>
      </c>
    </row>
    <row r="86" spans="1:52" ht="15" customHeight="1" x14ac:dyDescent="0.25">
      <c r="A86" s="72">
        <v>85</v>
      </c>
      <c r="B86" s="80"/>
      <c r="C86" s="156" t="s">
        <v>1596</v>
      </c>
      <c r="D86" s="81"/>
      <c r="E86" s="6"/>
      <c r="F86" s="6"/>
      <c r="G86" s="6"/>
      <c r="H86" s="4"/>
      <c r="I86" s="166"/>
      <c r="J86" s="6"/>
      <c r="K86" s="6"/>
      <c r="L86" s="6"/>
      <c r="M86" s="91"/>
      <c r="N86" s="91"/>
      <c r="O86" s="91"/>
      <c r="P86" s="6"/>
      <c r="Q86" s="92"/>
      <c r="R86" s="92"/>
      <c r="S86" s="92"/>
      <c r="T86" s="6"/>
      <c r="U86" s="6"/>
      <c r="V86" s="6"/>
      <c r="W86" s="4"/>
      <c r="X86" s="6"/>
      <c r="Y86" s="6"/>
      <c r="Z86" s="92"/>
      <c r="AA86" s="6"/>
      <c r="AB86" s="6"/>
      <c r="AC86" s="6"/>
      <c r="AD86" s="6"/>
      <c r="AE86" s="6"/>
      <c r="AF86" s="6"/>
      <c r="AG86" s="93"/>
      <c r="AH86" s="110"/>
      <c r="AI86" s="110"/>
      <c r="AJ86" s="110"/>
      <c r="AK86" s="110"/>
      <c r="AL86" s="110"/>
      <c r="AM86" s="84"/>
      <c r="AN86" s="85">
        <v>30</v>
      </c>
      <c r="AO86" s="85"/>
      <c r="AP86" s="117" t="str">
        <f>C86</f>
        <v>0027</v>
      </c>
      <c r="AR86" s="9"/>
      <c r="AS86" s="9"/>
      <c r="AT86" s="162" t="str">
        <f t="shared" si="2"/>
        <v>-</v>
      </c>
      <c r="AU86" s="9"/>
      <c r="AV86" s="116"/>
    </row>
    <row r="87" spans="1:52" ht="15" customHeight="1" x14ac:dyDescent="0.25">
      <c r="A87" s="72">
        <v>86</v>
      </c>
      <c r="B87" s="80"/>
      <c r="C87" s="157" t="s">
        <v>1717</v>
      </c>
      <c r="D87" s="5" t="s">
        <v>637</v>
      </c>
      <c r="E87" s="5" t="s">
        <v>581</v>
      </c>
      <c r="F87" s="5" t="s">
        <v>580</v>
      </c>
      <c r="G87" s="5" t="s">
        <v>811</v>
      </c>
      <c r="H87" s="2"/>
      <c r="I87" s="165">
        <v>43130</v>
      </c>
      <c r="J87" s="5" t="s">
        <v>581</v>
      </c>
      <c r="K87" s="5" t="s">
        <v>1236</v>
      </c>
      <c r="L87" s="5" t="s">
        <v>1231</v>
      </c>
      <c r="M87" s="5" t="str">
        <f>CONCATENATE(K87," ",L87)</f>
        <v>ZITRON-ASCAZ HOSPITALARIA</v>
      </c>
      <c r="N87" s="5"/>
      <c r="O87" s="5"/>
      <c r="P87" s="5" t="s">
        <v>3</v>
      </c>
      <c r="Q87" s="87" t="s">
        <v>512</v>
      </c>
      <c r="R87" s="87" t="s">
        <v>913</v>
      </c>
      <c r="S87" s="87" t="s">
        <v>914</v>
      </c>
      <c r="T87" s="5" t="s">
        <v>2</v>
      </c>
      <c r="U87" s="5" t="s">
        <v>490</v>
      </c>
      <c r="V87" s="5" t="s">
        <v>665</v>
      </c>
      <c r="W87" s="2">
        <v>29332</v>
      </c>
      <c r="X87" s="7">
        <f ca="1">YEAR($X$1)-YEAR(W87)</f>
        <v>38</v>
      </c>
      <c r="Y87" s="5" t="s">
        <v>1</v>
      </c>
      <c r="Z87" s="87" t="s">
        <v>915</v>
      </c>
      <c r="AA87" s="5">
        <v>6</v>
      </c>
      <c r="AB87" s="5" t="s">
        <v>295</v>
      </c>
      <c r="AC87" s="5" t="s">
        <v>0</v>
      </c>
      <c r="AD87" s="5" t="s">
        <v>31</v>
      </c>
      <c r="AE87" s="5">
        <v>33201</v>
      </c>
      <c r="AF87" s="5">
        <v>618329527</v>
      </c>
      <c r="AG87" s="88" t="s">
        <v>916</v>
      </c>
      <c r="AH87" s="105" t="s">
        <v>399</v>
      </c>
      <c r="AI87" s="105" t="s">
        <v>1679</v>
      </c>
      <c r="AJ87" s="105" t="s">
        <v>1317</v>
      </c>
      <c r="AK87" s="105" t="s">
        <v>1318</v>
      </c>
      <c r="AL87" s="105" t="s">
        <v>1319</v>
      </c>
      <c r="AM87" s="84"/>
      <c r="AN87" s="8"/>
      <c r="AO87" s="89">
        <v>10</v>
      </c>
      <c r="AQ87" s="116" t="str">
        <f>CONCATENATE("NS",C86,"AZ")</f>
        <v>NS0027AZ</v>
      </c>
      <c r="AR87" s="9" t="str">
        <f>CONCATENATE(Q87," ",R87," ",S87)</f>
        <v>DAVID VALDÉS URRACA</v>
      </c>
      <c r="AS87" s="9"/>
      <c r="AT87" s="162" t="str">
        <f t="shared" si="2"/>
        <v>NS0027AZ-DAVID VALDÉS URRACA</v>
      </c>
      <c r="AU87" s="9" t="str">
        <f>U87</f>
        <v>71700924B</v>
      </c>
      <c r="AV87" s="116"/>
      <c r="AW87" s="9" t="str">
        <f>CONCATENATE(AH87,AI87,AJ87,AK87,AL87)</f>
        <v>ES2630350364313640005433</v>
      </c>
      <c r="AZ87" s="159">
        <v>43130</v>
      </c>
    </row>
    <row r="88" spans="1:52" ht="15" customHeight="1" x14ac:dyDescent="0.25">
      <c r="A88" s="72">
        <v>87</v>
      </c>
      <c r="B88" s="80"/>
      <c r="C88" s="157" t="s">
        <v>1717</v>
      </c>
      <c r="D88" s="5" t="s">
        <v>638</v>
      </c>
      <c r="E88" s="5" t="s">
        <v>581</v>
      </c>
      <c r="F88" s="5" t="s">
        <v>580</v>
      </c>
      <c r="G88" s="5" t="s">
        <v>811</v>
      </c>
      <c r="H88" s="2"/>
      <c r="I88" s="165"/>
      <c r="J88" s="5" t="s">
        <v>581</v>
      </c>
      <c r="K88" s="5" t="s">
        <v>1236</v>
      </c>
      <c r="L88" s="5" t="s">
        <v>1231</v>
      </c>
      <c r="M88" s="5" t="str">
        <f>CONCATENATE(K88," ",L88)</f>
        <v>ZITRON-ASCAZ HOSPITALARIA</v>
      </c>
      <c r="N88" s="5"/>
      <c r="O88" s="5"/>
      <c r="P88" s="5" t="s">
        <v>43</v>
      </c>
      <c r="Q88" s="87" t="s">
        <v>917</v>
      </c>
      <c r="R88" s="87" t="s">
        <v>63</v>
      </c>
      <c r="S88" s="87" t="s">
        <v>63</v>
      </c>
      <c r="T88" s="5" t="s">
        <v>2</v>
      </c>
      <c r="U88" s="5" t="s">
        <v>489</v>
      </c>
      <c r="V88" s="5" t="s">
        <v>646</v>
      </c>
      <c r="W88" s="2">
        <v>30611</v>
      </c>
      <c r="X88" s="7">
        <f ca="1">YEAR($X$1)-YEAR(W88)</f>
        <v>35</v>
      </c>
      <c r="Y88" s="5"/>
      <c r="Z88" s="87"/>
      <c r="AA88" s="5"/>
      <c r="AB88" s="5"/>
      <c r="AC88" s="5"/>
      <c r="AD88" s="5"/>
      <c r="AE88" s="5"/>
      <c r="AF88" s="5"/>
      <c r="AG88" s="88"/>
      <c r="AH88" s="105"/>
      <c r="AI88" s="105"/>
      <c r="AJ88" s="105"/>
      <c r="AK88" s="105"/>
      <c r="AL88" s="105"/>
      <c r="AM88" s="84"/>
      <c r="AN88" s="8"/>
      <c r="AO88" s="89">
        <v>10</v>
      </c>
      <c r="AR88" s="9"/>
      <c r="AS88" s="9"/>
      <c r="AT88" s="162" t="str">
        <f t="shared" si="2"/>
        <v>-</v>
      </c>
      <c r="AU88" s="9"/>
      <c r="AV88" s="116"/>
    </row>
    <row r="89" spans="1:52" ht="15" customHeight="1" x14ac:dyDescent="0.25">
      <c r="A89" s="72">
        <v>88</v>
      </c>
      <c r="B89" s="80"/>
      <c r="C89" s="156" t="s">
        <v>307</v>
      </c>
      <c r="D89" s="81"/>
      <c r="E89" s="6"/>
      <c r="F89" s="6"/>
      <c r="G89" s="6"/>
      <c r="H89" s="4"/>
      <c r="I89" s="166"/>
      <c r="J89" s="6"/>
      <c r="K89" s="6"/>
      <c r="L89" s="6"/>
      <c r="M89" s="91"/>
      <c r="N89" s="91"/>
      <c r="O89" s="91"/>
      <c r="P89" s="6"/>
      <c r="Q89" s="92"/>
      <c r="R89" s="92"/>
      <c r="S89" s="92"/>
      <c r="T89" s="6"/>
      <c r="U89" s="6"/>
      <c r="V89" s="6"/>
      <c r="W89" s="4"/>
      <c r="X89" s="6"/>
      <c r="Y89" s="6"/>
      <c r="Z89" s="92"/>
      <c r="AA89" s="6"/>
      <c r="AB89" s="6"/>
      <c r="AC89" s="6"/>
      <c r="AD89" s="6"/>
      <c r="AE89" s="6"/>
      <c r="AF89" s="6"/>
      <c r="AG89" s="93"/>
      <c r="AH89" s="110"/>
      <c r="AI89" s="110"/>
      <c r="AJ89" s="110"/>
      <c r="AK89" s="110"/>
      <c r="AL89" s="110"/>
      <c r="AM89" s="84"/>
      <c r="AN89" s="85">
        <v>30</v>
      </c>
      <c r="AO89" s="85"/>
      <c r="AP89" s="117" t="str">
        <f>C89</f>
        <v>0028</v>
      </c>
      <c r="AR89" s="9"/>
      <c r="AS89" s="9"/>
      <c r="AT89" s="162" t="str">
        <f t="shared" si="2"/>
        <v>-</v>
      </c>
      <c r="AU89" s="9"/>
      <c r="AV89" s="116"/>
    </row>
    <row r="90" spans="1:52" ht="15" customHeight="1" x14ac:dyDescent="0.25">
      <c r="A90" s="72">
        <v>89</v>
      </c>
      <c r="B90" s="80"/>
      <c r="C90" s="157" t="s">
        <v>1717</v>
      </c>
      <c r="D90" s="5" t="s">
        <v>739</v>
      </c>
      <c r="E90" s="5" t="s">
        <v>581</v>
      </c>
      <c r="F90" s="5" t="s">
        <v>580</v>
      </c>
      <c r="G90" s="5" t="s">
        <v>811</v>
      </c>
      <c r="H90" s="2"/>
      <c r="I90" s="165">
        <v>43115</v>
      </c>
      <c r="J90" s="5" t="s">
        <v>581</v>
      </c>
      <c r="K90" s="5" t="s">
        <v>1236</v>
      </c>
      <c r="L90" s="5" t="s">
        <v>1231</v>
      </c>
      <c r="M90" s="5" t="str">
        <f>CONCATENATE(K90," ",L90)</f>
        <v>ZITRON-ASCAZ HOSPITALARIA</v>
      </c>
      <c r="N90" s="5"/>
      <c r="O90" s="5"/>
      <c r="P90" s="5" t="s">
        <v>3</v>
      </c>
      <c r="Q90" s="87" t="s">
        <v>229</v>
      </c>
      <c r="R90" s="87" t="s">
        <v>228</v>
      </c>
      <c r="S90" s="87" t="s">
        <v>227</v>
      </c>
      <c r="T90" s="5" t="s">
        <v>2</v>
      </c>
      <c r="U90" s="5" t="s">
        <v>226</v>
      </c>
      <c r="V90" s="5" t="s">
        <v>665</v>
      </c>
      <c r="W90" s="2">
        <v>27577</v>
      </c>
      <c r="X90" s="7">
        <f ca="1">YEAR($X$1)-YEAR(W90)</f>
        <v>43</v>
      </c>
      <c r="Y90" s="5" t="s">
        <v>225</v>
      </c>
      <c r="Z90" s="87" t="s">
        <v>224</v>
      </c>
      <c r="AA90" s="5">
        <v>52</v>
      </c>
      <c r="AB90" s="5" t="s">
        <v>223</v>
      </c>
      <c r="AC90" s="5" t="s">
        <v>0</v>
      </c>
      <c r="AD90" s="5" t="s">
        <v>222</v>
      </c>
      <c r="AE90" s="5">
        <v>33314</v>
      </c>
      <c r="AF90" s="5">
        <v>639182229</v>
      </c>
      <c r="AG90" s="118" t="s">
        <v>918</v>
      </c>
      <c r="AH90" s="105" t="s">
        <v>14</v>
      </c>
      <c r="AI90" s="105">
        <v>2085</v>
      </c>
      <c r="AJ90" s="105">
        <v>8159</v>
      </c>
      <c r="AK90" s="105">
        <v>78</v>
      </c>
      <c r="AL90" s="105" t="s">
        <v>1313</v>
      </c>
      <c r="AM90" s="84"/>
      <c r="AN90" s="8"/>
      <c r="AO90" s="89">
        <v>10</v>
      </c>
      <c r="AQ90" s="116" t="str">
        <f>CONCATENATE("NS",C89,"AZ")</f>
        <v>NS0028AZ</v>
      </c>
      <c r="AR90" s="9" t="str">
        <f>CONCATENATE(Q90," ",R90," ",S90)</f>
        <v>JORGE SIERRA BORBOLLA</v>
      </c>
      <c r="AS90" s="9"/>
      <c r="AT90" s="162" t="str">
        <f t="shared" si="2"/>
        <v>NS0028AZ-JORGE SIERRA BORBOLLA</v>
      </c>
      <c r="AU90" s="9" t="str">
        <f>U90</f>
        <v>10900577A</v>
      </c>
      <c r="AV90" s="116"/>
      <c r="AW90" s="9" t="str">
        <f>CONCATENATE(AH90,AI90,AJ90,AK90,AL90)</f>
        <v>ES3020858159780330491600</v>
      </c>
      <c r="AZ90" s="159">
        <v>43115</v>
      </c>
    </row>
    <row r="91" spans="1:52" ht="15" customHeight="1" x14ac:dyDescent="0.25">
      <c r="A91" s="72">
        <v>90</v>
      </c>
      <c r="B91" s="80"/>
      <c r="C91" s="157" t="s">
        <v>1717</v>
      </c>
      <c r="D91" s="5" t="s">
        <v>806</v>
      </c>
      <c r="E91" s="5" t="s">
        <v>729</v>
      </c>
      <c r="F91" s="5" t="s">
        <v>580</v>
      </c>
      <c r="G91" s="5" t="s">
        <v>811</v>
      </c>
      <c r="H91" s="2"/>
      <c r="I91" s="165"/>
      <c r="J91" s="5" t="s">
        <v>581</v>
      </c>
      <c r="K91" s="5" t="s">
        <v>1229</v>
      </c>
      <c r="L91" s="5" t="s">
        <v>1231</v>
      </c>
      <c r="M91" s="5" t="str">
        <f>CONCATENATE(K91," ",L91)</f>
        <v>ASCAZ HOSPITALARIA</v>
      </c>
      <c r="N91" s="5"/>
      <c r="O91" s="5"/>
      <c r="P91" s="5" t="s">
        <v>43</v>
      </c>
      <c r="Q91" s="87" t="s">
        <v>221</v>
      </c>
      <c r="R91" s="87" t="s">
        <v>291</v>
      </c>
      <c r="S91" s="87" t="s">
        <v>1152</v>
      </c>
      <c r="T91" s="5" t="s">
        <v>2</v>
      </c>
      <c r="U91" s="5" t="s">
        <v>220</v>
      </c>
      <c r="V91" s="5" t="s">
        <v>646</v>
      </c>
      <c r="W91" s="2">
        <v>30467</v>
      </c>
      <c r="X91" s="7">
        <f ca="1">YEAR($X$1)-YEAR(W91)</f>
        <v>35</v>
      </c>
      <c r="Y91" s="5"/>
      <c r="Z91" s="87"/>
      <c r="AA91" s="5"/>
      <c r="AB91" s="5"/>
      <c r="AC91" s="5"/>
      <c r="AD91" s="5"/>
      <c r="AE91" s="5"/>
      <c r="AF91" s="5">
        <v>639147008</v>
      </c>
      <c r="AG91" s="88" t="s">
        <v>919</v>
      </c>
      <c r="AH91" s="105"/>
      <c r="AI91" s="105"/>
      <c r="AJ91" s="105"/>
      <c r="AK91" s="105"/>
      <c r="AL91" s="105"/>
      <c r="AM91" s="84"/>
      <c r="AN91" s="8"/>
      <c r="AO91" s="89">
        <v>10</v>
      </c>
      <c r="AR91" s="9"/>
      <c r="AS91" s="9"/>
      <c r="AT91" s="162" t="str">
        <f t="shared" si="2"/>
        <v>-</v>
      </c>
      <c r="AU91" s="9"/>
      <c r="AV91" s="116"/>
    </row>
    <row r="92" spans="1:52" ht="15" customHeight="1" x14ac:dyDescent="0.25">
      <c r="A92" s="72">
        <v>91</v>
      </c>
      <c r="B92" s="80"/>
      <c r="C92" s="156" t="s">
        <v>1597</v>
      </c>
      <c r="D92" s="81"/>
      <c r="E92" s="6"/>
      <c r="F92" s="6"/>
      <c r="G92" s="6"/>
      <c r="H92" s="4"/>
      <c r="I92" s="166"/>
      <c r="J92" s="6"/>
      <c r="K92" s="6"/>
      <c r="L92" s="6"/>
      <c r="M92" s="91"/>
      <c r="N92" s="91"/>
      <c r="O92" s="91"/>
      <c r="P92" s="6"/>
      <c r="Q92" s="92"/>
      <c r="R92" s="92"/>
      <c r="S92" s="92"/>
      <c r="T92" s="6"/>
      <c r="U92" s="6"/>
      <c r="V92" s="6"/>
      <c r="W92" s="4"/>
      <c r="X92" s="6"/>
      <c r="Y92" s="6"/>
      <c r="Z92" s="92"/>
      <c r="AA92" s="6"/>
      <c r="AB92" s="6"/>
      <c r="AC92" s="6"/>
      <c r="AD92" s="6"/>
      <c r="AE92" s="6"/>
      <c r="AF92" s="6"/>
      <c r="AG92" s="93"/>
      <c r="AH92" s="110"/>
      <c r="AI92" s="110"/>
      <c r="AJ92" s="110"/>
      <c r="AK92" s="110"/>
      <c r="AL92" s="110"/>
      <c r="AM92" s="84"/>
      <c r="AN92" s="85">
        <v>30</v>
      </c>
      <c r="AO92" s="85"/>
      <c r="AP92" s="117" t="str">
        <f>C92</f>
        <v>0029</v>
      </c>
      <c r="AR92" s="9"/>
      <c r="AS92" s="9"/>
      <c r="AT92" s="162" t="str">
        <f t="shared" si="2"/>
        <v>-</v>
      </c>
      <c r="AU92" s="9"/>
      <c r="AV92" s="116"/>
    </row>
    <row r="93" spans="1:52" ht="15" customHeight="1" x14ac:dyDescent="0.25">
      <c r="A93" s="72">
        <v>92</v>
      </c>
      <c r="B93" s="80"/>
      <c r="C93" s="157" t="s">
        <v>1717</v>
      </c>
      <c r="D93" s="5" t="s">
        <v>639</v>
      </c>
      <c r="E93" s="5" t="s">
        <v>581</v>
      </c>
      <c r="F93" s="5" t="s">
        <v>580</v>
      </c>
      <c r="G93" s="5" t="s">
        <v>811</v>
      </c>
      <c r="H93" s="2"/>
      <c r="I93" s="165">
        <v>43101</v>
      </c>
      <c r="J93" s="5" t="s">
        <v>581</v>
      </c>
      <c r="K93" s="5" t="s">
        <v>1229</v>
      </c>
      <c r="L93" s="5" t="s">
        <v>1231</v>
      </c>
      <c r="M93" s="5" t="str">
        <f>CONCATENATE(K93," ",L93)</f>
        <v>ASCAZ HOSPITALARIA</v>
      </c>
      <c r="N93" s="5"/>
      <c r="O93" s="5"/>
      <c r="P93" s="5" t="s">
        <v>3</v>
      </c>
      <c r="Q93" s="87" t="s">
        <v>430</v>
      </c>
      <c r="R93" s="87" t="s">
        <v>63</v>
      </c>
      <c r="S93" s="87" t="s">
        <v>62</v>
      </c>
      <c r="T93" s="5" t="s">
        <v>2</v>
      </c>
      <c r="U93" s="5" t="s">
        <v>429</v>
      </c>
      <c r="V93" s="5" t="s">
        <v>665</v>
      </c>
      <c r="W93" s="2">
        <v>21965</v>
      </c>
      <c r="X93" s="7">
        <f ca="1">YEAR($X$1)-YEAR(W93)</f>
        <v>58</v>
      </c>
      <c r="Y93" s="5" t="s">
        <v>1</v>
      </c>
      <c r="Z93" s="87" t="s">
        <v>428</v>
      </c>
      <c r="AA93" s="5">
        <v>22</v>
      </c>
      <c r="AB93" s="5" t="s">
        <v>427</v>
      </c>
      <c r="AC93" s="5" t="s">
        <v>0</v>
      </c>
      <c r="AD93" s="5" t="s">
        <v>31</v>
      </c>
      <c r="AE93" s="5">
        <v>33205</v>
      </c>
      <c r="AF93" s="5">
        <v>617308724</v>
      </c>
      <c r="AG93" s="88" t="s">
        <v>920</v>
      </c>
      <c r="AH93" s="105" t="s">
        <v>1507</v>
      </c>
      <c r="AI93" s="105" t="s">
        <v>13</v>
      </c>
      <c r="AJ93" s="105" t="s">
        <v>1385</v>
      </c>
      <c r="AK93" s="105" t="s">
        <v>1386</v>
      </c>
      <c r="AL93" s="105" t="s">
        <v>1541</v>
      </c>
      <c r="AM93" s="84"/>
      <c r="AN93" s="8"/>
      <c r="AO93" s="89">
        <v>10</v>
      </c>
      <c r="AQ93" s="116" t="str">
        <f>CONCATENATE("NS",C92,"AZ")</f>
        <v>NS0029AZ</v>
      </c>
      <c r="AR93" s="9" t="str">
        <f>CONCATENATE(Q93," ",R93," ",S93)</f>
        <v>IGNACIO FERNÁNDEZ VELASCO</v>
      </c>
      <c r="AS93" s="9"/>
      <c r="AT93" s="162" t="str">
        <f t="shared" si="2"/>
        <v>NS0029AZ-IGNACIO FERNÁNDEZ VELASCO</v>
      </c>
      <c r="AU93" s="9" t="str">
        <f>U93</f>
        <v>71625683A</v>
      </c>
      <c r="AV93" s="116"/>
      <c r="AW93" s="9" t="str">
        <f>CONCATENATE(AH93,AI93,AJ93,AK93,AL93)</f>
        <v>ES8300815660160006150230</v>
      </c>
      <c r="AZ93" s="159">
        <v>43101</v>
      </c>
    </row>
    <row r="94" spans="1:52" ht="15" customHeight="1" x14ac:dyDescent="0.25">
      <c r="A94" s="72">
        <v>93</v>
      </c>
      <c r="B94" s="80"/>
      <c r="C94" s="157" t="s">
        <v>1717</v>
      </c>
      <c r="D94" s="5" t="s">
        <v>640</v>
      </c>
      <c r="E94" s="5" t="s">
        <v>581</v>
      </c>
      <c r="F94" s="5" t="s">
        <v>580</v>
      </c>
      <c r="G94" s="5" t="s">
        <v>811</v>
      </c>
      <c r="H94" s="2"/>
      <c r="I94" s="165"/>
      <c r="J94" s="5" t="s">
        <v>581</v>
      </c>
      <c r="K94" s="5" t="s">
        <v>1229</v>
      </c>
      <c r="L94" s="5" t="s">
        <v>1231</v>
      </c>
      <c r="M94" s="5" t="str">
        <f>CONCATENATE(K94," ",L94)</f>
        <v>ASCAZ HOSPITALARIA</v>
      </c>
      <c r="N94" s="5"/>
      <c r="O94" s="5"/>
      <c r="P94" s="5" t="s">
        <v>43</v>
      </c>
      <c r="Q94" s="87" t="s">
        <v>1134</v>
      </c>
      <c r="R94" s="87" t="s">
        <v>195</v>
      </c>
      <c r="S94" s="87" t="s">
        <v>488</v>
      </c>
      <c r="T94" s="5" t="s">
        <v>2</v>
      </c>
      <c r="U94" s="5" t="s">
        <v>487</v>
      </c>
      <c r="V94" s="5" t="s">
        <v>646</v>
      </c>
      <c r="W94" s="2">
        <v>21789</v>
      </c>
      <c r="X94" s="7">
        <f ca="1">YEAR($X$1)-YEAR(W94)</f>
        <v>59</v>
      </c>
      <c r="Y94" s="5"/>
      <c r="Z94" s="87"/>
      <c r="AA94" s="5"/>
      <c r="AB94" s="5"/>
      <c r="AC94" s="5"/>
      <c r="AD94" s="5"/>
      <c r="AE94" s="5"/>
      <c r="AF94" s="5">
        <v>636144230</v>
      </c>
      <c r="AG94" s="88" t="s">
        <v>921</v>
      </c>
      <c r="AH94" s="105"/>
      <c r="AI94" s="105"/>
      <c r="AJ94" s="105"/>
      <c r="AK94" s="105"/>
      <c r="AL94" s="105"/>
      <c r="AM94" s="84"/>
      <c r="AN94" s="8"/>
      <c r="AO94" s="89">
        <v>10</v>
      </c>
      <c r="AR94" s="9"/>
      <c r="AS94" s="9"/>
      <c r="AT94" s="162" t="str">
        <f t="shared" si="2"/>
        <v>-</v>
      </c>
      <c r="AU94" s="9"/>
      <c r="AV94" s="116"/>
    </row>
    <row r="95" spans="1:52" ht="15" customHeight="1" x14ac:dyDescent="0.25">
      <c r="A95" s="72">
        <v>94</v>
      </c>
      <c r="B95" s="80"/>
      <c r="C95" s="157" t="s">
        <v>1717</v>
      </c>
      <c r="D95" s="5" t="s">
        <v>641</v>
      </c>
      <c r="E95" s="5" t="s">
        <v>581</v>
      </c>
      <c r="F95" s="5" t="s">
        <v>580</v>
      </c>
      <c r="G95" s="5" t="s">
        <v>811</v>
      </c>
      <c r="H95" s="2"/>
      <c r="I95" s="165"/>
      <c r="J95" s="5" t="s">
        <v>581</v>
      </c>
      <c r="K95" s="5" t="s">
        <v>1229</v>
      </c>
      <c r="L95" s="5" t="s">
        <v>1230</v>
      </c>
      <c r="M95" s="5" t="str">
        <f>CONCATENATE(K95," ",L95)</f>
        <v>ASCAZ AMBULATORIA</v>
      </c>
      <c r="N95" s="5"/>
      <c r="O95" s="5"/>
      <c r="P95" s="90" t="s">
        <v>815</v>
      </c>
      <c r="Q95" s="87" t="s">
        <v>397</v>
      </c>
      <c r="R95" s="87" t="s">
        <v>63</v>
      </c>
      <c r="S95" s="87" t="s">
        <v>195</v>
      </c>
      <c r="T95" s="5" t="s">
        <v>2</v>
      </c>
      <c r="U95" s="5" t="s">
        <v>426</v>
      </c>
      <c r="V95" s="5" t="s">
        <v>646</v>
      </c>
      <c r="W95" s="2">
        <v>32658</v>
      </c>
      <c r="X95" s="7">
        <f ca="1">YEAR($X$1)-YEAR(W95)</f>
        <v>29</v>
      </c>
      <c r="Y95" s="5"/>
      <c r="Z95" s="87"/>
      <c r="AA95" s="5"/>
      <c r="AB95" s="5"/>
      <c r="AC95" s="5"/>
      <c r="AD95" s="5"/>
      <c r="AE95" s="5"/>
      <c r="AF95" s="5">
        <v>678304556</v>
      </c>
      <c r="AG95" s="88" t="s">
        <v>922</v>
      </c>
      <c r="AH95" s="105"/>
      <c r="AI95" s="105"/>
      <c r="AJ95" s="105"/>
      <c r="AK95" s="105"/>
      <c r="AL95" s="105"/>
      <c r="AM95" s="84"/>
      <c r="AN95" s="8"/>
      <c r="AO95" s="89">
        <v>10</v>
      </c>
      <c r="AR95" s="9"/>
      <c r="AS95" s="9"/>
      <c r="AT95" s="162" t="str">
        <f t="shared" si="2"/>
        <v>-</v>
      </c>
      <c r="AU95" s="9"/>
      <c r="AV95" s="116"/>
    </row>
    <row r="96" spans="1:52" ht="15" customHeight="1" x14ac:dyDescent="0.25">
      <c r="A96" s="72">
        <v>95</v>
      </c>
      <c r="B96" s="80"/>
      <c r="C96" s="156" t="s">
        <v>268</v>
      </c>
      <c r="D96" s="81"/>
      <c r="E96" s="6"/>
      <c r="F96" s="6"/>
      <c r="G96" s="6"/>
      <c r="H96" s="4"/>
      <c r="I96" s="166"/>
      <c r="J96" s="6"/>
      <c r="K96" s="6"/>
      <c r="L96" s="6"/>
      <c r="M96" s="91"/>
      <c r="N96" s="91"/>
      <c r="O96" s="91"/>
      <c r="P96" s="6"/>
      <c r="Q96" s="92"/>
      <c r="R96" s="92"/>
      <c r="S96" s="92"/>
      <c r="T96" s="6"/>
      <c r="U96" s="6"/>
      <c r="V96" s="6"/>
      <c r="W96" s="4"/>
      <c r="X96" s="6"/>
      <c r="Y96" s="6"/>
      <c r="Z96" s="92"/>
      <c r="AA96" s="6"/>
      <c r="AB96" s="6"/>
      <c r="AC96" s="6"/>
      <c r="AD96" s="6"/>
      <c r="AE96" s="6"/>
      <c r="AF96" s="6"/>
      <c r="AG96" s="93"/>
      <c r="AH96" s="110"/>
      <c r="AI96" s="110"/>
      <c r="AJ96" s="110"/>
      <c r="AK96" s="110"/>
      <c r="AL96" s="110"/>
      <c r="AM96" s="84"/>
      <c r="AN96" s="85">
        <v>30</v>
      </c>
      <c r="AO96" s="85"/>
      <c r="AP96" s="117" t="str">
        <f>C96</f>
        <v>0030</v>
      </c>
      <c r="AR96" s="9"/>
      <c r="AS96" s="9"/>
      <c r="AT96" s="162" t="str">
        <f t="shared" si="2"/>
        <v>-</v>
      </c>
      <c r="AU96" s="9"/>
      <c r="AV96" s="116"/>
    </row>
    <row r="97" spans="1:52" ht="15" customHeight="1" x14ac:dyDescent="0.25">
      <c r="A97" s="72">
        <v>96</v>
      </c>
      <c r="B97" s="80"/>
      <c r="C97" s="157" t="s">
        <v>1717</v>
      </c>
      <c r="D97" s="5" t="s">
        <v>642</v>
      </c>
      <c r="E97" s="5" t="s">
        <v>581</v>
      </c>
      <c r="F97" s="5" t="s">
        <v>580</v>
      </c>
      <c r="G97" s="5" t="s">
        <v>811</v>
      </c>
      <c r="H97" s="2"/>
      <c r="I97" s="165">
        <v>43112</v>
      </c>
      <c r="J97" s="5" t="s">
        <v>581</v>
      </c>
      <c r="K97" s="5" t="s">
        <v>1236</v>
      </c>
      <c r="L97" s="5" t="s">
        <v>1230</v>
      </c>
      <c r="M97" s="5" t="str">
        <f>CONCATENATE(K97," ",L97)</f>
        <v>ZITRON-ASCAZ AMBULATORIA</v>
      </c>
      <c r="N97" s="5"/>
      <c r="O97" s="5"/>
      <c r="P97" s="5" t="s">
        <v>3</v>
      </c>
      <c r="Q97" s="87" t="s">
        <v>453</v>
      </c>
      <c r="R97" s="87" t="s">
        <v>452</v>
      </c>
      <c r="S97" s="87"/>
      <c r="T97" s="5" t="s">
        <v>451</v>
      </c>
      <c r="U97" s="5" t="s">
        <v>450</v>
      </c>
      <c r="V97" s="5" t="s">
        <v>665</v>
      </c>
      <c r="W97" s="2">
        <v>29535</v>
      </c>
      <c r="X97" s="7">
        <f ca="1">YEAR($X$1)-YEAR(W97)</f>
        <v>38</v>
      </c>
      <c r="Y97" s="5" t="s">
        <v>1</v>
      </c>
      <c r="Z97" s="87" t="s">
        <v>401</v>
      </c>
      <c r="AA97" s="5">
        <v>78</v>
      </c>
      <c r="AB97" s="5" t="s">
        <v>449</v>
      </c>
      <c r="AC97" s="5" t="s">
        <v>0</v>
      </c>
      <c r="AD97" s="5" t="s">
        <v>31</v>
      </c>
      <c r="AE97" s="5">
        <v>33210</v>
      </c>
      <c r="AF97" s="5">
        <v>646429595</v>
      </c>
      <c r="AG97" s="88" t="s">
        <v>448</v>
      </c>
      <c r="AH97" s="105" t="s">
        <v>50</v>
      </c>
      <c r="AI97" s="105" t="s">
        <v>28</v>
      </c>
      <c r="AJ97" s="105" t="s">
        <v>1542</v>
      </c>
      <c r="AK97" s="105" t="s">
        <v>1351</v>
      </c>
      <c r="AL97" s="105" t="s">
        <v>1543</v>
      </c>
      <c r="AM97" s="84"/>
      <c r="AN97" s="8"/>
      <c r="AO97" s="89">
        <v>10</v>
      </c>
      <c r="AQ97" s="116" t="str">
        <f>CONCATENATE("NS",C96,"AZ")</f>
        <v>NS0030AZ</v>
      </c>
      <c r="AR97" s="9" t="str">
        <f>CONCATENATE(Q97," ",R97," ",S97)</f>
        <v xml:space="preserve">OUASSIM KHEYYALI </v>
      </c>
      <c r="AS97" s="9"/>
      <c r="AT97" s="162" t="str">
        <f t="shared" si="2"/>
        <v xml:space="preserve">NS0030AZ-OUASSIM KHEYYALI </v>
      </c>
      <c r="AU97" s="9" t="str">
        <f>U97</f>
        <v>X2925410V</v>
      </c>
      <c r="AV97" s="116"/>
      <c r="AW97" s="9" t="str">
        <f>CONCATENATE(AH97,AI97,AJ97,AK97,AL97)</f>
        <v>ES0501822803530201574569</v>
      </c>
      <c r="AZ97" s="159">
        <v>43112</v>
      </c>
    </row>
    <row r="98" spans="1:52" ht="15" customHeight="1" x14ac:dyDescent="0.25">
      <c r="A98" s="72">
        <v>97</v>
      </c>
      <c r="B98" s="80"/>
      <c r="C98" s="157" t="s">
        <v>1717</v>
      </c>
      <c r="D98" s="5" t="s">
        <v>643</v>
      </c>
      <c r="E98" s="5" t="s">
        <v>581</v>
      </c>
      <c r="F98" s="5" t="s">
        <v>580</v>
      </c>
      <c r="G98" s="5" t="s">
        <v>811</v>
      </c>
      <c r="H98" s="2"/>
      <c r="I98" s="165"/>
      <c r="J98" s="5" t="s">
        <v>581</v>
      </c>
      <c r="K98" s="5" t="s">
        <v>1236</v>
      </c>
      <c r="L98" s="5" t="s">
        <v>1231</v>
      </c>
      <c r="M98" s="5" t="str">
        <f>CONCATENATE(K98," ",L98)</f>
        <v>ZITRON-ASCAZ HOSPITALARIA</v>
      </c>
      <c r="N98" s="5"/>
      <c r="O98" s="5"/>
      <c r="P98" s="5" t="s">
        <v>43</v>
      </c>
      <c r="Q98" s="87" t="s">
        <v>486</v>
      </c>
      <c r="R98" s="87" t="s">
        <v>445</v>
      </c>
      <c r="S98" s="87"/>
      <c r="T98" s="5" t="s">
        <v>451</v>
      </c>
      <c r="U98" s="5" t="s">
        <v>485</v>
      </c>
      <c r="V98" s="5" t="s">
        <v>646</v>
      </c>
      <c r="W98" s="2">
        <v>29816</v>
      </c>
      <c r="X98" s="7">
        <f ca="1">YEAR($X$1)-YEAR(W98)</f>
        <v>37</v>
      </c>
      <c r="Y98" s="5"/>
      <c r="Z98" s="87"/>
      <c r="AA98" s="5"/>
      <c r="AB98" s="5"/>
      <c r="AC98" s="5"/>
      <c r="AD98" s="5"/>
      <c r="AE98" s="5"/>
      <c r="AF98" s="5"/>
      <c r="AG98" s="88"/>
      <c r="AH98" s="105"/>
      <c r="AI98" s="105"/>
      <c r="AJ98" s="105"/>
      <c r="AK98" s="105"/>
      <c r="AL98" s="105"/>
      <c r="AM98" s="84"/>
      <c r="AN98" s="8"/>
      <c r="AO98" s="89">
        <v>10</v>
      </c>
      <c r="AR98" s="9"/>
      <c r="AS98" s="9"/>
      <c r="AT98" s="162" t="str">
        <f t="shared" si="2"/>
        <v>-</v>
      </c>
      <c r="AU98" s="9"/>
      <c r="AV98" s="116"/>
    </row>
    <row r="99" spans="1:52" ht="15" customHeight="1" x14ac:dyDescent="0.25">
      <c r="A99" s="72">
        <v>98</v>
      </c>
      <c r="B99" s="80"/>
      <c r="C99" s="157" t="s">
        <v>1717</v>
      </c>
      <c r="D99" s="5" t="s">
        <v>644</v>
      </c>
      <c r="E99" s="5" t="s">
        <v>581</v>
      </c>
      <c r="F99" s="5" t="s">
        <v>580</v>
      </c>
      <c r="G99" s="5" t="s">
        <v>811</v>
      </c>
      <c r="H99" s="2"/>
      <c r="I99" s="165"/>
      <c r="J99" s="5" t="s">
        <v>581</v>
      </c>
      <c r="K99" s="5" t="s">
        <v>1236</v>
      </c>
      <c r="L99" s="5" t="s">
        <v>1230</v>
      </c>
      <c r="M99" s="5" t="str">
        <f>CONCATENATE(K99," ",L99)</f>
        <v>ZITRON-ASCAZ AMBULATORIA</v>
      </c>
      <c r="N99" s="5"/>
      <c r="O99" s="5"/>
      <c r="P99" s="90" t="s">
        <v>815</v>
      </c>
      <c r="Q99" s="87" t="s">
        <v>447</v>
      </c>
      <c r="R99" s="87" t="s">
        <v>445</v>
      </c>
      <c r="S99" s="87" t="s">
        <v>444</v>
      </c>
      <c r="T99" s="5"/>
      <c r="U99" s="5"/>
      <c r="V99" s="5" t="s">
        <v>665</v>
      </c>
      <c r="W99" s="2">
        <v>37414</v>
      </c>
      <c r="X99" s="7">
        <f ca="1">YEAR($X$1)-YEAR(W99)</f>
        <v>16</v>
      </c>
      <c r="Y99" s="5"/>
      <c r="Z99" s="87"/>
      <c r="AA99" s="5"/>
      <c r="AB99" s="5"/>
      <c r="AC99" s="5"/>
      <c r="AD99" s="5"/>
      <c r="AE99" s="5"/>
      <c r="AF99" s="5"/>
      <c r="AG99" s="88"/>
      <c r="AH99" s="105"/>
      <c r="AI99" s="105"/>
      <c r="AJ99" s="105"/>
      <c r="AK99" s="105"/>
      <c r="AL99" s="105"/>
      <c r="AM99" s="84"/>
      <c r="AN99" s="8"/>
      <c r="AO99" s="89">
        <v>10</v>
      </c>
      <c r="AR99" s="9"/>
      <c r="AS99" s="9"/>
      <c r="AT99" s="162" t="str">
        <f t="shared" si="2"/>
        <v>-</v>
      </c>
      <c r="AU99" s="9"/>
      <c r="AV99" s="116"/>
    </row>
    <row r="100" spans="1:52" ht="15" customHeight="1" x14ac:dyDescent="0.25">
      <c r="A100" s="72">
        <v>99</v>
      </c>
      <c r="B100" s="80"/>
      <c r="C100" s="157" t="s">
        <v>1717</v>
      </c>
      <c r="D100" s="5" t="s">
        <v>645</v>
      </c>
      <c r="E100" s="5" t="s">
        <v>581</v>
      </c>
      <c r="F100" s="5" t="s">
        <v>580</v>
      </c>
      <c r="G100" s="5" t="s">
        <v>811</v>
      </c>
      <c r="H100" s="2"/>
      <c r="I100" s="165"/>
      <c r="J100" s="5" t="s">
        <v>581</v>
      </c>
      <c r="K100" s="5" t="s">
        <v>1236</v>
      </c>
      <c r="L100" s="5" t="s">
        <v>1230</v>
      </c>
      <c r="M100" s="5" t="str">
        <f>CONCATENATE(K100," ",L100)</f>
        <v>ZITRON-ASCAZ AMBULATORIA</v>
      </c>
      <c r="N100" s="5"/>
      <c r="O100" s="5"/>
      <c r="P100" s="90" t="s">
        <v>815</v>
      </c>
      <c r="Q100" s="87" t="s">
        <v>446</v>
      </c>
      <c r="R100" s="87" t="s">
        <v>445</v>
      </c>
      <c r="S100" s="87" t="s">
        <v>444</v>
      </c>
      <c r="T100" s="5"/>
      <c r="U100" s="5"/>
      <c r="V100" s="5" t="s">
        <v>665</v>
      </c>
      <c r="W100" s="2">
        <v>38851</v>
      </c>
      <c r="X100" s="7">
        <f ca="1">YEAR($X$1)-YEAR(W100)</f>
        <v>12</v>
      </c>
      <c r="Y100" s="5"/>
      <c r="Z100" s="87"/>
      <c r="AA100" s="5"/>
      <c r="AB100" s="5"/>
      <c r="AC100" s="5"/>
      <c r="AD100" s="5"/>
      <c r="AE100" s="5"/>
      <c r="AF100" s="5"/>
      <c r="AG100" s="88"/>
      <c r="AH100" s="105"/>
      <c r="AI100" s="105"/>
      <c r="AJ100" s="105"/>
      <c r="AK100" s="105"/>
      <c r="AL100" s="105"/>
      <c r="AM100" s="84"/>
      <c r="AN100" s="8"/>
      <c r="AO100" s="89">
        <v>10</v>
      </c>
      <c r="AR100" s="9"/>
      <c r="AS100" s="9"/>
      <c r="AT100" s="162" t="str">
        <f t="shared" si="2"/>
        <v>-</v>
      </c>
      <c r="AU100" s="9"/>
      <c r="AV100" s="116"/>
    </row>
    <row r="101" spans="1:52" ht="15" customHeight="1" x14ac:dyDescent="0.25">
      <c r="A101" s="72">
        <v>100</v>
      </c>
      <c r="B101" s="80"/>
      <c r="C101" s="156" t="s">
        <v>191</v>
      </c>
      <c r="D101" s="81"/>
      <c r="E101" s="6"/>
      <c r="F101" s="6"/>
      <c r="G101" s="6"/>
      <c r="H101" s="4"/>
      <c r="I101" s="166"/>
      <c r="J101" s="6"/>
      <c r="K101" s="6"/>
      <c r="L101" s="6"/>
      <c r="M101" s="91"/>
      <c r="N101" s="91"/>
      <c r="O101" s="91"/>
      <c r="P101" s="6"/>
      <c r="Q101" s="92"/>
      <c r="R101" s="92"/>
      <c r="S101" s="92"/>
      <c r="T101" s="6"/>
      <c r="U101" s="6"/>
      <c r="V101" s="6"/>
      <c r="W101" s="4"/>
      <c r="X101" s="6"/>
      <c r="Y101" s="6"/>
      <c r="Z101" s="92"/>
      <c r="AA101" s="6"/>
      <c r="AB101" s="6"/>
      <c r="AC101" s="6"/>
      <c r="AD101" s="6"/>
      <c r="AE101" s="6"/>
      <c r="AF101" s="6"/>
      <c r="AG101" s="93"/>
      <c r="AH101" s="110"/>
      <c r="AI101" s="110"/>
      <c r="AJ101" s="110"/>
      <c r="AK101" s="110"/>
      <c r="AL101" s="110"/>
      <c r="AM101" s="84"/>
      <c r="AN101" s="85">
        <v>30</v>
      </c>
      <c r="AO101" s="85"/>
      <c r="AP101" s="117" t="str">
        <f>C101</f>
        <v>0031</v>
      </c>
      <c r="AR101" s="9"/>
      <c r="AS101" s="9"/>
      <c r="AT101" s="162" t="str">
        <f t="shared" si="2"/>
        <v>-</v>
      </c>
      <c r="AU101" s="9"/>
      <c r="AV101" s="116"/>
    </row>
    <row r="102" spans="1:52" ht="15" customHeight="1" x14ac:dyDescent="0.25">
      <c r="A102" s="72">
        <v>101</v>
      </c>
      <c r="B102" s="80"/>
      <c r="C102" s="157" t="s">
        <v>1717</v>
      </c>
      <c r="D102" s="5" t="s">
        <v>647</v>
      </c>
      <c r="E102" s="5" t="s">
        <v>581</v>
      </c>
      <c r="F102" s="5" t="s">
        <v>580</v>
      </c>
      <c r="G102" s="5" t="s">
        <v>811</v>
      </c>
      <c r="H102" s="2"/>
      <c r="I102" s="165">
        <v>43110</v>
      </c>
      <c r="J102" s="5" t="s">
        <v>581</v>
      </c>
      <c r="K102" s="5" t="s">
        <v>1236</v>
      </c>
      <c r="L102" s="5" t="s">
        <v>1231</v>
      </c>
      <c r="M102" s="5" t="str">
        <f>CONCATENATE(K102," ",L102)</f>
        <v>ZITRON-ASCAZ HOSPITALARIA</v>
      </c>
      <c r="N102" s="5"/>
      <c r="O102" s="5"/>
      <c r="P102" s="5" t="s">
        <v>3</v>
      </c>
      <c r="Q102" s="87" t="s">
        <v>484</v>
      </c>
      <c r="R102" s="87" t="s">
        <v>476</v>
      </c>
      <c r="S102" s="87" t="s">
        <v>483</v>
      </c>
      <c r="T102" s="5" t="s">
        <v>451</v>
      </c>
      <c r="U102" s="5" t="s">
        <v>482</v>
      </c>
      <c r="V102" s="5" t="s">
        <v>665</v>
      </c>
      <c r="W102" s="2">
        <v>30796</v>
      </c>
      <c r="X102" s="7">
        <f ca="1">YEAR($X$1)-YEAR(W102)</f>
        <v>34</v>
      </c>
      <c r="Y102" s="5" t="s">
        <v>1</v>
      </c>
      <c r="Z102" s="87" t="s">
        <v>479</v>
      </c>
      <c r="AA102" s="5">
        <v>1</v>
      </c>
      <c r="AB102" s="5" t="s">
        <v>478</v>
      </c>
      <c r="AC102" s="5" t="s">
        <v>0</v>
      </c>
      <c r="AD102" s="5" t="s">
        <v>31</v>
      </c>
      <c r="AE102" s="5">
        <v>33204</v>
      </c>
      <c r="AF102" s="5">
        <v>684094136</v>
      </c>
      <c r="AG102" s="88" t="s">
        <v>923</v>
      </c>
      <c r="AH102" s="105" t="s">
        <v>1544</v>
      </c>
      <c r="AI102" s="105" t="s">
        <v>1380</v>
      </c>
      <c r="AJ102" s="105" t="s">
        <v>1545</v>
      </c>
      <c r="AK102" s="105" t="s">
        <v>1323</v>
      </c>
      <c r="AL102" s="105" t="s">
        <v>1546</v>
      </c>
      <c r="AM102" s="84"/>
      <c r="AN102" s="8"/>
      <c r="AO102" s="89">
        <v>10</v>
      </c>
      <c r="AQ102" s="116" t="str">
        <f>CONCATENATE("NS",C101,"AZ")</f>
        <v>NS0031AZ</v>
      </c>
      <c r="AR102" s="9" t="str">
        <f>CONCATENATE(Q102," ",R102," ",S102)</f>
        <v>ANTONIO  MORAIS SARMENTO  XAVIER MADUREIRA</v>
      </c>
      <c r="AS102" s="9"/>
      <c r="AT102" s="162" t="str">
        <f t="shared" si="2"/>
        <v>NS0031AZ-ANTONIO  MORAIS SARMENTO  XAVIER MADUREIRA</v>
      </c>
      <c r="AU102" s="9" t="str">
        <f>U102</f>
        <v>Y2362420N</v>
      </c>
      <c r="AV102" s="116"/>
      <c r="AW102" s="9" t="str">
        <f>CONCATENATE(AH102,AI102,AJ102,AK102,AL102)</f>
        <v>ES5830070007822020546319</v>
      </c>
      <c r="AZ102" s="159">
        <v>43110</v>
      </c>
    </row>
    <row r="103" spans="1:52" ht="15" customHeight="1" x14ac:dyDescent="0.25">
      <c r="A103" s="72">
        <v>102</v>
      </c>
      <c r="B103" s="80"/>
      <c r="C103" s="157" t="s">
        <v>1717</v>
      </c>
      <c r="D103" s="5" t="s">
        <v>648</v>
      </c>
      <c r="E103" s="5" t="s">
        <v>581</v>
      </c>
      <c r="F103" s="5" t="s">
        <v>580</v>
      </c>
      <c r="G103" s="5" t="s">
        <v>811</v>
      </c>
      <c r="H103" s="2"/>
      <c r="I103" s="165"/>
      <c r="J103" s="5" t="s">
        <v>581</v>
      </c>
      <c r="K103" s="5" t="s">
        <v>1236</v>
      </c>
      <c r="L103" s="5" t="s">
        <v>1231</v>
      </c>
      <c r="M103" s="5" t="str">
        <f>CONCATENATE(K103," ",L103)</f>
        <v>ZITRON-ASCAZ HOSPITALARIA</v>
      </c>
      <c r="N103" s="5"/>
      <c r="O103" s="5"/>
      <c r="P103" s="5" t="s">
        <v>43</v>
      </c>
      <c r="Q103" s="87" t="s">
        <v>397</v>
      </c>
      <c r="R103" s="87" t="s">
        <v>1145</v>
      </c>
      <c r="S103" s="87" t="s">
        <v>481</v>
      </c>
      <c r="T103" s="5" t="s">
        <v>2</v>
      </c>
      <c r="U103" s="5" t="s">
        <v>480</v>
      </c>
      <c r="V103" s="5" t="s">
        <v>646</v>
      </c>
      <c r="W103" s="2">
        <v>30880</v>
      </c>
      <c r="X103" s="7">
        <f ca="1">YEAR($X$1)-YEAR(W103)</f>
        <v>34</v>
      </c>
      <c r="Y103" s="5"/>
      <c r="Z103" s="87"/>
      <c r="AA103" s="5"/>
      <c r="AB103" s="5"/>
      <c r="AC103" s="5"/>
      <c r="AD103" s="5"/>
      <c r="AE103" s="5"/>
      <c r="AF103" s="5"/>
      <c r="AG103" s="88" t="s">
        <v>924</v>
      </c>
      <c r="AH103" s="105"/>
      <c r="AI103" s="105"/>
      <c r="AJ103" s="105"/>
      <c r="AK103" s="105"/>
      <c r="AL103" s="105"/>
      <c r="AM103" s="84"/>
      <c r="AN103" s="8"/>
      <c r="AO103" s="89">
        <v>10</v>
      </c>
      <c r="AR103" s="9"/>
      <c r="AS103" s="9"/>
      <c r="AT103" s="162" t="str">
        <f t="shared" si="2"/>
        <v>-</v>
      </c>
      <c r="AU103" s="9"/>
      <c r="AV103" s="116"/>
    </row>
    <row r="104" spans="1:52" ht="15" customHeight="1" x14ac:dyDescent="0.25">
      <c r="A104" s="72">
        <v>103</v>
      </c>
      <c r="B104" s="80"/>
      <c r="C104" s="157" t="s">
        <v>1717</v>
      </c>
      <c r="D104" s="5" t="s">
        <v>649</v>
      </c>
      <c r="E104" s="5" t="s">
        <v>581</v>
      </c>
      <c r="F104" s="5" t="s">
        <v>580</v>
      </c>
      <c r="G104" s="5" t="s">
        <v>811</v>
      </c>
      <c r="H104" s="2"/>
      <c r="I104" s="165"/>
      <c r="J104" s="5" t="s">
        <v>581</v>
      </c>
      <c r="K104" s="5" t="s">
        <v>1236</v>
      </c>
      <c r="L104" s="5" t="s">
        <v>1231</v>
      </c>
      <c r="M104" s="5" t="str">
        <f>CONCATENATE(K104," ",L104)</f>
        <v>ZITRON-ASCAZ HOSPITALARIA</v>
      </c>
      <c r="N104" s="5"/>
      <c r="O104" s="5"/>
      <c r="P104" s="90" t="s">
        <v>815</v>
      </c>
      <c r="Q104" s="87" t="s">
        <v>477</v>
      </c>
      <c r="R104" s="87" t="s">
        <v>1121</v>
      </c>
      <c r="S104" s="242" t="s">
        <v>1145</v>
      </c>
      <c r="T104" s="242"/>
      <c r="U104" s="5"/>
      <c r="V104" s="5" t="s">
        <v>646</v>
      </c>
      <c r="W104" s="2">
        <v>42729</v>
      </c>
      <c r="X104" s="7">
        <f ca="1">YEAR($X$1)-YEAR(W104)</f>
        <v>2</v>
      </c>
      <c r="Y104" s="5"/>
      <c r="Z104" s="87"/>
      <c r="AA104" s="5"/>
      <c r="AB104" s="5"/>
      <c r="AC104" s="5"/>
      <c r="AD104" s="5"/>
      <c r="AE104" s="5"/>
      <c r="AF104" s="5"/>
      <c r="AG104" s="88"/>
      <c r="AH104" s="105"/>
      <c r="AI104" s="105"/>
      <c r="AJ104" s="105"/>
      <c r="AK104" s="105"/>
      <c r="AL104" s="105"/>
      <c r="AM104" s="84"/>
      <c r="AN104" s="8"/>
      <c r="AO104" s="89">
        <v>10</v>
      </c>
      <c r="AR104" s="9"/>
      <c r="AS104" s="9"/>
      <c r="AT104" s="162" t="str">
        <f t="shared" si="2"/>
        <v>-</v>
      </c>
      <c r="AU104" s="9"/>
      <c r="AV104" s="116"/>
    </row>
    <row r="105" spans="1:52" ht="15" customHeight="1" x14ac:dyDescent="0.25">
      <c r="A105" s="72"/>
      <c r="B105" s="80"/>
      <c r="C105" s="157" t="s">
        <v>1717</v>
      </c>
      <c r="D105" s="5" t="s">
        <v>1761</v>
      </c>
      <c r="E105" s="5" t="s">
        <v>581</v>
      </c>
      <c r="F105" s="5" t="s">
        <v>580</v>
      </c>
      <c r="G105" s="2">
        <v>43399</v>
      </c>
      <c r="H105" s="2"/>
      <c r="I105" s="165"/>
      <c r="J105" s="5" t="s">
        <v>581</v>
      </c>
      <c r="K105" s="5" t="s">
        <v>1236</v>
      </c>
      <c r="L105" s="5" t="s">
        <v>1231</v>
      </c>
      <c r="M105" s="5" t="str">
        <f>CONCATENATE(K105," ",L105)</f>
        <v>ZITRON-ASCAZ HOSPITALARIA</v>
      </c>
      <c r="N105" s="5"/>
      <c r="O105" s="5"/>
      <c r="P105" s="90" t="s">
        <v>815</v>
      </c>
      <c r="Q105" s="201" t="s">
        <v>1758</v>
      </c>
      <c r="R105" s="201" t="s">
        <v>1759</v>
      </c>
      <c r="S105" s="201" t="s">
        <v>1760</v>
      </c>
      <c r="T105" s="201"/>
      <c r="U105" s="5"/>
      <c r="V105" s="5" t="s">
        <v>665</v>
      </c>
      <c r="W105" s="2">
        <v>43359</v>
      </c>
      <c r="X105" s="7">
        <f ca="1">YEAR($X$1)-YEAR(W105)</f>
        <v>0</v>
      </c>
      <c r="Y105" s="5"/>
      <c r="Z105" s="201"/>
      <c r="AA105" s="5"/>
      <c r="AB105" s="5"/>
      <c r="AC105" s="5"/>
      <c r="AD105" s="5"/>
      <c r="AE105" s="5"/>
      <c r="AF105" s="5"/>
      <c r="AG105" s="88"/>
      <c r="AH105" s="105"/>
      <c r="AI105" s="105"/>
      <c r="AJ105" s="105"/>
      <c r="AK105" s="105"/>
      <c r="AL105" s="105"/>
      <c r="AM105" s="84"/>
      <c r="AN105" s="8"/>
      <c r="AO105" s="89"/>
      <c r="AR105" s="9"/>
      <c r="AS105" s="9"/>
      <c r="AU105" s="9"/>
      <c r="AV105" s="116"/>
    </row>
    <row r="106" spans="1:52" ht="15" customHeight="1" x14ac:dyDescent="0.25">
      <c r="A106" s="72">
        <v>104</v>
      </c>
      <c r="B106" s="80"/>
      <c r="C106" s="156" t="s">
        <v>1598</v>
      </c>
      <c r="D106" s="81"/>
      <c r="E106" s="6"/>
      <c r="F106" s="6"/>
      <c r="G106" s="6"/>
      <c r="H106" s="4"/>
      <c r="I106" s="166"/>
      <c r="J106" s="6"/>
      <c r="K106" s="6"/>
      <c r="L106" s="6"/>
      <c r="M106" s="91"/>
      <c r="N106" s="91"/>
      <c r="O106" s="91"/>
      <c r="P106" s="6"/>
      <c r="Q106" s="92"/>
      <c r="R106" s="92"/>
      <c r="S106" s="92"/>
      <c r="T106" s="6"/>
      <c r="U106" s="6"/>
      <c r="V106" s="6"/>
      <c r="W106" s="4"/>
      <c r="X106" s="6"/>
      <c r="Y106" s="6"/>
      <c r="Z106" s="92"/>
      <c r="AA106" s="6"/>
      <c r="AB106" s="6"/>
      <c r="AC106" s="6"/>
      <c r="AD106" s="6"/>
      <c r="AE106" s="6"/>
      <c r="AF106" s="6"/>
      <c r="AG106" s="93"/>
      <c r="AH106" s="110"/>
      <c r="AI106" s="110"/>
      <c r="AJ106" s="110"/>
      <c r="AK106" s="110"/>
      <c r="AL106" s="110"/>
      <c r="AM106" s="84"/>
      <c r="AN106" s="85">
        <v>30</v>
      </c>
      <c r="AO106" s="85"/>
      <c r="AP106" s="117" t="str">
        <f>C106</f>
        <v>0032</v>
      </c>
      <c r="AR106" s="9"/>
      <c r="AS106" s="9"/>
      <c r="AT106" s="162" t="str">
        <f t="shared" si="2"/>
        <v>-</v>
      </c>
      <c r="AU106" s="9"/>
      <c r="AV106" s="116"/>
    </row>
    <row r="107" spans="1:52" ht="15" customHeight="1" x14ac:dyDescent="0.25">
      <c r="A107" s="72">
        <v>105</v>
      </c>
      <c r="B107" s="80"/>
      <c r="C107" s="157" t="s">
        <v>1717</v>
      </c>
      <c r="D107" s="5" t="s">
        <v>650</v>
      </c>
      <c r="E107" s="5" t="s">
        <v>581</v>
      </c>
      <c r="F107" s="5" t="s">
        <v>580</v>
      </c>
      <c r="G107" s="5" t="s">
        <v>811</v>
      </c>
      <c r="H107" s="2"/>
      <c r="I107" s="165">
        <v>43101</v>
      </c>
      <c r="J107" s="5" t="s">
        <v>581</v>
      </c>
      <c r="K107" s="5" t="s">
        <v>1236</v>
      </c>
      <c r="L107" s="5" t="s">
        <v>1231</v>
      </c>
      <c r="M107" s="5" t="str">
        <f>CONCATENATE(K107," ",L107)</f>
        <v>ZITRON-ASCAZ HOSPITALARIA</v>
      </c>
      <c r="N107" s="5"/>
      <c r="O107" s="5"/>
      <c r="P107" s="5" t="s">
        <v>3</v>
      </c>
      <c r="Q107" s="87" t="s">
        <v>475</v>
      </c>
      <c r="R107" s="87" t="s">
        <v>297</v>
      </c>
      <c r="S107" s="87" t="s">
        <v>35</v>
      </c>
      <c r="T107" s="5" t="s">
        <v>2</v>
      </c>
      <c r="U107" s="5" t="s">
        <v>474</v>
      </c>
      <c r="V107" s="5" t="s">
        <v>665</v>
      </c>
      <c r="W107" s="2">
        <v>33063</v>
      </c>
      <c r="X107" s="7">
        <f ca="1">YEAR($X$1)-YEAR(W107)</f>
        <v>28</v>
      </c>
      <c r="Y107" s="5" t="s">
        <v>1</v>
      </c>
      <c r="Z107" s="87" t="s">
        <v>33</v>
      </c>
      <c r="AA107" s="5">
        <v>1</v>
      </c>
      <c r="AB107" s="5" t="s">
        <v>32</v>
      </c>
      <c r="AC107" s="5" t="s">
        <v>0</v>
      </c>
      <c r="AD107" s="5" t="s">
        <v>31</v>
      </c>
      <c r="AE107" s="5">
        <v>33208</v>
      </c>
      <c r="AF107" s="5">
        <v>667469527</v>
      </c>
      <c r="AG107" s="88" t="s">
        <v>925</v>
      </c>
      <c r="AH107" s="105" t="s">
        <v>257</v>
      </c>
      <c r="AI107" s="105" t="s">
        <v>1508</v>
      </c>
      <c r="AJ107" s="105" t="s">
        <v>168</v>
      </c>
      <c r="AK107" s="105" t="s">
        <v>1547</v>
      </c>
      <c r="AL107" s="105" t="s">
        <v>1548</v>
      </c>
      <c r="AM107" s="84"/>
      <c r="AN107" s="8"/>
      <c r="AO107" s="89">
        <v>10</v>
      </c>
      <c r="AQ107" s="116" t="str">
        <f>CONCATENATE("NS",C106,"AZ")</f>
        <v>NS0032AZ</v>
      </c>
      <c r="AR107" s="9" t="str">
        <f>CONCATENATE(Q107," ",R107," ",S107)</f>
        <v>DIEGO SUÁREZ PATALLO</v>
      </c>
      <c r="AS107" s="9"/>
      <c r="AT107" s="162" t="str">
        <f t="shared" si="2"/>
        <v>NS0032AZ-DIEGO SUÁREZ PATALLO</v>
      </c>
      <c r="AU107" s="9" t="str">
        <f>U107</f>
        <v>53648097E</v>
      </c>
      <c r="AV107" s="116"/>
      <c r="AW107" s="9" t="str">
        <f>CONCATENATE(AH107,AI107,AJ107,AK107,AL107)</f>
        <v>ES1830590106632958885010</v>
      </c>
      <c r="AZ107" s="159">
        <v>43101</v>
      </c>
    </row>
    <row r="108" spans="1:52" ht="15" customHeight="1" x14ac:dyDescent="0.25">
      <c r="A108" s="72">
        <v>106</v>
      </c>
      <c r="B108" s="80"/>
      <c r="C108" s="156" t="s">
        <v>1599</v>
      </c>
      <c r="D108" s="81"/>
      <c r="E108" s="6"/>
      <c r="F108" s="6"/>
      <c r="G108" s="6"/>
      <c r="H108" s="4"/>
      <c r="I108" s="166"/>
      <c r="J108" s="6"/>
      <c r="K108" s="6"/>
      <c r="L108" s="6"/>
      <c r="M108" s="91"/>
      <c r="N108" s="91"/>
      <c r="O108" s="91"/>
      <c r="P108" s="6"/>
      <c r="Q108" s="92"/>
      <c r="R108" s="92"/>
      <c r="S108" s="92"/>
      <c r="T108" s="6"/>
      <c r="U108" s="6"/>
      <c r="V108" s="6"/>
      <c r="W108" s="4"/>
      <c r="X108" s="6"/>
      <c r="Y108" s="6"/>
      <c r="Z108" s="92"/>
      <c r="AA108" s="6"/>
      <c r="AB108" s="6"/>
      <c r="AC108" s="6"/>
      <c r="AD108" s="6"/>
      <c r="AE108" s="6"/>
      <c r="AF108" s="6"/>
      <c r="AG108" s="93"/>
      <c r="AH108" s="110"/>
      <c r="AI108" s="110"/>
      <c r="AJ108" s="110"/>
      <c r="AK108" s="110"/>
      <c r="AL108" s="110"/>
      <c r="AM108" s="84"/>
      <c r="AN108" s="85">
        <v>30</v>
      </c>
      <c r="AO108" s="85"/>
      <c r="AP108" s="117" t="str">
        <f>C108</f>
        <v>0033</v>
      </c>
      <c r="AR108" s="9"/>
      <c r="AS108" s="9"/>
      <c r="AT108" s="162" t="str">
        <f t="shared" si="2"/>
        <v>-</v>
      </c>
      <c r="AU108" s="9"/>
      <c r="AV108" s="116"/>
    </row>
    <row r="109" spans="1:52" ht="15" customHeight="1" x14ac:dyDescent="0.25">
      <c r="A109" s="72">
        <v>107</v>
      </c>
      <c r="B109" s="80"/>
      <c r="C109" s="157" t="s">
        <v>1717</v>
      </c>
      <c r="D109" s="5" t="s">
        <v>651</v>
      </c>
      <c r="E109" s="5" t="s">
        <v>581</v>
      </c>
      <c r="F109" s="5" t="s">
        <v>580</v>
      </c>
      <c r="G109" s="5" t="s">
        <v>811</v>
      </c>
      <c r="H109" s="2"/>
      <c r="I109" s="165">
        <v>43119</v>
      </c>
      <c r="J109" s="5" t="s">
        <v>581</v>
      </c>
      <c r="K109" s="5" t="s">
        <v>1236</v>
      </c>
      <c r="L109" s="5" t="s">
        <v>1231</v>
      </c>
      <c r="M109" s="5" t="str">
        <f>CONCATENATE(K109," ",L109)</f>
        <v>ZITRON-ASCAZ HOSPITALARIA</v>
      </c>
      <c r="N109" s="5"/>
      <c r="O109" s="5"/>
      <c r="P109" s="5" t="s">
        <v>3</v>
      </c>
      <c r="Q109" s="87" t="s">
        <v>461</v>
      </c>
      <c r="R109" s="87" t="s">
        <v>174</v>
      </c>
      <c r="S109" s="87" t="s">
        <v>473</v>
      </c>
      <c r="T109" s="5" t="s">
        <v>2</v>
      </c>
      <c r="U109" s="5" t="s">
        <v>472</v>
      </c>
      <c r="V109" s="5" t="s">
        <v>665</v>
      </c>
      <c r="W109" s="2">
        <v>31164</v>
      </c>
      <c r="X109" s="7">
        <f ca="1">YEAR($X$1)-YEAR(W109)</f>
        <v>33</v>
      </c>
      <c r="Y109" s="5" t="s">
        <v>1</v>
      </c>
      <c r="Z109" s="87" t="s">
        <v>471</v>
      </c>
      <c r="AA109" s="5">
        <v>17</v>
      </c>
      <c r="AB109" s="5" t="s">
        <v>470</v>
      </c>
      <c r="AC109" s="5" t="s">
        <v>0</v>
      </c>
      <c r="AD109" s="5" t="s">
        <v>31</v>
      </c>
      <c r="AE109" s="5">
        <v>33210</v>
      </c>
      <c r="AF109" s="5">
        <v>687393200</v>
      </c>
      <c r="AG109" s="152" t="s">
        <v>926</v>
      </c>
      <c r="AH109" s="105" t="s">
        <v>1549</v>
      </c>
      <c r="AI109" s="105" t="s">
        <v>1397</v>
      </c>
      <c r="AJ109" s="105" t="s">
        <v>1550</v>
      </c>
      <c r="AK109" s="105" t="s">
        <v>1551</v>
      </c>
      <c r="AL109" s="105" t="s">
        <v>1552</v>
      </c>
      <c r="AM109" s="84"/>
      <c r="AN109" s="8"/>
      <c r="AO109" s="89">
        <v>10</v>
      </c>
      <c r="AQ109" s="116" t="str">
        <f>CONCATENATE("NS",C108,"AZ")</f>
        <v>NS0033AZ</v>
      </c>
      <c r="AR109" s="9" t="str">
        <f>CONCATENATE(Q109," ",R109," ",S109)</f>
        <v>ADRIAN MENÉNDEZ CORTINA</v>
      </c>
      <c r="AS109" s="9"/>
      <c r="AT109" s="162" t="str">
        <f t="shared" si="2"/>
        <v>NS0033AZ-ADRIAN MENÉNDEZ CORTINA</v>
      </c>
      <c r="AU109" s="9" t="str">
        <f>U109</f>
        <v>53535124W</v>
      </c>
      <c r="AV109" s="116"/>
      <c r="AW109" s="9" t="str">
        <f>CONCATENATE(AH109,AI109,AJ109,AK109,AL109)</f>
        <v>ES1421005855380100068606</v>
      </c>
      <c r="AZ109" s="159">
        <v>43119</v>
      </c>
    </row>
    <row r="110" spans="1:52" ht="15" customHeight="1" x14ac:dyDescent="0.25">
      <c r="A110" s="72">
        <v>108</v>
      </c>
      <c r="B110" s="80"/>
      <c r="C110" s="156" t="s">
        <v>1600</v>
      </c>
      <c r="D110" s="81"/>
      <c r="E110" s="6"/>
      <c r="F110" s="6"/>
      <c r="G110" s="6"/>
      <c r="H110" s="4"/>
      <c r="I110" s="166"/>
      <c r="J110" s="6"/>
      <c r="K110" s="6"/>
      <c r="L110" s="6"/>
      <c r="M110" s="91"/>
      <c r="N110" s="91"/>
      <c r="O110" s="91"/>
      <c r="P110" s="6"/>
      <c r="Q110" s="92"/>
      <c r="R110" s="92"/>
      <c r="S110" s="92"/>
      <c r="T110" s="6"/>
      <c r="U110" s="6"/>
      <c r="V110" s="6"/>
      <c r="W110" s="4"/>
      <c r="X110" s="6"/>
      <c r="Y110" s="6"/>
      <c r="Z110" s="92"/>
      <c r="AA110" s="6"/>
      <c r="AB110" s="6"/>
      <c r="AC110" s="6"/>
      <c r="AD110" s="6"/>
      <c r="AE110" s="6"/>
      <c r="AF110" s="6"/>
      <c r="AG110" s="93"/>
      <c r="AH110" s="110"/>
      <c r="AI110" s="110"/>
      <c r="AJ110" s="110"/>
      <c r="AK110" s="110"/>
      <c r="AL110" s="110"/>
      <c r="AM110" s="84"/>
      <c r="AN110" s="85">
        <v>30</v>
      </c>
      <c r="AO110" s="85"/>
      <c r="AP110" s="117" t="str">
        <f>C110</f>
        <v>0034</v>
      </c>
      <c r="AR110" s="9"/>
      <c r="AS110" s="9"/>
      <c r="AT110" s="162" t="str">
        <f t="shared" si="2"/>
        <v>-</v>
      </c>
      <c r="AU110" s="9"/>
      <c r="AV110" s="116"/>
    </row>
    <row r="111" spans="1:52" ht="15" customHeight="1" x14ac:dyDescent="0.25">
      <c r="A111" s="72">
        <v>109</v>
      </c>
      <c r="B111" s="80"/>
      <c r="C111" s="157" t="s">
        <v>1717</v>
      </c>
      <c r="D111" s="5" t="s">
        <v>652</v>
      </c>
      <c r="E111" s="5" t="s">
        <v>581</v>
      </c>
      <c r="F111" s="5" t="s">
        <v>580</v>
      </c>
      <c r="G111" s="5" t="s">
        <v>811</v>
      </c>
      <c r="H111" s="2"/>
      <c r="I111" s="165">
        <v>43102</v>
      </c>
      <c r="J111" s="5" t="s">
        <v>581</v>
      </c>
      <c r="K111" s="5" t="s">
        <v>1236</v>
      </c>
      <c r="L111" s="5" t="s">
        <v>1231</v>
      </c>
      <c r="M111" s="5" t="str">
        <f>CONCATENATE(K111," ",L111)</f>
        <v>ZITRON-ASCAZ HOSPITALARIA</v>
      </c>
      <c r="N111" s="5"/>
      <c r="O111" s="5"/>
      <c r="P111" s="5" t="s">
        <v>3</v>
      </c>
      <c r="Q111" s="87" t="s">
        <v>927</v>
      </c>
      <c r="R111" s="87" t="s">
        <v>928</v>
      </c>
      <c r="S111" s="87" t="s">
        <v>929</v>
      </c>
      <c r="T111" s="5" t="s">
        <v>2</v>
      </c>
      <c r="U111" s="5" t="s">
        <v>469</v>
      </c>
      <c r="V111" s="5" t="s">
        <v>665</v>
      </c>
      <c r="W111" s="2">
        <v>30644</v>
      </c>
      <c r="X111" s="7">
        <f ca="1">YEAR($X$1)-YEAR(W111)</f>
        <v>35</v>
      </c>
      <c r="Y111" s="5" t="s">
        <v>1</v>
      </c>
      <c r="Z111" s="87" t="s">
        <v>930</v>
      </c>
      <c r="AA111" s="5">
        <v>17</v>
      </c>
      <c r="AB111" s="5" t="s">
        <v>931</v>
      </c>
      <c r="AC111" s="5" t="s">
        <v>0</v>
      </c>
      <c r="AD111" s="5" t="s">
        <v>932</v>
      </c>
      <c r="AE111" s="5">
        <v>33420</v>
      </c>
      <c r="AF111" s="5">
        <v>646694363</v>
      </c>
      <c r="AG111" s="88" t="s">
        <v>933</v>
      </c>
      <c r="AH111" s="105" t="s">
        <v>1306</v>
      </c>
      <c r="AI111" s="105" t="s">
        <v>28</v>
      </c>
      <c r="AJ111" s="105" t="s">
        <v>1553</v>
      </c>
      <c r="AK111" s="105" t="s">
        <v>1554</v>
      </c>
      <c r="AL111" s="105" t="s">
        <v>1555</v>
      </c>
      <c r="AM111" s="84"/>
      <c r="AN111" s="8"/>
      <c r="AO111" s="89">
        <v>10</v>
      </c>
      <c r="AQ111" s="116" t="str">
        <f>CONCATENATE("NS",C110,"AZ")</f>
        <v>NS0034AZ</v>
      </c>
      <c r="AR111" s="9" t="str">
        <f>CONCATENATE(Q111," ",R111," ",S111)</f>
        <v>JUAN CARLOS ALONSO  CANDANEDO</v>
      </c>
      <c r="AS111" s="9"/>
      <c r="AT111" s="162" t="str">
        <f t="shared" si="2"/>
        <v>NS0034AZ-JUAN CARLOS ALONSO  CANDANEDO</v>
      </c>
      <c r="AU111" s="9" t="str">
        <f>U111</f>
        <v>09813820L</v>
      </c>
      <c r="AV111" s="116"/>
      <c r="AW111" s="9" t="str">
        <f>CONCATENATE(AH111,AI111,AJ111,AK111,AL111)</f>
        <v>ES0901820715460201553722</v>
      </c>
      <c r="AZ111" s="159">
        <v>43102</v>
      </c>
    </row>
    <row r="112" spans="1:52" ht="15" customHeight="1" x14ac:dyDescent="0.25">
      <c r="A112" s="72">
        <v>110</v>
      </c>
      <c r="B112" s="80"/>
      <c r="C112" s="157" t="s">
        <v>1717</v>
      </c>
      <c r="D112" s="5" t="s">
        <v>653</v>
      </c>
      <c r="E112" s="5" t="s">
        <v>581</v>
      </c>
      <c r="F112" s="5" t="s">
        <v>580</v>
      </c>
      <c r="G112" s="5" t="s">
        <v>811</v>
      </c>
      <c r="H112" s="2"/>
      <c r="I112" s="165"/>
      <c r="J112" s="5" t="s">
        <v>581</v>
      </c>
      <c r="K112" s="5" t="s">
        <v>1236</v>
      </c>
      <c r="L112" s="5" t="s">
        <v>1231</v>
      </c>
      <c r="M112" s="5" t="str">
        <f>CONCATENATE(K112," ",L112)</f>
        <v>ZITRON-ASCAZ HOSPITALARIA</v>
      </c>
      <c r="N112" s="5"/>
      <c r="O112" s="5"/>
      <c r="P112" s="5" t="s">
        <v>43</v>
      </c>
      <c r="Q112" s="87" t="s">
        <v>934</v>
      </c>
      <c r="R112" s="87" t="s">
        <v>935</v>
      </c>
      <c r="S112" s="87" t="s">
        <v>936</v>
      </c>
      <c r="T112" s="5" t="s">
        <v>2</v>
      </c>
      <c r="U112" s="5" t="s">
        <v>468</v>
      </c>
      <c r="V112" s="5" t="s">
        <v>646</v>
      </c>
      <c r="W112" s="2">
        <v>32461</v>
      </c>
      <c r="X112" s="7">
        <f ca="1">YEAR($X$1)-YEAR(W112)</f>
        <v>30</v>
      </c>
      <c r="Y112" s="5"/>
      <c r="Z112" s="87"/>
      <c r="AA112" s="5"/>
      <c r="AB112" s="5"/>
      <c r="AC112" s="5"/>
      <c r="AD112" s="5"/>
      <c r="AE112" s="5"/>
      <c r="AF112" s="5">
        <v>635211107</v>
      </c>
      <c r="AG112" s="88" t="s">
        <v>937</v>
      </c>
      <c r="AH112" s="105"/>
      <c r="AI112" s="105"/>
      <c r="AJ112" s="105"/>
      <c r="AK112" s="105"/>
      <c r="AL112" s="105"/>
      <c r="AM112" s="84"/>
      <c r="AN112" s="8"/>
      <c r="AO112" s="89">
        <v>10</v>
      </c>
      <c r="AR112" s="9"/>
      <c r="AS112" s="9"/>
      <c r="AT112" s="162" t="str">
        <f t="shared" si="2"/>
        <v>-</v>
      </c>
      <c r="AU112" s="9"/>
      <c r="AV112" s="116"/>
    </row>
    <row r="113" spans="1:52" ht="15" customHeight="1" x14ac:dyDescent="0.25">
      <c r="A113" s="72">
        <v>111</v>
      </c>
      <c r="B113" s="80"/>
      <c r="C113" s="157" t="s">
        <v>1717</v>
      </c>
      <c r="D113" s="5" t="s">
        <v>654</v>
      </c>
      <c r="E113" s="5" t="s">
        <v>581</v>
      </c>
      <c r="F113" s="5" t="s">
        <v>580</v>
      </c>
      <c r="G113" s="5" t="s">
        <v>811</v>
      </c>
      <c r="H113" s="2"/>
      <c r="I113" s="165"/>
      <c r="J113" s="5" t="s">
        <v>581</v>
      </c>
      <c r="K113" s="5" t="s">
        <v>1236</v>
      </c>
      <c r="L113" s="5" t="s">
        <v>1230</v>
      </c>
      <c r="M113" s="5" t="str">
        <f>CONCATENATE(K113," ",L113)</f>
        <v>ZITRON-ASCAZ AMBULATORIA</v>
      </c>
      <c r="N113" s="5"/>
      <c r="O113" s="5"/>
      <c r="P113" s="90" t="s">
        <v>815</v>
      </c>
      <c r="Q113" s="87" t="s">
        <v>938</v>
      </c>
      <c r="R113" s="87" t="s">
        <v>286</v>
      </c>
      <c r="S113" s="87" t="s">
        <v>935</v>
      </c>
      <c r="T113" s="5"/>
      <c r="U113" s="5"/>
      <c r="V113" s="5" t="s">
        <v>646</v>
      </c>
      <c r="W113" s="2">
        <v>43090</v>
      </c>
      <c r="X113" s="7">
        <f ca="1">YEAR($X$1)-YEAR(W113)</f>
        <v>1</v>
      </c>
      <c r="Y113" s="5"/>
      <c r="Z113" s="87"/>
      <c r="AA113" s="5"/>
      <c r="AB113" s="5"/>
      <c r="AC113" s="5"/>
      <c r="AD113" s="5"/>
      <c r="AE113" s="5"/>
      <c r="AF113" s="5"/>
      <c r="AG113" s="88"/>
      <c r="AH113" s="105"/>
      <c r="AI113" s="105"/>
      <c r="AJ113" s="105"/>
      <c r="AK113" s="105"/>
      <c r="AL113" s="105"/>
      <c r="AM113" s="84"/>
      <c r="AN113" s="8"/>
      <c r="AO113" s="89">
        <v>10</v>
      </c>
      <c r="AR113" s="9"/>
      <c r="AS113" s="9"/>
      <c r="AT113" s="162" t="str">
        <f t="shared" si="2"/>
        <v>-</v>
      </c>
      <c r="AU113" s="9"/>
      <c r="AV113" s="116"/>
    </row>
    <row r="114" spans="1:52" ht="15" customHeight="1" x14ac:dyDescent="0.25">
      <c r="A114" s="72">
        <v>112</v>
      </c>
      <c r="B114" s="80"/>
      <c r="C114" s="156" t="s">
        <v>1601</v>
      </c>
      <c r="D114" s="81"/>
      <c r="E114" s="6"/>
      <c r="F114" s="6"/>
      <c r="G114" s="6"/>
      <c r="H114" s="4"/>
      <c r="I114" s="166"/>
      <c r="J114" s="6"/>
      <c r="K114" s="6"/>
      <c r="L114" s="6"/>
      <c r="M114" s="91"/>
      <c r="N114" s="91"/>
      <c r="O114" s="91"/>
      <c r="P114" s="6"/>
      <c r="Q114" s="92"/>
      <c r="R114" s="92"/>
      <c r="S114" s="92"/>
      <c r="T114" s="6"/>
      <c r="U114" s="6"/>
      <c r="V114" s="6"/>
      <c r="W114" s="4"/>
      <c r="X114" s="6"/>
      <c r="Y114" s="6"/>
      <c r="Z114" s="92"/>
      <c r="AA114" s="6"/>
      <c r="AB114" s="6"/>
      <c r="AC114" s="6"/>
      <c r="AD114" s="6"/>
      <c r="AE114" s="6"/>
      <c r="AF114" s="6"/>
      <c r="AG114" s="93"/>
      <c r="AH114" s="110"/>
      <c r="AI114" s="110"/>
      <c r="AJ114" s="110"/>
      <c r="AK114" s="110"/>
      <c r="AL114" s="110"/>
      <c r="AM114" s="84"/>
      <c r="AN114" s="85">
        <v>30</v>
      </c>
      <c r="AO114" s="85"/>
      <c r="AP114" s="117" t="str">
        <f>C114</f>
        <v>0035</v>
      </c>
      <c r="AR114" s="9"/>
      <c r="AS114" s="9"/>
      <c r="AT114" s="162" t="str">
        <f t="shared" si="2"/>
        <v>-</v>
      </c>
      <c r="AU114" s="9"/>
      <c r="AV114" s="116"/>
    </row>
    <row r="115" spans="1:52" ht="15" customHeight="1" x14ac:dyDescent="0.25">
      <c r="A115" s="72">
        <v>113</v>
      </c>
      <c r="B115" s="80"/>
      <c r="C115" s="157" t="s">
        <v>1717</v>
      </c>
      <c r="D115" s="5" t="s">
        <v>655</v>
      </c>
      <c r="E115" s="5" t="s">
        <v>581</v>
      </c>
      <c r="F115" s="5" t="s">
        <v>580</v>
      </c>
      <c r="G115" s="5" t="s">
        <v>811</v>
      </c>
      <c r="H115" s="2"/>
      <c r="I115" s="165">
        <v>43110</v>
      </c>
      <c r="J115" s="5" t="s">
        <v>581</v>
      </c>
      <c r="K115" s="5" t="s">
        <v>1236</v>
      </c>
      <c r="L115" s="5" t="s">
        <v>1231</v>
      </c>
      <c r="M115" s="5" t="str">
        <f>CONCATENATE(K115," ",L115)</f>
        <v>ZITRON-ASCAZ HOSPITALARIA</v>
      </c>
      <c r="N115" s="5"/>
      <c r="O115" s="5"/>
      <c r="P115" s="5" t="s">
        <v>3</v>
      </c>
      <c r="Q115" s="87" t="s">
        <v>939</v>
      </c>
      <c r="R115" s="87" t="s">
        <v>297</v>
      </c>
      <c r="S115" s="87" t="s">
        <v>63</v>
      </c>
      <c r="T115" s="5" t="s">
        <v>2</v>
      </c>
      <c r="U115" s="5" t="s">
        <v>467</v>
      </c>
      <c r="V115" s="5" t="s">
        <v>665</v>
      </c>
      <c r="W115" s="2">
        <v>24990</v>
      </c>
      <c r="X115" s="7">
        <f ca="1">YEAR($X$1)-YEAR(W115)</f>
        <v>50</v>
      </c>
      <c r="Y115" s="5" t="s">
        <v>1</v>
      </c>
      <c r="Z115" s="87" t="s">
        <v>940</v>
      </c>
      <c r="AA115" s="5">
        <v>14</v>
      </c>
      <c r="AB115" s="5" t="s">
        <v>251</v>
      </c>
      <c r="AC115" s="5" t="s">
        <v>0</v>
      </c>
      <c r="AD115" s="5" t="s">
        <v>7</v>
      </c>
      <c r="AE115" s="5">
        <v>33006</v>
      </c>
      <c r="AF115" s="5">
        <v>666522458</v>
      </c>
      <c r="AG115" s="88" t="s">
        <v>941</v>
      </c>
      <c r="AH115" s="105" t="s">
        <v>1360</v>
      </c>
      <c r="AI115" s="105" t="s">
        <v>13</v>
      </c>
      <c r="AJ115" s="105" t="s">
        <v>1556</v>
      </c>
      <c r="AK115" s="105" t="s">
        <v>1557</v>
      </c>
      <c r="AL115" s="105" t="s">
        <v>1558</v>
      </c>
      <c r="AM115" s="84"/>
      <c r="AN115" s="8"/>
      <c r="AO115" s="89">
        <v>10</v>
      </c>
      <c r="AQ115" s="116" t="str">
        <f>CONCATENATE("NS",C114,"AZ")</f>
        <v>NS0035AZ</v>
      </c>
      <c r="AR115" s="9" t="str">
        <f>CONCATENATE(Q115," ",R115," ",S115)</f>
        <v>JUSTO SUÁREZ FERNÁNDEZ</v>
      </c>
      <c r="AS115" s="9"/>
      <c r="AT115" s="162" t="str">
        <f t="shared" si="2"/>
        <v>NS0035AZ-JUSTO SUÁREZ FERNÁNDEZ</v>
      </c>
      <c r="AU115" s="9" t="str">
        <f>U115</f>
        <v>09388805K</v>
      </c>
      <c r="AV115" s="116"/>
      <c r="AW115" s="9" t="str">
        <f>CONCATENATE(AH115,AI115,AJ115,AK115,AL115)</f>
        <v>ES2700815303900006356843</v>
      </c>
      <c r="AZ115" s="159">
        <v>43110</v>
      </c>
    </row>
    <row r="116" spans="1:52" ht="15" customHeight="1" x14ac:dyDescent="0.25">
      <c r="A116" s="72">
        <v>114</v>
      </c>
      <c r="B116" s="80"/>
      <c r="C116" s="156" t="s">
        <v>1602</v>
      </c>
      <c r="D116" s="81"/>
      <c r="E116" s="6"/>
      <c r="F116" s="6"/>
      <c r="G116" s="6"/>
      <c r="H116" s="4"/>
      <c r="I116" s="166"/>
      <c r="J116" s="6"/>
      <c r="K116" s="6"/>
      <c r="L116" s="6"/>
      <c r="M116" s="91"/>
      <c r="N116" s="91"/>
      <c r="O116" s="91"/>
      <c r="P116" s="6"/>
      <c r="Q116" s="92"/>
      <c r="R116" s="92"/>
      <c r="S116" s="92"/>
      <c r="T116" s="6"/>
      <c r="U116" s="6"/>
      <c r="V116" s="6"/>
      <c r="W116" s="4"/>
      <c r="X116" s="6"/>
      <c r="Y116" s="6"/>
      <c r="Z116" s="92"/>
      <c r="AA116" s="6"/>
      <c r="AB116" s="6"/>
      <c r="AC116" s="6"/>
      <c r="AD116" s="6"/>
      <c r="AE116" s="6"/>
      <c r="AF116" s="6"/>
      <c r="AG116" s="93"/>
      <c r="AH116" s="110"/>
      <c r="AI116" s="110"/>
      <c r="AJ116" s="110"/>
      <c r="AK116" s="110"/>
      <c r="AL116" s="110"/>
      <c r="AM116" s="84"/>
      <c r="AN116" s="85">
        <v>30</v>
      </c>
      <c r="AO116" s="85"/>
      <c r="AP116" s="117" t="str">
        <f>C116</f>
        <v>0036</v>
      </c>
      <c r="AR116" s="9"/>
      <c r="AS116" s="9"/>
      <c r="AT116" s="162" t="str">
        <f t="shared" si="2"/>
        <v>-</v>
      </c>
      <c r="AU116" s="9"/>
      <c r="AV116" s="116"/>
    </row>
    <row r="117" spans="1:52" ht="15" customHeight="1" x14ac:dyDescent="0.25">
      <c r="A117" s="72">
        <v>115</v>
      </c>
      <c r="B117" s="80"/>
      <c r="C117" s="157" t="s">
        <v>1717</v>
      </c>
      <c r="D117" s="5" t="s">
        <v>656</v>
      </c>
      <c r="E117" s="5" t="s">
        <v>581</v>
      </c>
      <c r="F117" s="5" t="s">
        <v>580</v>
      </c>
      <c r="G117" s="5" t="s">
        <v>811</v>
      </c>
      <c r="H117" s="2"/>
      <c r="I117" s="165">
        <v>43112</v>
      </c>
      <c r="J117" s="5" t="s">
        <v>581</v>
      </c>
      <c r="K117" s="5" t="s">
        <v>1236</v>
      </c>
      <c r="L117" s="5" t="s">
        <v>1231</v>
      </c>
      <c r="M117" s="5" t="str">
        <f>CONCATENATE(K117," ",L117)</f>
        <v>ZITRON-ASCAZ HOSPITALARIA</v>
      </c>
      <c r="N117" s="5"/>
      <c r="O117" s="5"/>
      <c r="P117" s="5" t="s">
        <v>3</v>
      </c>
      <c r="Q117" s="87" t="s">
        <v>942</v>
      </c>
      <c r="R117" s="87" t="s">
        <v>943</v>
      </c>
      <c r="S117" s="87"/>
      <c r="T117" s="5" t="s">
        <v>451</v>
      </c>
      <c r="U117" s="5" t="s">
        <v>466</v>
      </c>
      <c r="V117" s="5" t="s">
        <v>646</v>
      </c>
      <c r="W117" s="2">
        <v>29337</v>
      </c>
      <c r="X117" s="7">
        <f ca="1">YEAR($X$1)-YEAR(W117)</f>
        <v>38</v>
      </c>
      <c r="Y117" s="5" t="s">
        <v>171</v>
      </c>
      <c r="Z117" s="87" t="s">
        <v>944</v>
      </c>
      <c r="AA117" s="5">
        <v>30</v>
      </c>
      <c r="AB117" s="5">
        <v>7</v>
      </c>
      <c r="AC117" s="5" t="s">
        <v>0</v>
      </c>
      <c r="AD117" s="5" t="s">
        <v>38</v>
      </c>
      <c r="AE117" s="5">
        <v>33930</v>
      </c>
      <c r="AF117" s="5">
        <v>679373334</v>
      </c>
      <c r="AG117" s="88" t="s">
        <v>945</v>
      </c>
      <c r="AH117" s="105" t="s">
        <v>127</v>
      </c>
      <c r="AI117" s="105" t="s">
        <v>102</v>
      </c>
      <c r="AJ117" s="105" t="s">
        <v>77</v>
      </c>
      <c r="AK117" s="105" t="s">
        <v>1559</v>
      </c>
      <c r="AL117" s="105" t="s">
        <v>1560</v>
      </c>
      <c r="AM117" s="84"/>
      <c r="AN117" s="8"/>
      <c r="AO117" s="89">
        <v>10</v>
      </c>
      <c r="AQ117" s="116" t="str">
        <f>CONCATENATE("NS",C116,"AZ")</f>
        <v>NS0036AZ</v>
      </c>
      <c r="AR117" s="9" t="str">
        <f>CONCATENATE(Q117," ",R117," ",S117)</f>
        <v xml:space="preserve">VICTORIA KATE TILLEY </v>
      </c>
      <c r="AS117" s="9"/>
      <c r="AT117" s="162" t="str">
        <f t="shared" si="2"/>
        <v xml:space="preserve">NS0036AZ-VICTORIA KATE TILLEY </v>
      </c>
      <c r="AU117" s="9" t="str">
        <f>U117</f>
        <v>X8330031Y</v>
      </c>
      <c r="AV117" s="116"/>
      <c r="AW117" s="9" t="str">
        <f>CONCATENATE(AH117,AI117,AJ117,AK117,AL117)</f>
        <v>ES3814650100951711314375</v>
      </c>
      <c r="AZ117" s="159">
        <v>43112</v>
      </c>
    </row>
    <row r="118" spans="1:52" ht="15" customHeight="1" x14ac:dyDescent="0.25">
      <c r="A118" s="72">
        <v>116</v>
      </c>
      <c r="B118" s="80"/>
      <c r="C118" s="157" t="s">
        <v>1717</v>
      </c>
      <c r="D118" s="5" t="s">
        <v>657</v>
      </c>
      <c r="E118" s="5" t="s">
        <v>581</v>
      </c>
      <c r="F118" s="5" t="s">
        <v>580</v>
      </c>
      <c r="G118" s="5" t="s">
        <v>811</v>
      </c>
      <c r="H118" s="2"/>
      <c r="I118" s="165"/>
      <c r="J118" s="5" t="s">
        <v>581</v>
      </c>
      <c r="K118" s="5" t="s">
        <v>1236</v>
      </c>
      <c r="L118" s="5" t="s">
        <v>1231</v>
      </c>
      <c r="M118" s="5" t="str">
        <f>CONCATENATE(K118," ",L118)</f>
        <v>ZITRON-ASCAZ HOSPITALARIA</v>
      </c>
      <c r="N118" s="5"/>
      <c r="O118" s="5"/>
      <c r="P118" s="5" t="s">
        <v>43</v>
      </c>
      <c r="Q118" s="87" t="s">
        <v>946</v>
      </c>
      <c r="R118" s="87" t="s">
        <v>947</v>
      </c>
      <c r="S118" s="87" t="s">
        <v>1160</v>
      </c>
      <c r="T118" s="5" t="s">
        <v>2</v>
      </c>
      <c r="U118" s="5" t="s">
        <v>465</v>
      </c>
      <c r="V118" s="5" t="s">
        <v>665</v>
      </c>
      <c r="W118" s="2">
        <v>28218</v>
      </c>
      <c r="X118" s="7">
        <f ca="1">YEAR($X$1)-YEAR(W118)</f>
        <v>41</v>
      </c>
      <c r="Y118" s="5"/>
      <c r="Z118" s="87"/>
      <c r="AA118" s="5"/>
      <c r="AB118" s="5"/>
      <c r="AC118" s="5"/>
      <c r="AD118" s="5"/>
      <c r="AE118" s="5"/>
      <c r="AF118" s="5">
        <v>664766119</v>
      </c>
      <c r="AG118" s="88" t="s">
        <v>948</v>
      </c>
      <c r="AH118" s="105"/>
      <c r="AI118" s="105"/>
      <c r="AJ118" s="105"/>
      <c r="AK118" s="105"/>
      <c r="AL118" s="105"/>
      <c r="AM118" s="84"/>
      <c r="AN118" s="8"/>
      <c r="AO118" s="89">
        <v>10</v>
      </c>
      <c r="AR118" s="9"/>
      <c r="AS118" s="9"/>
      <c r="AT118" s="162" t="str">
        <f t="shared" si="2"/>
        <v>-</v>
      </c>
      <c r="AU118" s="9"/>
      <c r="AV118" s="116"/>
    </row>
    <row r="119" spans="1:52" ht="15" customHeight="1" x14ac:dyDescent="0.25">
      <c r="A119" s="72">
        <v>117</v>
      </c>
      <c r="B119" s="80"/>
      <c r="C119" s="156" t="s">
        <v>1603</v>
      </c>
      <c r="D119" s="81"/>
      <c r="E119" s="6"/>
      <c r="F119" s="6"/>
      <c r="G119" s="6"/>
      <c r="H119" s="4"/>
      <c r="I119" s="166"/>
      <c r="J119" s="6"/>
      <c r="K119" s="6"/>
      <c r="L119" s="6"/>
      <c r="M119" s="91"/>
      <c r="N119" s="91"/>
      <c r="O119" s="91"/>
      <c r="P119" s="6"/>
      <c r="Q119" s="92"/>
      <c r="R119" s="92"/>
      <c r="S119" s="92"/>
      <c r="T119" s="6"/>
      <c r="U119" s="6"/>
      <c r="V119" s="6"/>
      <c r="W119" s="4"/>
      <c r="X119" s="6"/>
      <c r="Y119" s="6"/>
      <c r="Z119" s="92"/>
      <c r="AA119" s="6"/>
      <c r="AB119" s="6"/>
      <c r="AC119" s="6"/>
      <c r="AD119" s="6"/>
      <c r="AE119" s="6"/>
      <c r="AF119" s="6"/>
      <c r="AG119" s="93"/>
      <c r="AH119" s="110"/>
      <c r="AI119" s="110"/>
      <c r="AJ119" s="110"/>
      <c r="AK119" s="110"/>
      <c r="AL119" s="110"/>
      <c r="AM119" s="84"/>
      <c r="AN119" s="85">
        <v>30</v>
      </c>
      <c r="AO119" s="85"/>
      <c r="AP119" s="117" t="str">
        <f>C119</f>
        <v>0037</v>
      </c>
      <c r="AR119" s="9"/>
      <c r="AS119" s="9"/>
      <c r="AT119" s="162" t="str">
        <f t="shared" si="2"/>
        <v>-</v>
      </c>
      <c r="AU119" s="9"/>
      <c r="AV119" s="116"/>
    </row>
    <row r="120" spans="1:52" ht="15" customHeight="1" x14ac:dyDescent="0.25">
      <c r="A120" s="72">
        <v>118</v>
      </c>
      <c r="B120" s="80"/>
      <c r="C120" s="157" t="s">
        <v>1717</v>
      </c>
      <c r="D120" s="5" t="s">
        <v>659</v>
      </c>
      <c r="E120" s="5" t="s">
        <v>581</v>
      </c>
      <c r="F120" s="5" t="s">
        <v>580</v>
      </c>
      <c r="G120" s="5" t="s">
        <v>811</v>
      </c>
      <c r="H120" s="2"/>
      <c r="I120" s="165">
        <v>43112</v>
      </c>
      <c r="J120" s="5" t="s">
        <v>581</v>
      </c>
      <c r="K120" s="5" t="s">
        <v>1236</v>
      </c>
      <c r="L120" s="5" t="s">
        <v>1231</v>
      </c>
      <c r="M120" s="5" t="str">
        <f>CONCATENATE(K120," ",L120)</f>
        <v>ZITRON-ASCAZ HOSPITALARIA</v>
      </c>
      <c r="N120" s="5"/>
      <c r="O120" s="5"/>
      <c r="P120" s="5" t="s">
        <v>3</v>
      </c>
      <c r="Q120" s="87" t="s">
        <v>424</v>
      </c>
      <c r="R120" s="87" t="s">
        <v>286</v>
      </c>
      <c r="S120" s="87" t="s">
        <v>547</v>
      </c>
      <c r="T120" s="5" t="s">
        <v>2</v>
      </c>
      <c r="U120" s="5" t="s">
        <v>423</v>
      </c>
      <c r="V120" s="5" t="s">
        <v>646</v>
      </c>
      <c r="W120" s="2">
        <v>29860</v>
      </c>
      <c r="X120" s="7">
        <f ca="1">YEAR($X$1)-YEAR(W120)</f>
        <v>37</v>
      </c>
      <c r="Y120" s="5" t="s">
        <v>1</v>
      </c>
      <c r="Z120" s="87" t="s">
        <v>1156</v>
      </c>
      <c r="AA120" s="5">
        <v>4</v>
      </c>
      <c r="AB120" s="5" t="s">
        <v>104</v>
      </c>
      <c r="AC120" s="5" t="s">
        <v>0</v>
      </c>
      <c r="AD120" s="5" t="s">
        <v>31</v>
      </c>
      <c r="AE120" s="5">
        <v>33211</v>
      </c>
      <c r="AF120" s="5">
        <v>697222761</v>
      </c>
      <c r="AG120" s="88" t="s">
        <v>949</v>
      </c>
      <c r="AH120" s="105" t="s">
        <v>1561</v>
      </c>
      <c r="AI120" s="105" t="s">
        <v>1286</v>
      </c>
      <c r="AJ120" s="105" t="s">
        <v>1562</v>
      </c>
      <c r="AK120" s="105" t="s">
        <v>1563</v>
      </c>
      <c r="AL120" s="105" t="s">
        <v>1564</v>
      </c>
      <c r="AM120" s="84"/>
      <c r="AN120" s="8"/>
      <c r="AO120" s="89">
        <v>10</v>
      </c>
      <c r="AQ120" s="116" t="str">
        <f>CONCATENATE("NS",C119,"AZ")</f>
        <v>NS0037AZ</v>
      </c>
      <c r="AR120" s="9" t="str">
        <f>CONCATENATE(Q120," ",R120," ",S120)</f>
        <v>ROSANA ALONSO BARBÓN</v>
      </c>
      <c r="AS120" s="9"/>
      <c r="AT120" s="162" t="str">
        <f t="shared" si="2"/>
        <v>NS0037AZ-ROSANA ALONSO BARBÓN</v>
      </c>
      <c r="AU120" s="9" t="str">
        <f>U120</f>
        <v>76951619J</v>
      </c>
      <c r="AV120" s="116"/>
      <c r="AW120" s="9" t="str">
        <f>CONCATENATE(AH120,AI120,AJ120,AK120,AL120)</f>
        <v>ES0320480041653000180867</v>
      </c>
      <c r="AZ120" s="159">
        <v>43112</v>
      </c>
    </row>
    <row r="121" spans="1:52" ht="15" customHeight="1" x14ac:dyDescent="0.25">
      <c r="A121" s="72">
        <v>119</v>
      </c>
      <c r="B121" s="80"/>
      <c r="C121" s="157" t="s">
        <v>1717</v>
      </c>
      <c r="D121" s="5" t="s">
        <v>658</v>
      </c>
      <c r="E121" s="5" t="s">
        <v>581</v>
      </c>
      <c r="F121" s="5" t="s">
        <v>580</v>
      </c>
      <c r="G121" s="5" t="s">
        <v>811</v>
      </c>
      <c r="H121" s="2"/>
      <c r="I121" s="165"/>
      <c r="J121" s="5" t="s">
        <v>581</v>
      </c>
      <c r="K121" s="5" t="s">
        <v>1236</v>
      </c>
      <c r="L121" s="5" t="s">
        <v>1231</v>
      </c>
      <c r="M121" s="5" t="str">
        <f>CONCATENATE(K121," ",L121)</f>
        <v>ZITRON-ASCAZ HOSPITALARIA</v>
      </c>
      <c r="N121" s="5"/>
      <c r="O121" s="5"/>
      <c r="P121" s="5" t="s">
        <v>43</v>
      </c>
      <c r="Q121" s="87" t="s">
        <v>464</v>
      </c>
      <c r="R121" s="87" t="s">
        <v>463</v>
      </c>
      <c r="S121" s="87" t="s">
        <v>1146</v>
      </c>
      <c r="T121" s="5" t="s">
        <v>2</v>
      </c>
      <c r="U121" s="5" t="s">
        <v>462</v>
      </c>
      <c r="V121" s="5" t="s">
        <v>665</v>
      </c>
      <c r="W121" s="2">
        <v>28964</v>
      </c>
      <c r="X121" s="7">
        <f ca="1">YEAR($X$1)-YEAR(W121)</f>
        <v>39</v>
      </c>
      <c r="Y121" s="5"/>
      <c r="Z121" s="87"/>
      <c r="AA121" s="5"/>
      <c r="AB121" s="5"/>
      <c r="AC121" s="5"/>
      <c r="AD121" s="5"/>
      <c r="AE121" s="5"/>
      <c r="AF121" s="5">
        <v>649989063</v>
      </c>
      <c r="AG121" s="88" t="s">
        <v>950</v>
      </c>
      <c r="AH121" s="105"/>
      <c r="AI121" s="105"/>
      <c r="AJ121" s="105"/>
      <c r="AK121" s="105"/>
      <c r="AL121" s="105"/>
      <c r="AM121" s="84"/>
      <c r="AN121" s="8"/>
      <c r="AO121" s="89">
        <v>10</v>
      </c>
      <c r="AR121" s="9"/>
      <c r="AS121" s="9"/>
      <c r="AT121" s="162" t="str">
        <f t="shared" si="2"/>
        <v>-</v>
      </c>
      <c r="AU121" s="9"/>
      <c r="AV121" s="116"/>
    </row>
    <row r="122" spans="1:52" ht="15" customHeight="1" x14ac:dyDescent="0.25">
      <c r="A122" s="72">
        <v>120</v>
      </c>
      <c r="B122" s="80"/>
      <c r="C122" s="157" t="s">
        <v>1717</v>
      </c>
      <c r="D122" s="5" t="s">
        <v>660</v>
      </c>
      <c r="E122" s="5" t="s">
        <v>581</v>
      </c>
      <c r="F122" s="5" t="s">
        <v>580</v>
      </c>
      <c r="G122" s="5" t="s">
        <v>811</v>
      </c>
      <c r="H122" s="2"/>
      <c r="I122" s="165"/>
      <c r="J122" s="5" t="s">
        <v>581</v>
      </c>
      <c r="K122" s="5" t="s">
        <v>1236</v>
      </c>
      <c r="L122" s="5" t="s">
        <v>1230</v>
      </c>
      <c r="M122" s="5" t="str">
        <f>CONCATENATE(K122," ",L122)</f>
        <v>ZITRON-ASCAZ AMBULATORIA</v>
      </c>
      <c r="N122" s="5"/>
      <c r="O122" s="5"/>
      <c r="P122" s="90" t="s">
        <v>815</v>
      </c>
      <c r="Q122" s="87" t="s">
        <v>422</v>
      </c>
      <c r="R122" s="87" t="s">
        <v>421</v>
      </c>
      <c r="S122" s="87" t="s">
        <v>286</v>
      </c>
      <c r="T122" s="5"/>
      <c r="U122" s="5"/>
      <c r="V122" s="5" t="s">
        <v>665</v>
      </c>
      <c r="W122" s="2">
        <v>41528</v>
      </c>
      <c r="X122" s="7">
        <f ca="1">YEAR($X$1)-YEAR(W122)</f>
        <v>5</v>
      </c>
      <c r="Y122" s="5"/>
      <c r="Z122" s="87"/>
      <c r="AA122" s="5"/>
      <c r="AB122" s="5"/>
      <c r="AC122" s="5"/>
      <c r="AD122" s="5"/>
      <c r="AE122" s="5"/>
      <c r="AF122" s="5"/>
      <c r="AG122" s="88"/>
      <c r="AH122" s="105"/>
      <c r="AI122" s="105"/>
      <c r="AJ122" s="105"/>
      <c r="AK122" s="105"/>
      <c r="AL122" s="105"/>
      <c r="AM122" s="84"/>
      <c r="AN122" s="8"/>
      <c r="AO122" s="89">
        <v>10</v>
      </c>
      <c r="AR122" s="9"/>
      <c r="AS122" s="9"/>
      <c r="AT122" s="162" t="str">
        <f t="shared" si="2"/>
        <v>-</v>
      </c>
      <c r="AU122" s="9"/>
      <c r="AV122" s="116"/>
    </row>
    <row r="123" spans="1:52" ht="15" customHeight="1" x14ac:dyDescent="0.25">
      <c r="A123" s="72">
        <v>121</v>
      </c>
      <c r="B123" s="80"/>
      <c r="C123" s="156" t="s">
        <v>1604</v>
      </c>
      <c r="D123" s="81"/>
      <c r="E123" s="6"/>
      <c r="F123" s="6"/>
      <c r="G123" s="6"/>
      <c r="H123" s="4"/>
      <c r="I123" s="166"/>
      <c r="J123" s="6"/>
      <c r="K123" s="6"/>
      <c r="L123" s="6"/>
      <c r="M123" s="91"/>
      <c r="N123" s="91"/>
      <c r="O123" s="91"/>
      <c r="P123" s="6"/>
      <c r="Q123" s="92"/>
      <c r="R123" s="92"/>
      <c r="S123" s="92"/>
      <c r="T123" s="6"/>
      <c r="U123" s="6"/>
      <c r="V123" s="6"/>
      <c r="W123" s="4"/>
      <c r="X123" s="6"/>
      <c r="Y123" s="6"/>
      <c r="Z123" s="92"/>
      <c r="AA123" s="6"/>
      <c r="AB123" s="6"/>
      <c r="AC123" s="6"/>
      <c r="AD123" s="6"/>
      <c r="AE123" s="6"/>
      <c r="AF123" s="6"/>
      <c r="AG123" s="93"/>
      <c r="AH123" s="110"/>
      <c r="AI123" s="110"/>
      <c r="AJ123" s="110"/>
      <c r="AK123" s="110"/>
      <c r="AL123" s="110"/>
      <c r="AM123" s="84"/>
      <c r="AN123" s="85">
        <v>0</v>
      </c>
      <c r="AO123" s="85"/>
      <c r="AP123" s="117" t="str">
        <f>C123</f>
        <v>0038</v>
      </c>
      <c r="AR123" s="9"/>
      <c r="AS123" s="9"/>
      <c r="AT123" s="162" t="str">
        <f t="shared" si="2"/>
        <v>-</v>
      </c>
      <c r="AU123" s="9"/>
      <c r="AV123" s="116"/>
    </row>
    <row r="124" spans="1:52" ht="15" customHeight="1" x14ac:dyDescent="0.25">
      <c r="A124" s="72">
        <v>122</v>
      </c>
      <c r="B124" s="80"/>
      <c r="C124" s="157" t="s">
        <v>1717</v>
      </c>
      <c r="D124" s="5" t="s">
        <v>661</v>
      </c>
      <c r="E124" s="5" t="s">
        <v>581</v>
      </c>
      <c r="F124" s="5" t="s">
        <v>580</v>
      </c>
      <c r="G124" s="5" t="s">
        <v>810</v>
      </c>
      <c r="H124" s="2"/>
      <c r="I124" s="165">
        <v>43109</v>
      </c>
      <c r="J124" s="5" t="s">
        <v>581</v>
      </c>
      <c r="K124" s="5" t="s">
        <v>1236</v>
      </c>
      <c r="L124" s="5" t="s">
        <v>1230</v>
      </c>
      <c r="M124" s="5" t="str">
        <f>CONCATENATE(K124," ",L124)</f>
        <v>ZITRON-ASCAZ AMBULATORIA</v>
      </c>
      <c r="N124" s="5"/>
      <c r="O124" s="5"/>
      <c r="P124" s="5" t="s">
        <v>3</v>
      </c>
      <c r="Q124" s="87" t="s">
        <v>876</v>
      </c>
      <c r="R124" s="87" t="s">
        <v>951</v>
      </c>
      <c r="S124" s="87" t="s">
        <v>21</v>
      </c>
      <c r="T124" s="5" t="s">
        <v>2</v>
      </c>
      <c r="U124" s="5" t="s">
        <v>425</v>
      </c>
      <c r="V124" s="5" t="s">
        <v>665</v>
      </c>
      <c r="W124" s="2">
        <v>27612</v>
      </c>
      <c r="X124" s="7">
        <f ca="1">YEAR($X$1)-YEAR(W124)</f>
        <v>43</v>
      </c>
      <c r="Y124" s="5" t="s">
        <v>1</v>
      </c>
      <c r="Z124" s="87" t="s">
        <v>952</v>
      </c>
      <c r="AA124" s="5">
        <v>35</v>
      </c>
      <c r="AB124" s="5"/>
      <c r="AC124" s="5" t="s">
        <v>0</v>
      </c>
      <c r="AD124" s="5" t="s">
        <v>953</v>
      </c>
      <c r="AE124" s="5">
        <v>33430</v>
      </c>
      <c r="AF124" s="5">
        <v>651043841</v>
      </c>
      <c r="AG124" s="88" t="s">
        <v>954</v>
      </c>
      <c r="AH124" s="105" t="s">
        <v>1565</v>
      </c>
      <c r="AI124" s="105" t="s">
        <v>17</v>
      </c>
      <c r="AJ124" s="105" t="s">
        <v>1406</v>
      </c>
      <c r="AK124" s="105" t="s">
        <v>1216</v>
      </c>
      <c r="AL124" s="105" t="s">
        <v>1566</v>
      </c>
      <c r="AM124" s="84"/>
      <c r="AN124" s="8"/>
      <c r="AO124" s="89">
        <v>10</v>
      </c>
      <c r="AQ124" s="116" t="str">
        <f>CONCATENATE("NS",C123,"AZ")</f>
        <v>NS0038AZ</v>
      </c>
      <c r="AR124" s="9" t="str">
        <f>CONCATENATE(Q124," ",R124," ",S124)</f>
        <v>ENRIQUE DOMÍNGUEZ FUERTES</v>
      </c>
      <c r="AS124" s="9"/>
      <c r="AT124" s="162" t="str">
        <f t="shared" si="2"/>
        <v>NS0038AZ-ENRIQUE DOMÍNGUEZ FUERTES</v>
      </c>
      <c r="AU124" s="9" t="str">
        <f>U124</f>
        <v>10899776F</v>
      </c>
      <c r="AV124" s="116"/>
      <c r="AW124" s="9" t="str">
        <f>CONCATENATE(AH124,AI124,AJ124,AK124,AL124)</f>
        <v>ES2900496247112216060240</v>
      </c>
      <c r="AZ124" s="159">
        <v>43109</v>
      </c>
    </row>
    <row r="125" spans="1:52" ht="15" customHeight="1" x14ac:dyDescent="0.25">
      <c r="A125" s="72">
        <v>123</v>
      </c>
      <c r="B125" s="80"/>
      <c r="C125" s="157" t="s">
        <v>1717</v>
      </c>
      <c r="D125" s="5" t="s">
        <v>662</v>
      </c>
      <c r="E125" s="5" t="s">
        <v>581</v>
      </c>
      <c r="F125" s="5" t="s">
        <v>580</v>
      </c>
      <c r="G125" s="5" t="s">
        <v>810</v>
      </c>
      <c r="H125" s="2"/>
      <c r="I125" s="165"/>
      <c r="J125" s="5" t="s">
        <v>581</v>
      </c>
      <c r="K125" s="5" t="s">
        <v>1236</v>
      </c>
      <c r="L125" s="5" t="s">
        <v>1230</v>
      </c>
      <c r="M125" s="5" t="str">
        <f>CONCATENATE(K125," ",L125)</f>
        <v>ZITRON-ASCAZ AMBULATORIA</v>
      </c>
      <c r="N125" s="5"/>
      <c r="O125" s="5"/>
      <c r="P125" s="5" t="s">
        <v>43</v>
      </c>
      <c r="Q125" s="87" t="s">
        <v>955</v>
      </c>
      <c r="R125" s="87" t="s">
        <v>956</v>
      </c>
      <c r="S125" s="87" t="s">
        <v>297</v>
      </c>
      <c r="T125" s="5" t="s">
        <v>2</v>
      </c>
      <c r="U125" s="5" t="s">
        <v>303</v>
      </c>
      <c r="V125" s="5" t="s">
        <v>646</v>
      </c>
      <c r="W125" s="2">
        <v>27980</v>
      </c>
      <c r="X125" s="7">
        <f ca="1">YEAR($X$1)-YEAR(W125)</f>
        <v>42</v>
      </c>
      <c r="Y125" s="5"/>
      <c r="Z125" s="87"/>
      <c r="AA125" s="5"/>
      <c r="AB125" s="5"/>
      <c r="AC125" s="5"/>
      <c r="AD125" s="5"/>
      <c r="AE125" s="5"/>
      <c r="AF125" s="5">
        <v>626115314</v>
      </c>
      <c r="AG125" s="88" t="s">
        <v>957</v>
      </c>
      <c r="AH125" s="105"/>
      <c r="AI125" s="105"/>
      <c r="AJ125" s="105"/>
      <c r="AK125" s="105"/>
      <c r="AL125" s="105"/>
      <c r="AM125" s="84"/>
      <c r="AN125" s="8"/>
      <c r="AO125" s="89">
        <v>10</v>
      </c>
      <c r="AR125" s="9"/>
      <c r="AS125" s="9"/>
      <c r="AT125" s="162" t="str">
        <f t="shared" si="2"/>
        <v>-</v>
      </c>
      <c r="AU125" s="9"/>
      <c r="AV125" s="116"/>
    </row>
    <row r="126" spans="1:52" ht="15" customHeight="1" x14ac:dyDescent="0.25">
      <c r="A126" s="72">
        <v>124</v>
      </c>
      <c r="B126" s="80"/>
      <c r="C126" s="157" t="s">
        <v>1717</v>
      </c>
      <c r="D126" s="5" t="s">
        <v>1278</v>
      </c>
      <c r="E126" s="5" t="s">
        <v>581</v>
      </c>
      <c r="F126" s="5" t="s">
        <v>580</v>
      </c>
      <c r="G126" s="5" t="s">
        <v>810</v>
      </c>
      <c r="H126" s="2"/>
      <c r="I126" s="165"/>
      <c r="J126" s="5" t="s">
        <v>581</v>
      </c>
      <c r="K126" s="5" t="s">
        <v>1236</v>
      </c>
      <c r="L126" s="5" t="s">
        <v>1230</v>
      </c>
      <c r="M126" s="5" t="str">
        <f>CONCATENATE(K126," ",L126)</f>
        <v>ZITRON-ASCAZ AMBULATORIA</v>
      </c>
      <c r="N126" s="5"/>
      <c r="O126" s="5"/>
      <c r="P126" s="90" t="s">
        <v>815</v>
      </c>
      <c r="Q126" s="106" t="s">
        <v>1279</v>
      </c>
      <c r="R126" s="106" t="s">
        <v>951</v>
      </c>
      <c r="S126" s="106" t="s">
        <v>956</v>
      </c>
      <c r="T126" s="5" t="s">
        <v>2</v>
      </c>
      <c r="U126" s="5" t="s">
        <v>1280</v>
      </c>
      <c r="V126" s="5" t="s">
        <v>646</v>
      </c>
      <c r="W126" s="2">
        <v>40391</v>
      </c>
      <c r="X126" s="7">
        <f ca="1">YEAR($X$1)-YEAR(W126)</f>
        <v>8</v>
      </c>
      <c r="Y126" s="5"/>
      <c r="Z126" s="106"/>
      <c r="AA126" s="5"/>
      <c r="AB126" s="5"/>
      <c r="AC126" s="5"/>
      <c r="AD126" s="5"/>
      <c r="AE126" s="5"/>
      <c r="AF126" s="5"/>
      <c r="AG126" s="88"/>
      <c r="AH126" s="105"/>
      <c r="AI126" s="105"/>
      <c r="AJ126" s="105"/>
      <c r="AK126" s="105"/>
      <c r="AL126" s="105"/>
      <c r="AM126" s="84"/>
      <c r="AN126" s="8"/>
      <c r="AO126" s="89">
        <v>10</v>
      </c>
      <c r="AR126" s="9"/>
      <c r="AS126" s="9"/>
      <c r="AT126" s="162" t="str">
        <f t="shared" si="2"/>
        <v>-</v>
      </c>
      <c r="AU126" s="9"/>
      <c r="AV126" s="116"/>
    </row>
    <row r="127" spans="1:52" ht="15" customHeight="1" x14ac:dyDescent="0.25">
      <c r="A127" s="72">
        <v>125</v>
      </c>
      <c r="B127" s="80"/>
      <c r="C127" s="156" t="s">
        <v>1605</v>
      </c>
      <c r="D127" s="81"/>
      <c r="E127" s="6"/>
      <c r="F127" s="6"/>
      <c r="G127" s="6"/>
      <c r="H127" s="4"/>
      <c r="I127" s="166"/>
      <c r="J127" s="6"/>
      <c r="K127" s="6"/>
      <c r="L127" s="6"/>
      <c r="M127" s="91"/>
      <c r="N127" s="91"/>
      <c r="O127" s="91"/>
      <c r="P127" s="6"/>
      <c r="Q127" s="92"/>
      <c r="R127" s="92"/>
      <c r="S127" s="92"/>
      <c r="T127" s="6"/>
      <c r="U127" s="6"/>
      <c r="V127" s="6"/>
      <c r="W127" s="4"/>
      <c r="X127" s="6"/>
      <c r="Y127" s="6"/>
      <c r="Z127" s="92"/>
      <c r="AA127" s="6"/>
      <c r="AB127" s="6"/>
      <c r="AC127" s="6"/>
      <c r="AD127" s="6"/>
      <c r="AE127" s="6"/>
      <c r="AF127" s="6"/>
      <c r="AG127" s="93"/>
      <c r="AH127" s="110"/>
      <c r="AI127" s="110"/>
      <c r="AJ127" s="110"/>
      <c r="AK127" s="110"/>
      <c r="AL127" s="110"/>
      <c r="AM127" s="84"/>
      <c r="AN127" s="85">
        <v>30</v>
      </c>
      <c r="AO127" s="85"/>
      <c r="AP127" s="117" t="str">
        <f>C127</f>
        <v>0039</v>
      </c>
      <c r="AR127" s="9"/>
      <c r="AS127" s="9"/>
      <c r="AT127" s="162" t="str">
        <f t="shared" si="2"/>
        <v>-</v>
      </c>
      <c r="AU127" s="9"/>
      <c r="AV127" s="116"/>
    </row>
    <row r="128" spans="1:52" ht="15" customHeight="1" x14ac:dyDescent="0.25">
      <c r="A128" s="72">
        <v>126</v>
      </c>
      <c r="B128" s="80"/>
      <c r="C128" s="157" t="s">
        <v>1717</v>
      </c>
      <c r="D128" s="5" t="s">
        <v>671</v>
      </c>
      <c r="E128" s="5" t="s">
        <v>581</v>
      </c>
      <c r="F128" s="5" t="s">
        <v>580</v>
      </c>
      <c r="G128" s="5" t="s">
        <v>811</v>
      </c>
      <c r="H128" s="2"/>
      <c r="I128" s="165">
        <v>43028</v>
      </c>
      <c r="J128" s="5" t="s">
        <v>581</v>
      </c>
      <c r="K128" s="5" t="s">
        <v>1236</v>
      </c>
      <c r="L128" s="5" t="s">
        <v>1231</v>
      </c>
      <c r="M128" s="5" t="str">
        <f>CONCATENATE(K128," ",L128)</f>
        <v>ZITRON-ASCAZ HOSPITALARIA</v>
      </c>
      <c r="N128" s="5"/>
      <c r="O128" s="5"/>
      <c r="P128" s="5" t="s">
        <v>3</v>
      </c>
      <c r="Q128" s="87" t="s">
        <v>229</v>
      </c>
      <c r="R128" s="87" t="s">
        <v>663</v>
      </c>
      <c r="S128" s="87" t="s">
        <v>403</v>
      </c>
      <c r="T128" s="5" t="s">
        <v>2</v>
      </c>
      <c r="U128" s="5" t="s">
        <v>664</v>
      </c>
      <c r="V128" s="5" t="s">
        <v>665</v>
      </c>
      <c r="W128" s="2">
        <v>30654</v>
      </c>
      <c r="X128" s="7">
        <f ca="1">YEAR($X$1)-YEAR(W128)</f>
        <v>35</v>
      </c>
      <c r="Y128" s="5" t="s">
        <v>1</v>
      </c>
      <c r="Z128" s="87" t="s">
        <v>666</v>
      </c>
      <c r="AA128" s="5">
        <v>14</v>
      </c>
      <c r="AB128" s="5" t="s">
        <v>251</v>
      </c>
      <c r="AC128" s="5" t="s">
        <v>0</v>
      </c>
      <c r="AD128" s="5" t="s">
        <v>7</v>
      </c>
      <c r="AE128" s="5">
        <v>33008</v>
      </c>
      <c r="AF128" s="5">
        <v>679623815</v>
      </c>
      <c r="AG128" s="88" t="s">
        <v>667</v>
      </c>
      <c r="AH128" s="105" t="s">
        <v>361</v>
      </c>
      <c r="AI128" s="105" t="s">
        <v>102</v>
      </c>
      <c r="AJ128" s="105" t="s">
        <v>77</v>
      </c>
      <c r="AK128" s="105" t="s">
        <v>1409</v>
      </c>
      <c r="AL128" s="105" t="s">
        <v>1567</v>
      </c>
      <c r="AM128" s="84"/>
      <c r="AN128" s="8"/>
      <c r="AO128" s="89">
        <v>10</v>
      </c>
      <c r="AQ128" s="116" t="str">
        <f>CONCATENATE("NS",C127,"AZ")</f>
        <v>NS0039AZ</v>
      </c>
      <c r="AR128" s="9" t="str">
        <f>CONCATENATE(Q128," ",R128," ",S128)</f>
        <v>JORGE FLOR BLANCO</v>
      </c>
      <c r="AS128" s="9"/>
      <c r="AT128" s="162" t="str">
        <f t="shared" si="2"/>
        <v>NS0039AZ-JORGE FLOR BLANCO</v>
      </c>
      <c r="AU128" s="9" t="str">
        <f>U128</f>
        <v>71655521X</v>
      </c>
      <c r="AV128" s="116"/>
      <c r="AW128" s="9" t="str">
        <f>CONCATENATE(AH128,AI128,AJ128,AK128,AL128)</f>
        <v>ES6614650100991707917511</v>
      </c>
      <c r="AZ128" s="159">
        <v>43028</v>
      </c>
    </row>
    <row r="129" spans="1:52" ht="15" customHeight="1" x14ac:dyDescent="0.25">
      <c r="A129" s="72">
        <v>127</v>
      </c>
      <c r="B129" s="80"/>
      <c r="C129" s="157" t="s">
        <v>1717</v>
      </c>
      <c r="D129" s="5" t="s">
        <v>672</v>
      </c>
      <c r="E129" s="5" t="s">
        <v>581</v>
      </c>
      <c r="F129" s="5" t="s">
        <v>580</v>
      </c>
      <c r="G129" s="5" t="s">
        <v>811</v>
      </c>
      <c r="H129" s="2"/>
      <c r="I129" s="165"/>
      <c r="J129" s="5" t="s">
        <v>581</v>
      </c>
      <c r="K129" s="5" t="s">
        <v>1236</v>
      </c>
      <c r="L129" s="5" t="s">
        <v>1231</v>
      </c>
      <c r="M129" s="5" t="str">
        <f>CONCATENATE(K129," ",L129)</f>
        <v>ZITRON-ASCAZ HOSPITALARIA</v>
      </c>
      <c r="N129" s="5"/>
      <c r="O129" s="5"/>
      <c r="P129" s="5" t="s">
        <v>43</v>
      </c>
      <c r="Q129" s="87" t="s">
        <v>564</v>
      </c>
      <c r="R129" s="87" t="s">
        <v>668</v>
      </c>
      <c r="S129" s="87" t="s">
        <v>669</v>
      </c>
      <c r="T129" s="5" t="s">
        <v>2</v>
      </c>
      <c r="U129" s="5" t="s">
        <v>670</v>
      </c>
      <c r="V129" s="5" t="s">
        <v>646</v>
      </c>
      <c r="W129" s="2">
        <v>29818</v>
      </c>
      <c r="X129" s="7">
        <f ca="1">YEAR($X$1)-YEAR(W129)</f>
        <v>37</v>
      </c>
      <c r="Y129" s="5"/>
      <c r="Z129" s="87"/>
      <c r="AA129" s="5"/>
      <c r="AB129" s="5"/>
      <c r="AC129" s="5"/>
      <c r="AD129" s="5"/>
      <c r="AE129" s="5"/>
      <c r="AF129" s="5">
        <v>697966572</v>
      </c>
      <c r="AG129" s="88" t="s">
        <v>958</v>
      </c>
      <c r="AH129" s="105"/>
      <c r="AI129" s="105"/>
      <c r="AJ129" s="105"/>
      <c r="AK129" s="105"/>
      <c r="AL129" s="105"/>
      <c r="AM129" s="84"/>
      <c r="AN129" s="8"/>
      <c r="AO129" s="89">
        <v>10</v>
      </c>
      <c r="AR129" s="9"/>
      <c r="AS129" s="9"/>
      <c r="AT129" s="162" t="str">
        <f t="shared" si="2"/>
        <v>-</v>
      </c>
      <c r="AU129" s="9"/>
      <c r="AV129" s="116"/>
    </row>
    <row r="130" spans="1:52" ht="15" customHeight="1" x14ac:dyDescent="0.25">
      <c r="A130" s="72">
        <v>128</v>
      </c>
      <c r="B130" s="80"/>
      <c r="C130" s="156" t="s">
        <v>1606</v>
      </c>
      <c r="D130" s="81"/>
      <c r="E130" s="6"/>
      <c r="F130" s="6"/>
      <c r="G130" s="6"/>
      <c r="H130" s="4"/>
      <c r="I130" s="166"/>
      <c r="J130" s="6"/>
      <c r="K130" s="6"/>
      <c r="L130" s="6"/>
      <c r="M130" s="91"/>
      <c r="N130" s="91"/>
      <c r="O130" s="91"/>
      <c r="P130" s="6"/>
      <c r="Q130" s="92"/>
      <c r="R130" s="92"/>
      <c r="S130" s="92"/>
      <c r="T130" s="6"/>
      <c r="U130" s="6"/>
      <c r="V130" s="6"/>
      <c r="W130" s="4"/>
      <c r="X130" s="6"/>
      <c r="Y130" s="6"/>
      <c r="Z130" s="92"/>
      <c r="AA130" s="6"/>
      <c r="AB130" s="6"/>
      <c r="AC130" s="6"/>
      <c r="AD130" s="6"/>
      <c r="AE130" s="6"/>
      <c r="AF130" s="6"/>
      <c r="AG130" s="93"/>
      <c r="AH130" s="110"/>
      <c r="AI130" s="110"/>
      <c r="AJ130" s="110"/>
      <c r="AK130" s="110"/>
      <c r="AL130" s="110"/>
      <c r="AM130" s="84"/>
      <c r="AN130" s="85">
        <v>0</v>
      </c>
      <c r="AO130" s="85"/>
      <c r="AP130" s="117" t="str">
        <f>C130</f>
        <v>0040</v>
      </c>
      <c r="AR130" s="9"/>
      <c r="AS130" s="9"/>
      <c r="AT130" s="162" t="str">
        <f t="shared" si="2"/>
        <v>-</v>
      </c>
      <c r="AU130" s="9"/>
      <c r="AV130" s="116"/>
    </row>
    <row r="131" spans="1:52" ht="15" customHeight="1" x14ac:dyDescent="0.25">
      <c r="A131" s="72">
        <v>129</v>
      </c>
      <c r="B131" s="80"/>
      <c r="C131" s="157" t="s">
        <v>1717</v>
      </c>
      <c r="D131" s="5" t="s">
        <v>678</v>
      </c>
      <c r="E131" s="5" t="s">
        <v>581</v>
      </c>
      <c r="F131" s="5" t="s">
        <v>580</v>
      </c>
      <c r="G131" s="5" t="s">
        <v>810</v>
      </c>
      <c r="H131" s="2"/>
      <c r="I131" s="165">
        <v>43115</v>
      </c>
      <c r="J131" s="5" t="s">
        <v>581</v>
      </c>
      <c r="K131" s="5" t="s">
        <v>1236</v>
      </c>
      <c r="L131" s="5" t="s">
        <v>1231</v>
      </c>
      <c r="M131" s="5" t="str">
        <f>CONCATENATE(K131," ",L131)</f>
        <v>ZITRON-ASCAZ HOSPITALARIA</v>
      </c>
      <c r="N131" s="5"/>
      <c r="O131" s="5"/>
      <c r="P131" s="5" t="s">
        <v>3</v>
      </c>
      <c r="Q131" s="87" t="s">
        <v>673</v>
      </c>
      <c r="R131" s="87" t="s">
        <v>674</v>
      </c>
      <c r="S131" s="87" t="s">
        <v>1149</v>
      </c>
      <c r="T131" s="5" t="s">
        <v>2</v>
      </c>
      <c r="U131" s="5" t="s">
        <v>675</v>
      </c>
      <c r="V131" s="5" t="s">
        <v>665</v>
      </c>
      <c r="W131" s="2">
        <v>27377</v>
      </c>
      <c r="X131" s="7">
        <f ca="1">YEAR($X$1)-YEAR(W131)</f>
        <v>44</v>
      </c>
      <c r="Y131" s="5" t="s">
        <v>1</v>
      </c>
      <c r="Z131" s="87" t="s">
        <v>676</v>
      </c>
      <c r="AA131" s="5">
        <v>39</v>
      </c>
      <c r="AB131" s="5" t="s">
        <v>677</v>
      </c>
      <c r="AC131" s="5" t="s">
        <v>0</v>
      </c>
      <c r="AD131" s="5" t="s">
        <v>31</v>
      </c>
      <c r="AE131" s="5">
        <v>33211</v>
      </c>
      <c r="AF131" s="5">
        <v>658566311</v>
      </c>
      <c r="AG131" s="88" t="s">
        <v>959</v>
      </c>
      <c r="AH131" s="105" t="s">
        <v>304</v>
      </c>
      <c r="AI131" s="105" t="s">
        <v>13</v>
      </c>
      <c r="AJ131" s="105" t="s">
        <v>1568</v>
      </c>
      <c r="AK131" s="105" t="s">
        <v>1190</v>
      </c>
      <c r="AL131" s="105" t="s">
        <v>1569</v>
      </c>
      <c r="AM131" s="84"/>
      <c r="AN131" s="8"/>
      <c r="AO131" s="89">
        <v>10</v>
      </c>
      <c r="AQ131" s="116" t="str">
        <f>CONCATENATE("NS",C130,"AZ")</f>
        <v>NS0040AZ</v>
      </c>
      <c r="AR131" s="9" t="str">
        <f>CONCATENATE(Q131," ",R131," ",S131)</f>
        <v>BERNARDO DEL FUEYO MARTÍNEZ</v>
      </c>
      <c r="AS131" s="9"/>
      <c r="AT131" s="162" t="str">
        <f t="shared" si="2"/>
        <v>NS0040AZ-BERNARDO DEL FUEYO MARTÍNEZ</v>
      </c>
      <c r="AU131" s="9" t="str">
        <f>U131</f>
        <v>10901389X</v>
      </c>
      <c r="AV131" s="116"/>
      <c r="AW131" s="9" t="str">
        <f>CONCATENATE(AH131,AI131,AJ131,AK131,AL131)</f>
        <v>ES5600815652170001240927</v>
      </c>
      <c r="AZ131" s="159">
        <v>43115</v>
      </c>
    </row>
    <row r="132" spans="1:52" ht="15" customHeight="1" x14ac:dyDescent="0.25">
      <c r="A132" s="72">
        <v>130</v>
      </c>
      <c r="B132" s="80"/>
      <c r="C132" s="156" t="s">
        <v>1562</v>
      </c>
      <c r="D132" s="81"/>
      <c r="E132" s="6"/>
      <c r="F132" s="6"/>
      <c r="G132" s="6"/>
      <c r="H132" s="4"/>
      <c r="I132" s="166"/>
      <c r="J132" s="6"/>
      <c r="K132" s="6"/>
      <c r="L132" s="6"/>
      <c r="M132" s="91"/>
      <c r="N132" s="91"/>
      <c r="O132" s="91"/>
      <c r="P132" s="6"/>
      <c r="Q132" s="92"/>
      <c r="R132" s="92"/>
      <c r="S132" s="92"/>
      <c r="T132" s="6"/>
      <c r="U132" s="6"/>
      <c r="V132" s="6"/>
      <c r="W132" s="4"/>
      <c r="X132" s="6"/>
      <c r="Y132" s="6"/>
      <c r="Z132" s="92"/>
      <c r="AA132" s="6"/>
      <c r="AB132" s="6"/>
      <c r="AC132" s="6"/>
      <c r="AD132" s="6"/>
      <c r="AE132" s="6"/>
      <c r="AF132" s="6"/>
      <c r="AG132" s="93"/>
      <c r="AH132" s="110"/>
      <c r="AI132" s="110"/>
      <c r="AJ132" s="110"/>
      <c r="AK132" s="110"/>
      <c r="AL132" s="110"/>
      <c r="AM132" s="84"/>
      <c r="AN132" s="85">
        <v>30</v>
      </c>
      <c r="AO132" s="85"/>
      <c r="AP132" s="117" t="str">
        <f>C132</f>
        <v>0041</v>
      </c>
      <c r="AR132" s="9"/>
      <c r="AS132" s="9"/>
      <c r="AT132" s="162" t="str">
        <f t="shared" si="2"/>
        <v>-</v>
      </c>
      <c r="AU132" s="9"/>
      <c r="AV132" s="116"/>
    </row>
    <row r="133" spans="1:52" ht="15" customHeight="1" x14ac:dyDescent="0.25">
      <c r="A133" s="72">
        <v>131</v>
      </c>
      <c r="B133" s="80"/>
      <c r="C133" s="157" t="s">
        <v>1717</v>
      </c>
      <c r="D133" s="5" t="s">
        <v>684</v>
      </c>
      <c r="E133" s="5" t="s">
        <v>581</v>
      </c>
      <c r="F133" s="5" t="s">
        <v>580</v>
      </c>
      <c r="G133" s="5" t="s">
        <v>811</v>
      </c>
      <c r="H133" s="2"/>
      <c r="I133" s="165">
        <v>43101</v>
      </c>
      <c r="J133" s="5" t="s">
        <v>581</v>
      </c>
      <c r="K133" s="5" t="s">
        <v>1236</v>
      </c>
      <c r="L133" s="5" t="s">
        <v>1231</v>
      </c>
      <c r="M133" s="5" t="str">
        <f>CONCATENATE(K133," ",L133)</f>
        <v>ZITRON-ASCAZ HOSPITALARIA</v>
      </c>
      <c r="N133" s="5"/>
      <c r="O133" s="5"/>
      <c r="P133" s="5" t="s">
        <v>3</v>
      </c>
      <c r="Q133" s="87" t="s">
        <v>512</v>
      </c>
      <c r="R133" s="87" t="s">
        <v>679</v>
      </c>
      <c r="S133" s="87" t="s">
        <v>680</v>
      </c>
      <c r="T133" s="5" t="s">
        <v>2</v>
      </c>
      <c r="U133" s="5" t="s">
        <v>681</v>
      </c>
      <c r="V133" s="5" t="s">
        <v>665</v>
      </c>
      <c r="W133" s="2">
        <v>31231</v>
      </c>
      <c r="X133" s="7">
        <f ca="1">YEAR($X$1)-YEAR(W133)</f>
        <v>33</v>
      </c>
      <c r="Y133" s="5" t="s">
        <v>1</v>
      </c>
      <c r="Z133" s="87" t="s">
        <v>682</v>
      </c>
      <c r="AA133" s="5">
        <v>27</v>
      </c>
      <c r="AB133" s="5" t="s">
        <v>157</v>
      </c>
      <c r="AC133" s="5" t="s">
        <v>121</v>
      </c>
      <c r="AD133" s="5" t="s">
        <v>121</v>
      </c>
      <c r="AE133" s="5">
        <v>28021</v>
      </c>
      <c r="AF133" s="5">
        <v>622033975</v>
      </c>
      <c r="AG133" s="88" t="s">
        <v>683</v>
      </c>
      <c r="AH133" s="105" t="s">
        <v>89</v>
      </c>
      <c r="AI133" s="105" t="s">
        <v>102</v>
      </c>
      <c r="AJ133" s="105" t="s">
        <v>77</v>
      </c>
      <c r="AK133" s="105" t="s">
        <v>1382</v>
      </c>
      <c r="AL133" s="105" t="s">
        <v>1570</v>
      </c>
      <c r="AM133" s="84"/>
      <c r="AN133" s="8"/>
      <c r="AO133" s="89">
        <v>10</v>
      </c>
      <c r="AQ133" s="116" t="str">
        <f>CONCATENATE("NS",C132,"AZ")</f>
        <v>NS0041AZ</v>
      </c>
      <c r="AR133" s="9" t="str">
        <f>CONCATENATE(Q133," ",R133," ",S133)</f>
        <v>DAVID CAMACHO  CABANILLAS</v>
      </c>
      <c r="AS133" s="9"/>
      <c r="AT133" s="162" t="str">
        <f t="shared" ref="AT133:AT196" si="4">CONCATENATE(AQ133,"-",AR133,)</f>
        <v>NS0041AZ-DAVID CAMACHO  CABANILLAS</v>
      </c>
      <c r="AU133" s="9" t="str">
        <f>U133</f>
        <v>02285218F</v>
      </c>
      <c r="AV133" s="116"/>
      <c r="AW133" s="9" t="str">
        <f>CONCATENATE(AH133,AI133,AJ133,AK133,AL133)</f>
        <v>ES3614650100981718962132</v>
      </c>
      <c r="AZ133" s="159">
        <v>43101</v>
      </c>
    </row>
    <row r="134" spans="1:52" ht="15" customHeight="1" x14ac:dyDescent="0.25">
      <c r="A134" s="72">
        <v>132</v>
      </c>
      <c r="B134" s="80"/>
      <c r="C134" s="156" t="s">
        <v>1607</v>
      </c>
      <c r="D134" s="81"/>
      <c r="E134" s="6"/>
      <c r="F134" s="6"/>
      <c r="G134" s="6"/>
      <c r="H134" s="4"/>
      <c r="I134" s="166"/>
      <c r="J134" s="6"/>
      <c r="K134" s="6"/>
      <c r="L134" s="6"/>
      <c r="M134" s="91"/>
      <c r="N134" s="91"/>
      <c r="O134" s="91"/>
      <c r="P134" s="6"/>
      <c r="Q134" s="92"/>
      <c r="R134" s="92"/>
      <c r="S134" s="92"/>
      <c r="T134" s="6"/>
      <c r="U134" s="6"/>
      <c r="V134" s="6"/>
      <c r="W134" s="4"/>
      <c r="X134" s="6"/>
      <c r="Y134" s="6"/>
      <c r="Z134" s="92"/>
      <c r="AA134" s="6"/>
      <c r="AB134" s="6"/>
      <c r="AC134" s="6"/>
      <c r="AD134" s="6"/>
      <c r="AE134" s="6"/>
      <c r="AF134" s="6"/>
      <c r="AG134" s="93"/>
      <c r="AH134" s="110"/>
      <c r="AI134" s="110"/>
      <c r="AJ134" s="110"/>
      <c r="AK134" s="110"/>
      <c r="AL134" s="110"/>
      <c r="AM134" s="84"/>
      <c r="AN134" s="85">
        <v>0</v>
      </c>
      <c r="AO134" s="85"/>
      <c r="AP134" s="117" t="str">
        <f>C134</f>
        <v>0042</v>
      </c>
      <c r="AR134" s="9"/>
      <c r="AS134" s="9"/>
      <c r="AT134" s="162" t="str">
        <f t="shared" si="4"/>
        <v>-</v>
      </c>
      <c r="AU134" s="9"/>
      <c r="AV134" s="116"/>
    </row>
    <row r="135" spans="1:52" ht="15" customHeight="1" x14ac:dyDescent="0.25">
      <c r="A135" s="72">
        <v>133</v>
      </c>
      <c r="B135" s="80"/>
      <c r="C135" s="157" t="s">
        <v>1717</v>
      </c>
      <c r="D135" s="5" t="s">
        <v>685</v>
      </c>
      <c r="E135" s="5" t="s">
        <v>581</v>
      </c>
      <c r="F135" s="5" t="s">
        <v>580</v>
      </c>
      <c r="G135" s="5" t="s">
        <v>810</v>
      </c>
      <c r="H135" s="2"/>
      <c r="I135" s="165">
        <v>43102</v>
      </c>
      <c r="J135" s="5" t="s">
        <v>581</v>
      </c>
      <c r="K135" s="5" t="s">
        <v>1236</v>
      </c>
      <c r="L135" s="5" t="s">
        <v>1231</v>
      </c>
      <c r="M135" s="5" t="str">
        <f>CONCATENATE(K135," ",L135)</f>
        <v>ZITRON-ASCAZ HOSPITALARIA</v>
      </c>
      <c r="N135" s="5"/>
      <c r="O135" s="5"/>
      <c r="P135" s="5" t="s">
        <v>154</v>
      </c>
      <c r="Q135" s="87" t="s">
        <v>1124</v>
      </c>
      <c r="R135" s="87" t="s">
        <v>132</v>
      </c>
      <c r="S135" s="87" t="s">
        <v>585</v>
      </c>
      <c r="T135" s="5" t="s">
        <v>2</v>
      </c>
      <c r="U135" s="5" t="s">
        <v>586</v>
      </c>
      <c r="V135" s="5" t="s">
        <v>646</v>
      </c>
      <c r="W135" s="2">
        <v>27521</v>
      </c>
      <c r="X135" s="7">
        <f ca="1">YEAR($X$1)-YEAR(W135)</f>
        <v>43</v>
      </c>
      <c r="Y135" s="5" t="s">
        <v>587</v>
      </c>
      <c r="Z135" s="87" t="s">
        <v>588</v>
      </c>
      <c r="AA135" s="5">
        <v>66</v>
      </c>
      <c r="AB135" s="5" t="s">
        <v>589</v>
      </c>
      <c r="AC135" s="5" t="s">
        <v>0</v>
      </c>
      <c r="AD135" s="5" t="s">
        <v>31</v>
      </c>
      <c r="AE135" s="5">
        <v>33206</v>
      </c>
      <c r="AF135" s="5">
        <v>679956323</v>
      </c>
      <c r="AG135" s="88" t="s">
        <v>960</v>
      </c>
      <c r="AH135" s="105" t="s">
        <v>37</v>
      </c>
      <c r="AI135" s="105">
        <v>2048</v>
      </c>
      <c r="AJ135" s="105" t="s">
        <v>590</v>
      </c>
      <c r="AK135" s="105">
        <v>57</v>
      </c>
      <c r="AL135" s="105">
        <v>3404000354</v>
      </c>
      <c r="AM135" s="84"/>
      <c r="AN135" s="8"/>
      <c r="AO135" s="89">
        <v>10</v>
      </c>
      <c r="AQ135" s="116" t="str">
        <f>CONCATENATE("NS",C134,"AZ")</f>
        <v>NS0042AZ</v>
      </c>
      <c r="AR135" s="9" t="str">
        <f>CONCATENATE(Q135," ",R135," ",S135)</f>
        <v>EVA MARÍA GARCÍA MONTESERIN</v>
      </c>
      <c r="AS135" s="9"/>
      <c r="AT135" s="162" t="str">
        <f t="shared" si="4"/>
        <v>NS0042AZ-EVA MARÍA GARCÍA MONTESERIN</v>
      </c>
      <c r="AU135" s="9" t="str">
        <f>U135</f>
        <v>11082417M</v>
      </c>
      <c r="AV135" s="116"/>
      <c r="AW135" s="9" t="str">
        <f>CONCATENATE(AH135,AI135,AJ135,AK135,AL135)</f>
        <v>ES6020480136573404000354</v>
      </c>
      <c r="AZ135" s="159">
        <v>43102</v>
      </c>
    </row>
    <row r="136" spans="1:52" ht="15" customHeight="1" x14ac:dyDescent="0.25">
      <c r="A136" s="72">
        <v>134</v>
      </c>
      <c r="B136" s="80"/>
      <c r="C136" s="157" t="s">
        <v>1717</v>
      </c>
      <c r="D136" s="5" t="s">
        <v>686</v>
      </c>
      <c r="E136" s="5" t="s">
        <v>581</v>
      </c>
      <c r="F136" s="5" t="s">
        <v>580</v>
      </c>
      <c r="G136" s="5" t="s">
        <v>810</v>
      </c>
      <c r="H136" s="2"/>
      <c r="I136" s="165"/>
      <c r="J136" s="5" t="s">
        <v>581</v>
      </c>
      <c r="K136" s="5" t="s">
        <v>1236</v>
      </c>
      <c r="L136" s="5" t="s">
        <v>1231</v>
      </c>
      <c r="M136" s="5" t="str">
        <f>CONCATENATE(K136," ",L136)</f>
        <v>ZITRON-ASCAZ HOSPITALARIA</v>
      </c>
      <c r="N136" s="5"/>
      <c r="O136" s="5"/>
      <c r="P136" s="90" t="s">
        <v>815</v>
      </c>
      <c r="Q136" s="87" t="s">
        <v>591</v>
      </c>
      <c r="R136" s="87" t="s">
        <v>1146</v>
      </c>
      <c r="S136" s="87" t="s">
        <v>132</v>
      </c>
      <c r="T136" s="5" t="s">
        <v>2</v>
      </c>
      <c r="U136" s="5" t="s">
        <v>592</v>
      </c>
      <c r="V136" s="5" t="s">
        <v>646</v>
      </c>
      <c r="W136" s="2">
        <v>40339</v>
      </c>
      <c r="X136" s="7">
        <f ca="1">YEAR($X$1)-YEAR(W136)</f>
        <v>8</v>
      </c>
      <c r="Y136" s="5"/>
      <c r="Z136" s="87"/>
      <c r="AA136" s="5"/>
      <c r="AB136" s="5"/>
      <c r="AC136" s="5"/>
      <c r="AD136" s="5"/>
      <c r="AE136" s="5"/>
      <c r="AF136" s="5"/>
      <c r="AG136" s="88"/>
      <c r="AH136" s="105"/>
      <c r="AI136" s="105"/>
      <c r="AJ136" s="105"/>
      <c r="AK136" s="105"/>
      <c r="AL136" s="105"/>
      <c r="AM136" s="84"/>
      <c r="AN136" s="8"/>
      <c r="AO136" s="89">
        <v>10</v>
      </c>
      <c r="AR136" s="9"/>
      <c r="AS136" s="9"/>
      <c r="AT136" s="162" t="str">
        <f t="shared" si="4"/>
        <v>-</v>
      </c>
      <c r="AU136" s="9"/>
      <c r="AV136" s="116"/>
    </row>
    <row r="137" spans="1:52" ht="15" customHeight="1" x14ac:dyDescent="0.25">
      <c r="A137" s="72">
        <v>135</v>
      </c>
      <c r="B137" s="80"/>
      <c r="C137" s="156" t="s">
        <v>1608</v>
      </c>
      <c r="D137" s="81"/>
      <c r="E137" s="6"/>
      <c r="F137" s="6"/>
      <c r="G137" s="6"/>
      <c r="H137" s="4"/>
      <c r="I137" s="166"/>
      <c r="J137" s="6"/>
      <c r="K137" s="6"/>
      <c r="L137" s="6"/>
      <c r="M137" s="91"/>
      <c r="N137" s="91"/>
      <c r="O137" s="91"/>
      <c r="P137" s="6"/>
      <c r="Q137" s="92"/>
      <c r="R137" s="92"/>
      <c r="S137" s="92"/>
      <c r="T137" s="6"/>
      <c r="U137" s="6"/>
      <c r="V137" s="6"/>
      <c r="W137" s="4"/>
      <c r="X137" s="6"/>
      <c r="Y137" s="6"/>
      <c r="Z137" s="92"/>
      <c r="AA137" s="6"/>
      <c r="AB137" s="6"/>
      <c r="AC137" s="6"/>
      <c r="AD137" s="6"/>
      <c r="AE137" s="6"/>
      <c r="AF137" s="6"/>
      <c r="AG137" s="93"/>
      <c r="AH137" s="110"/>
      <c r="AI137" s="110"/>
      <c r="AJ137" s="110"/>
      <c r="AK137" s="110"/>
      <c r="AL137" s="110"/>
      <c r="AM137" s="84"/>
      <c r="AN137" s="85">
        <v>0</v>
      </c>
      <c r="AO137" s="85"/>
      <c r="AP137" s="117" t="str">
        <f>C137</f>
        <v>0043</v>
      </c>
      <c r="AR137" s="9"/>
      <c r="AS137" s="9"/>
      <c r="AT137" s="162" t="str">
        <f t="shared" si="4"/>
        <v>-</v>
      </c>
      <c r="AU137" s="9"/>
      <c r="AV137" s="116"/>
    </row>
    <row r="138" spans="1:52" ht="15" customHeight="1" x14ac:dyDescent="0.25">
      <c r="A138" s="72">
        <v>136</v>
      </c>
      <c r="B138" s="80"/>
      <c r="C138" s="157" t="s">
        <v>1717</v>
      </c>
      <c r="D138" s="5" t="s">
        <v>687</v>
      </c>
      <c r="E138" s="5" t="s">
        <v>729</v>
      </c>
      <c r="F138" s="5" t="s">
        <v>812</v>
      </c>
      <c r="G138" s="5" t="s">
        <v>810</v>
      </c>
      <c r="H138" s="2"/>
      <c r="I138" s="165">
        <v>43101</v>
      </c>
      <c r="J138" s="5" t="s">
        <v>581</v>
      </c>
      <c r="K138" s="5" t="s">
        <v>1229</v>
      </c>
      <c r="L138" s="5" t="s">
        <v>1231</v>
      </c>
      <c r="M138" s="5" t="str">
        <f>CONCATENATE(K138," ",L138)</f>
        <v>ASCAZ HOSPITALARIA</v>
      </c>
      <c r="N138" s="5"/>
      <c r="O138" s="5"/>
      <c r="P138" s="5" t="s">
        <v>154</v>
      </c>
      <c r="Q138" s="87" t="s">
        <v>420</v>
      </c>
      <c r="R138" s="87" t="s">
        <v>419</v>
      </c>
      <c r="S138" s="87" t="s">
        <v>418</v>
      </c>
      <c r="T138" s="5" t="s">
        <v>411</v>
      </c>
      <c r="U138" s="5" t="s">
        <v>417</v>
      </c>
      <c r="V138" s="5" t="s">
        <v>646</v>
      </c>
      <c r="W138" s="2">
        <v>30236</v>
      </c>
      <c r="X138" s="7">
        <f ca="1">YEAR($X$1)-YEAR(W138)</f>
        <v>36</v>
      </c>
      <c r="Y138" s="5" t="s">
        <v>1</v>
      </c>
      <c r="Z138" s="87" t="s">
        <v>416</v>
      </c>
      <c r="AA138" s="5">
        <v>184</v>
      </c>
      <c r="AB138" s="5" t="s">
        <v>415</v>
      </c>
      <c r="AC138" s="5" t="s">
        <v>0</v>
      </c>
      <c r="AD138" s="5" t="s">
        <v>31</v>
      </c>
      <c r="AE138" s="5">
        <v>33203</v>
      </c>
      <c r="AF138" s="5">
        <v>635174604</v>
      </c>
      <c r="AG138" s="88" t="s">
        <v>961</v>
      </c>
      <c r="AH138" s="111" t="s">
        <v>1115</v>
      </c>
      <c r="AI138" s="105" t="s">
        <v>102</v>
      </c>
      <c r="AJ138" s="105" t="s">
        <v>414</v>
      </c>
      <c r="AK138" s="105">
        <v>71</v>
      </c>
      <c r="AL138" s="105">
        <v>1711014969</v>
      </c>
      <c r="AM138" s="84"/>
      <c r="AN138" s="8"/>
      <c r="AO138" s="89">
        <v>10</v>
      </c>
      <c r="AQ138" s="116" t="str">
        <f>CONCATENATE("NS",C137,"AZ")</f>
        <v>NS0043AZ</v>
      </c>
      <c r="AR138" s="9" t="str">
        <f>CONCATENATE(Q138," ",R138," ",S138)</f>
        <v>LAURA FUEGO SAN FRANCISCO</v>
      </c>
      <c r="AS138" s="9"/>
      <c r="AT138" s="162" t="str">
        <f t="shared" si="4"/>
        <v>NS0043AZ-LAURA FUEGO SAN FRANCISCO</v>
      </c>
      <c r="AU138" s="9" t="str">
        <f>U138</f>
        <v>53551160F</v>
      </c>
      <c r="AV138" s="116"/>
      <c r="AW138" s="9" t="str">
        <f>CONCATENATE(AH138,AI138,AJ138,AK138,AL138)</f>
        <v>ES2514650727711711014969</v>
      </c>
      <c r="AZ138" s="159">
        <v>43101</v>
      </c>
    </row>
    <row r="139" spans="1:52" ht="15" customHeight="1" x14ac:dyDescent="0.25">
      <c r="A139" s="72">
        <v>137</v>
      </c>
      <c r="B139" s="80"/>
      <c r="C139" s="157" t="s">
        <v>1717</v>
      </c>
      <c r="D139" s="5" t="s">
        <v>688</v>
      </c>
      <c r="E139" s="5" t="s">
        <v>729</v>
      </c>
      <c r="F139" s="5" t="s">
        <v>812</v>
      </c>
      <c r="G139" s="5" t="s">
        <v>810</v>
      </c>
      <c r="H139" s="2"/>
      <c r="I139" s="165"/>
      <c r="J139" s="5" t="s">
        <v>581</v>
      </c>
      <c r="K139" s="5" t="s">
        <v>1229</v>
      </c>
      <c r="L139" s="5" t="s">
        <v>1231</v>
      </c>
      <c r="M139" s="5" t="str">
        <f>CONCATENATE(K139," ",L139)</f>
        <v>ASCAZ HOSPITALARIA</v>
      </c>
      <c r="N139" s="5"/>
      <c r="O139" s="5"/>
      <c r="P139" s="5" t="s">
        <v>43</v>
      </c>
      <c r="Q139" s="87" t="s">
        <v>413</v>
      </c>
      <c r="R139" s="87" t="s">
        <v>412</v>
      </c>
      <c r="S139" s="87" t="s">
        <v>63</v>
      </c>
      <c r="T139" s="5" t="s">
        <v>411</v>
      </c>
      <c r="U139" s="5" t="s">
        <v>410</v>
      </c>
      <c r="V139" s="5" t="s">
        <v>665</v>
      </c>
      <c r="W139" s="2">
        <v>29723</v>
      </c>
      <c r="X139" s="7">
        <f ca="1">YEAR($X$1)-YEAR(W139)</f>
        <v>37</v>
      </c>
      <c r="Y139" s="5"/>
      <c r="Z139" s="87"/>
      <c r="AA139" s="5"/>
      <c r="AB139" s="5"/>
      <c r="AC139" s="5"/>
      <c r="AD139" s="5"/>
      <c r="AE139" s="5"/>
      <c r="AF139" s="5">
        <v>635172026</v>
      </c>
      <c r="AG139" s="88" t="s">
        <v>962</v>
      </c>
      <c r="AH139" s="111"/>
      <c r="AI139" s="105"/>
      <c r="AJ139" s="105"/>
      <c r="AK139" s="105"/>
      <c r="AL139" s="105"/>
      <c r="AM139" s="84"/>
      <c r="AN139" s="8"/>
      <c r="AO139" s="89">
        <v>10</v>
      </c>
      <c r="AR139" s="9"/>
      <c r="AS139" s="9"/>
      <c r="AT139" s="162" t="str">
        <f t="shared" si="4"/>
        <v>-</v>
      </c>
      <c r="AU139" s="9"/>
      <c r="AV139" s="116"/>
    </row>
    <row r="140" spans="1:52" ht="15" customHeight="1" x14ac:dyDescent="0.25">
      <c r="A140" s="72">
        <v>138</v>
      </c>
      <c r="B140" s="80"/>
      <c r="C140" s="156" t="s">
        <v>1609</v>
      </c>
      <c r="D140" s="81"/>
      <c r="E140" s="6"/>
      <c r="F140" s="6"/>
      <c r="G140" s="6"/>
      <c r="H140" s="4"/>
      <c r="I140" s="166"/>
      <c r="J140" s="6"/>
      <c r="K140" s="6"/>
      <c r="L140" s="6"/>
      <c r="M140" s="91"/>
      <c r="N140" s="91"/>
      <c r="O140" s="91"/>
      <c r="P140" s="6"/>
      <c r="Q140" s="92"/>
      <c r="R140" s="92"/>
      <c r="S140" s="92"/>
      <c r="T140" s="6"/>
      <c r="U140" s="6"/>
      <c r="V140" s="6"/>
      <c r="W140" s="4"/>
      <c r="X140" s="6"/>
      <c r="Y140" s="6"/>
      <c r="Z140" s="92"/>
      <c r="AA140" s="6"/>
      <c r="AB140" s="6"/>
      <c r="AC140" s="6"/>
      <c r="AD140" s="6"/>
      <c r="AE140" s="6"/>
      <c r="AF140" s="6"/>
      <c r="AG140" s="93"/>
      <c r="AH140" s="110"/>
      <c r="AI140" s="110"/>
      <c r="AJ140" s="110"/>
      <c r="AK140" s="110"/>
      <c r="AL140" s="110"/>
      <c r="AM140" s="84"/>
      <c r="AN140" s="85">
        <v>30</v>
      </c>
      <c r="AO140" s="85"/>
      <c r="AP140" s="117" t="str">
        <f>C140</f>
        <v>0044</v>
      </c>
      <c r="AR140" s="9"/>
      <c r="AS140" s="9"/>
      <c r="AT140" s="162" t="str">
        <f t="shared" si="4"/>
        <v>-</v>
      </c>
      <c r="AU140" s="9"/>
      <c r="AV140" s="116"/>
    </row>
    <row r="141" spans="1:52" ht="15" customHeight="1" x14ac:dyDescent="0.25">
      <c r="A141" s="72">
        <v>139</v>
      </c>
      <c r="B141" s="80"/>
      <c r="C141" s="157" t="s">
        <v>1717</v>
      </c>
      <c r="D141" s="5" t="s">
        <v>689</v>
      </c>
      <c r="E141" s="5" t="s">
        <v>729</v>
      </c>
      <c r="F141" s="5" t="s">
        <v>736</v>
      </c>
      <c r="G141" s="5" t="s">
        <v>811</v>
      </c>
      <c r="H141" s="2"/>
      <c r="I141" s="165">
        <v>43118</v>
      </c>
      <c r="J141" s="5" t="s">
        <v>581</v>
      </c>
      <c r="K141" s="5" t="s">
        <v>1229</v>
      </c>
      <c r="L141" s="5" t="s">
        <v>1231</v>
      </c>
      <c r="M141" s="5" t="str">
        <f>CONCATENATE(K141," ",L141)</f>
        <v>ASCAZ HOSPITALARIA</v>
      </c>
      <c r="N141" s="5"/>
      <c r="O141" s="5"/>
      <c r="P141" s="5" t="s">
        <v>154</v>
      </c>
      <c r="Q141" s="87" t="s">
        <v>1144</v>
      </c>
      <c r="R141" s="87" t="s">
        <v>409</v>
      </c>
      <c r="S141" s="87" t="s">
        <v>408</v>
      </c>
      <c r="T141" s="5" t="s">
        <v>2</v>
      </c>
      <c r="U141" s="5" t="s">
        <v>1163</v>
      </c>
      <c r="V141" s="5" t="s">
        <v>646</v>
      </c>
      <c r="W141" s="2">
        <v>20495</v>
      </c>
      <c r="X141" s="7">
        <f ca="1">YEAR($X$1)-YEAR(W141)</f>
        <v>62</v>
      </c>
      <c r="Y141" s="5" t="s">
        <v>1</v>
      </c>
      <c r="Z141" s="87" t="s">
        <v>407</v>
      </c>
      <c r="AA141" s="5">
        <v>6</v>
      </c>
      <c r="AB141" s="5" t="s">
        <v>406</v>
      </c>
      <c r="AC141" s="5" t="s">
        <v>0</v>
      </c>
      <c r="AD141" s="5" t="s">
        <v>31</v>
      </c>
      <c r="AE141" s="5">
        <v>33213</v>
      </c>
      <c r="AF141" s="5">
        <v>697109771</v>
      </c>
      <c r="AG141" s="88" t="s">
        <v>963</v>
      </c>
      <c r="AH141" s="105" t="s">
        <v>276</v>
      </c>
      <c r="AI141" s="105" t="s">
        <v>405</v>
      </c>
      <c r="AJ141" s="105">
        <v>5301</v>
      </c>
      <c r="AK141" s="105">
        <v>97</v>
      </c>
      <c r="AL141" s="105">
        <v>4210001432</v>
      </c>
      <c r="AM141" s="84"/>
      <c r="AN141" s="8"/>
      <c r="AO141" s="89">
        <v>10</v>
      </c>
      <c r="AQ141" s="116" t="str">
        <f>CONCATENATE("NS",C140,"AZ")</f>
        <v>NS0044AZ</v>
      </c>
      <c r="AR141" s="9" t="str">
        <f>CONCATENATE(Q141," ",R141," ",S141)</f>
        <v>MARÍA ADELA BLANCO  REDONDO</v>
      </c>
      <c r="AS141" s="9"/>
      <c r="AT141" s="162" t="str">
        <f t="shared" si="4"/>
        <v>NS0044AZ-MARÍA ADELA BLANCO  REDONDO</v>
      </c>
      <c r="AU141" s="9" t="str">
        <f>U141</f>
        <v>10804183W</v>
      </c>
      <c r="AV141" s="116"/>
      <c r="AW141" s="9" t="str">
        <f>CONCATENATE(AH141,AI141,AJ141,AK141,AL141)</f>
        <v>ES4300195301974210001432</v>
      </c>
      <c r="AZ141" s="159">
        <v>43118</v>
      </c>
    </row>
    <row r="142" spans="1:52" ht="15" customHeight="1" x14ac:dyDescent="0.25">
      <c r="A142" s="72">
        <v>140</v>
      </c>
      <c r="B142" s="80"/>
      <c r="C142" s="156" t="s">
        <v>1610</v>
      </c>
      <c r="D142" s="81"/>
      <c r="E142" s="6"/>
      <c r="F142" s="6"/>
      <c r="G142" s="6"/>
      <c r="H142" s="4"/>
      <c r="I142" s="166"/>
      <c r="J142" s="6"/>
      <c r="K142" s="6"/>
      <c r="L142" s="6"/>
      <c r="M142" s="91"/>
      <c r="N142" s="91"/>
      <c r="O142" s="91"/>
      <c r="P142" s="6"/>
      <c r="Q142" s="92"/>
      <c r="R142" s="92"/>
      <c r="S142" s="92"/>
      <c r="T142" s="6"/>
      <c r="U142" s="6"/>
      <c r="V142" s="6"/>
      <c r="W142" s="4"/>
      <c r="X142" s="6"/>
      <c r="Y142" s="6"/>
      <c r="Z142" s="92"/>
      <c r="AA142" s="6"/>
      <c r="AB142" s="6"/>
      <c r="AC142" s="6"/>
      <c r="AD142" s="6"/>
      <c r="AE142" s="6"/>
      <c r="AF142" s="6"/>
      <c r="AG142" s="93"/>
      <c r="AH142" s="110"/>
      <c r="AI142" s="110"/>
      <c r="AJ142" s="110"/>
      <c r="AK142" s="110"/>
      <c r="AL142" s="110"/>
      <c r="AM142" s="84"/>
      <c r="AN142" s="85">
        <v>30</v>
      </c>
      <c r="AO142" s="85"/>
      <c r="AP142" s="117" t="str">
        <f>C142</f>
        <v>0045</v>
      </c>
      <c r="AR142" s="9"/>
      <c r="AS142" s="9"/>
      <c r="AT142" s="162" t="str">
        <f t="shared" si="4"/>
        <v>-</v>
      </c>
      <c r="AU142" s="9"/>
      <c r="AV142" s="116"/>
    </row>
    <row r="143" spans="1:52" ht="15" customHeight="1" x14ac:dyDescent="0.25">
      <c r="A143" s="72">
        <v>141</v>
      </c>
      <c r="B143" s="80"/>
      <c r="C143" s="157" t="s">
        <v>1717</v>
      </c>
      <c r="D143" s="5" t="s">
        <v>690</v>
      </c>
      <c r="E143" s="5" t="s">
        <v>729</v>
      </c>
      <c r="F143" s="5" t="s">
        <v>736</v>
      </c>
      <c r="G143" s="5" t="s">
        <v>811</v>
      </c>
      <c r="H143" s="2"/>
      <c r="I143" s="165">
        <v>43108</v>
      </c>
      <c r="J143" s="5" t="s">
        <v>581</v>
      </c>
      <c r="K143" s="5" t="s">
        <v>1229</v>
      </c>
      <c r="L143" s="5" t="s">
        <v>1231</v>
      </c>
      <c r="M143" s="5" t="str">
        <f>CONCATENATE(K143," ",L143)</f>
        <v>ASCAZ HOSPITALARIA</v>
      </c>
      <c r="N143" s="5"/>
      <c r="O143" s="5"/>
      <c r="P143" s="5" t="s">
        <v>154</v>
      </c>
      <c r="Q143" s="87" t="s">
        <v>404</v>
      </c>
      <c r="R143" s="87" t="s">
        <v>63</v>
      </c>
      <c r="S143" s="87" t="s">
        <v>403</v>
      </c>
      <c r="T143" s="5" t="s">
        <v>2</v>
      </c>
      <c r="U143" s="5" t="s">
        <v>402</v>
      </c>
      <c r="V143" s="5" t="s">
        <v>646</v>
      </c>
      <c r="W143" s="2">
        <v>29561</v>
      </c>
      <c r="X143" s="7">
        <f ca="1">YEAR($X$1)-YEAR(W143)</f>
        <v>38</v>
      </c>
      <c r="Y143" s="5" t="s">
        <v>1</v>
      </c>
      <c r="Z143" s="87" t="s">
        <v>401</v>
      </c>
      <c r="AA143" s="5">
        <v>57</v>
      </c>
      <c r="AB143" s="5" t="s">
        <v>400</v>
      </c>
      <c r="AC143" s="5" t="s">
        <v>0</v>
      </c>
      <c r="AD143" s="5" t="s">
        <v>31</v>
      </c>
      <c r="AE143" s="5">
        <v>33210</v>
      </c>
      <c r="AF143" s="5">
        <v>620397417</v>
      </c>
      <c r="AG143" s="88" t="s">
        <v>964</v>
      </c>
      <c r="AH143" s="105" t="s">
        <v>399</v>
      </c>
      <c r="AI143" s="105" t="s">
        <v>13</v>
      </c>
      <c r="AJ143" s="105">
        <v>5066</v>
      </c>
      <c r="AK143" s="105">
        <v>50</v>
      </c>
      <c r="AL143" s="105" t="s">
        <v>398</v>
      </c>
      <c r="AM143" s="84"/>
      <c r="AN143" s="8"/>
      <c r="AO143" s="89">
        <v>10</v>
      </c>
      <c r="AQ143" s="116" t="str">
        <f>CONCATENATE("NS",C142,"AZ")</f>
        <v>NS0045AZ</v>
      </c>
      <c r="AR143" s="9" t="str">
        <f>CONCATENATE(Q143," ",R143," ",S143)</f>
        <v>ELENA FERNÁNDEZ BLANCO</v>
      </c>
      <c r="AS143" s="9"/>
      <c r="AT143" s="162" t="str">
        <f t="shared" si="4"/>
        <v>NS0045AZ-ELENA FERNÁNDEZ BLANCO</v>
      </c>
      <c r="AU143" s="9" t="str">
        <f>U143</f>
        <v>53537857K</v>
      </c>
      <c r="AV143" s="116"/>
      <c r="AW143" s="9" t="str">
        <f>CONCATENATE(AH143,AI143,AJ143,AK143,AL143)</f>
        <v>ES2600815066500006033014</v>
      </c>
      <c r="AZ143" s="159">
        <v>43108</v>
      </c>
    </row>
    <row r="144" spans="1:52" ht="15" customHeight="1" x14ac:dyDescent="0.25">
      <c r="A144" s="72">
        <v>142</v>
      </c>
      <c r="B144" s="80"/>
      <c r="C144" s="156" t="s">
        <v>1611</v>
      </c>
      <c r="D144" s="81"/>
      <c r="E144" s="6"/>
      <c r="F144" s="6"/>
      <c r="G144" s="6"/>
      <c r="H144" s="4"/>
      <c r="I144" s="166"/>
      <c r="J144" s="6"/>
      <c r="K144" s="6"/>
      <c r="L144" s="6"/>
      <c r="M144" s="91"/>
      <c r="N144" s="91"/>
      <c r="O144" s="91"/>
      <c r="P144" s="6"/>
      <c r="Q144" s="92"/>
      <c r="R144" s="92"/>
      <c r="S144" s="92"/>
      <c r="T144" s="6"/>
      <c r="U144" s="6"/>
      <c r="V144" s="6"/>
      <c r="W144" s="4"/>
      <c r="X144" s="6"/>
      <c r="Y144" s="6"/>
      <c r="Z144" s="92"/>
      <c r="AA144" s="6"/>
      <c r="AB144" s="6"/>
      <c r="AC144" s="6"/>
      <c r="AD144" s="6"/>
      <c r="AE144" s="6"/>
      <c r="AF144" s="6"/>
      <c r="AG144" s="93"/>
      <c r="AH144" s="110"/>
      <c r="AI144" s="110"/>
      <c r="AJ144" s="110"/>
      <c r="AK144" s="110"/>
      <c r="AL144" s="110"/>
      <c r="AM144" s="84"/>
      <c r="AN144" s="85">
        <v>30</v>
      </c>
      <c r="AO144" s="85"/>
      <c r="AP144" s="117" t="str">
        <f>C144</f>
        <v>0046</v>
      </c>
      <c r="AR144" s="9"/>
      <c r="AS144" s="9"/>
      <c r="AT144" s="162" t="str">
        <f t="shared" si="4"/>
        <v>-</v>
      </c>
      <c r="AU144" s="9"/>
      <c r="AV144" s="116"/>
    </row>
    <row r="145" spans="1:52" ht="15" customHeight="1" x14ac:dyDescent="0.25">
      <c r="A145" s="72">
        <v>143</v>
      </c>
      <c r="B145" s="80"/>
      <c r="C145" s="157" t="s">
        <v>1717</v>
      </c>
      <c r="D145" s="5" t="s">
        <v>691</v>
      </c>
      <c r="E145" s="5" t="s">
        <v>729</v>
      </c>
      <c r="F145" s="5" t="s">
        <v>812</v>
      </c>
      <c r="G145" s="5" t="s">
        <v>811</v>
      </c>
      <c r="H145" s="2"/>
      <c r="I145" s="165">
        <v>43088</v>
      </c>
      <c r="J145" s="5" t="s">
        <v>581</v>
      </c>
      <c r="K145" s="5" t="s">
        <v>1229</v>
      </c>
      <c r="L145" s="5" t="s">
        <v>1231</v>
      </c>
      <c r="M145" s="5" t="str">
        <f>CONCATENATE(K145," ",L145)</f>
        <v>ASCAZ HOSPITALARIA</v>
      </c>
      <c r="N145" s="5"/>
      <c r="O145" s="5"/>
      <c r="P145" s="5" t="s">
        <v>154</v>
      </c>
      <c r="Q145" s="87" t="s">
        <v>397</v>
      </c>
      <c r="R145" s="87" t="s">
        <v>297</v>
      </c>
      <c r="S145" s="87" t="s">
        <v>396</v>
      </c>
      <c r="T145" s="5" t="s">
        <v>2</v>
      </c>
      <c r="U145" s="5" t="s">
        <v>395</v>
      </c>
      <c r="V145" s="5" t="s">
        <v>646</v>
      </c>
      <c r="W145" s="2">
        <v>28846</v>
      </c>
      <c r="X145" s="7">
        <f ca="1">YEAR($X$1)-YEAR(W145)</f>
        <v>40</v>
      </c>
      <c r="Y145" s="5" t="s">
        <v>318</v>
      </c>
      <c r="Z145" s="87" t="s">
        <v>394</v>
      </c>
      <c r="AA145" s="5">
        <v>900</v>
      </c>
      <c r="AB145" s="5" t="s">
        <v>393</v>
      </c>
      <c r="AC145" s="5" t="s">
        <v>0</v>
      </c>
      <c r="AD145" s="5" t="s">
        <v>31</v>
      </c>
      <c r="AE145" s="5">
        <v>33209</v>
      </c>
      <c r="AF145" s="5">
        <v>636837335</v>
      </c>
      <c r="AG145" s="88" t="s">
        <v>965</v>
      </c>
      <c r="AH145" s="105" t="s">
        <v>392</v>
      </c>
      <c r="AI145" s="105">
        <v>1465</v>
      </c>
      <c r="AJ145" s="105" t="s">
        <v>77</v>
      </c>
      <c r="AK145" s="105">
        <v>91</v>
      </c>
      <c r="AL145" s="105">
        <v>1723325519</v>
      </c>
      <c r="AM145" s="84"/>
      <c r="AN145" s="8"/>
      <c r="AO145" s="89">
        <v>10</v>
      </c>
      <c r="AQ145" s="116" t="str">
        <f>CONCATENATE("NS",C144,"AZ")</f>
        <v>NS0046AZ</v>
      </c>
      <c r="AR145" s="9" t="str">
        <f>CONCATENATE(Q145," ",R145," ",S145)</f>
        <v>LUCÍA SUÁREZ DÍAZ</v>
      </c>
      <c r="AS145" s="9"/>
      <c r="AT145" s="162" t="str">
        <f t="shared" si="4"/>
        <v>NS0046AZ-LUCÍA SUÁREZ DÍAZ</v>
      </c>
      <c r="AU145" s="9" t="str">
        <f>U145</f>
        <v>53543369J</v>
      </c>
      <c r="AV145" s="116"/>
      <c r="AW145" s="9" t="str">
        <f>CONCATENATE(AH145,AI145,AJ145,AK145,AL145)</f>
        <v>ES8014650100911723325519</v>
      </c>
      <c r="AZ145" s="159">
        <v>43088</v>
      </c>
    </row>
    <row r="146" spans="1:52" ht="15" customHeight="1" x14ac:dyDescent="0.25">
      <c r="A146" s="72">
        <v>144</v>
      </c>
      <c r="B146" s="80"/>
      <c r="C146" s="157" t="s">
        <v>1717</v>
      </c>
      <c r="D146" s="5" t="s">
        <v>692</v>
      </c>
      <c r="E146" s="5" t="s">
        <v>729</v>
      </c>
      <c r="F146" s="5" t="s">
        <v>812</v>
      </c>
      <c r="G146" s="5" t="s">
        <v>811</v>
      </c>
      <c r="H146" s="2"/>
      <c r="I146" s="165"/>
      <c r="J146" s="5" t="s">
        <v>581</v>
      </c>
      <c r="K146" s="5" t="s">
        <v>1229</v>
      </c>
      <c r="L146" s="5" t="s">
        <v>1231</v>
      </c>
      <c r="M146" s="5" t="str">
        <f>CONCATENATE(K146," ",L146)</f>
        <v>ASCAZ HOSPITALARIA</v>
      </c>
      <c r="N146" s="5"/>
      <c r="O146" s="5"/>
      <c r="P146" s="5" t="s">
        <v>43</v>
      </c>
      <c r="Q146" s="87" t="s">
        <v>391</v>
      </c>
      <c r="R146" s="87" t="s">
        <v>390</v>
      </c>
      <c r="S146" s="87" t="s">
        <v>389</v>
      </c>
      <c r="T146" s="5"/>
      <c r="U146" s="5"/>
      <c r="V146" s="5" t="s">
        <v>665</v>
      </c>
      <c r="W146" s="2">
        <v>29754</v>
      </c>
      <c r="X146" s="7">
        <f ca="1">YEAR($X$1)-YEAR(W146)</f>
        <v>37</v>
      </c>
      <c r="Y146" s="5"/>
      <c r="Z146" s="87"/>
      <c r="AA146" s="5"/>
      <c r="AB146" s="5"/>
      <c r="AC146" s="5"/>
      <c r="AD146" s="5"/>
      <c r="AE146" s="5"/>
      <c r="AF146" s="5"/>
      <c r="AG146" s="88"/>
      <c r="AH146" s="105"/>
      <c r="AI146" s="105"/>
      <c r="AJ146" s="105"/>
      <c r="AK146" s="105"/>
      <c r="AL146" s="105"/>
      <c r="AM146" s="84"/>
      <c r="AN146" s="8"/>
      <c r="AO146" s="89">
        <v>10</v>
      </c>
      <c r="AR146" s="9"/>
      <c r="AS146" s="9"/>
      <c r="AT146" s="162" t="str">
        <f t="shared" si="4"/>
        <v>-</v>
      </c>
      <c r="AU146" s="9"/>
      <c r="AV146" s="116"/>
      <c r="AZ146" s="159"/>
    </row>
    <row r="147" spans="1:52" ht="15" customHeight="1" x14ac:dyDescent="0.25">
      <c r="A147" s="72">
        <v>145</v>
      </c>
      <c r="B147" s="80"/>
      <c r="C147" s="156" t="s">
        <v>1612</v>
      </c>
      <c r="D147" s="81"/>
      <c r="E147" s="6"/>
      <c r="F147" s="6"/>
      <c r="G147" s="6"/>
      <c r="H147" s="4"/>
      <c r="I147" s="166"/>
      <c r="J147" s="6"/>
      <c r="K147" s="6"/>
      <c r="L147" s="6"/>
      <c r="M147" s="91"/>
      <c r="N147" s="91"/>
      <c r="O147" s="91"/>
      <c r="P147" s="6"/>
      <c r="Q147" s="92"/>
      <c r="R147" s="92"/>
      <c r="S147" s="92"/>
      <c r="T147" s="6"/>
      <c r="U147" s="6"/>
      <c r="V147" s="6"/>
      <c r="W147" s="4"/>
      <c r="X147" s="6"/>
      <c r="Y147" s="6"/>
      <c r="Z147" s="92"/>
      <c r="AA147" s="6"/>
      <c r="AB147" s="6"/>
      <c r="AC147" s="6"/>
      <c r="AD147" s="6"/>
      <c r="AE147" s="6"/>
      <c r="AF147" s="6"/>
      <c r="AG147" s="93"/>
      <c r="AH147" s="110"/>
      <c r="AI147" s="110"/>
      <c r="AJ147" s="110"/>
      <c r="AK147" s="110"/>
      <c r="AL147" s="110"/>
      <c r="AM147" s="84"/>
      <c r="AN147" s="85">
        <v>30</v>
      </c>
      <c r="AO147" s="85"/>
      <c r="AP147" s="117" t="str">
        <f>C147</f>
        <v>0047</v>
      </c>
      <c r="AR147" s="9"/>
      <c r="AS147" s="9"/>
      <c r="AT147" s="162" t="str">
        <f t="shared" si="4"/>
        <v>-</v>
      </c>
      <c r="AU147" s="9"/>
      <c r="AV147" s="116"/>
    </row>
    <row r="148" spans="1:52" ht="15" customHeight="1" x14ac:dyDescent="0.25">
      <c r="A148" s="72">
        <v>146</v>
      </c>
      <c r="B148" s="80"/>
      <c r="C148" s="157" t="s">
        <v>1717</v>
      </c>
      <c r="D148" s="5" t="s">
        <v>693</v>
      </c>
      <c r="E148" s="5" t="s">
        <v>729</v>
      </c>
      <c r="F148" s="5" t="s">
        <v>732</v>
      </c>
      <c r="G148" s="5" t="s">
        <v>811</v>
      </c>
      <c r="H148" s="2">
        <v>42164</v>
      </c>
      <c r="I148" s="165">
        <v>43103</v>
      </c>
      <c r="J148" s="5" t="s">
        <v>581</v>
      </c>
      <c r="K148" s="5" t="s">
        <v>1229</v>
      </c>
      <c r="L148" s="5" t="s">
        <v>1231</v>
      </c>
      <c r="M148" s="5" t="str">
        <f>CONCATENATE(K148," ",L148)</f>
        <v>ASCAZ HOSPITALARIA</v>
      </c>
      <c r="N148" s="5"/>
      <c r="O148" s="5"/>
      <c r="P148" s="5" t="s">
        <v>154</v>
      </c>
      <c r="Q148" s="87" t="s">
        <v>966</v>
      </c>
      <c r="R148" s="87" t="s">
        <v>174</v>
      </c>
      <c r="S148" s="87" t="s">
        <v>967</v>
      </c>
      <c r="T148" s="5" t="s">
        <v>2</v>
      </c>
      <c r="U148" s="5" t="s">
        <v>388</v>
      </c>
      <c r="V148" s="5" t="s">
        <v>665</v>
      </c>
      <c r="W148" s="2">
        <v>20821</v>
      </c>
      <c r="X148" s="7">
        <f ca="1">YEAR($X$1)-YEAR(W148)</f>
        <v>61</v>
      </c>
      <c r="Y148" s="5" t="s">
        <v>1</v>
      </c>
      <c r="Z148" s="87" t="s">
        <v>968</v>
      </c>
      <c r="AA148" s="5">
        <v>21</v>
      </c>
      <c r="AB148" s="5" t="s">
        <v>387</v>
      </c>
      <c r="AC148" s="5" t="s">
        <v>0</v>
      </c>
      <c r="AD148" s="5" t="s">
        <v>7</v>
      </c>
      <c r="AE148" s="5">
        <v>33011</v>
      </c>
      <c r="AF148" s="5">
        <v>619000607</v>
      </c>
      <c r="AG148" s="88" t="s">
        <v>969</v>
      </c>
      <c r="AH148" s="105" t="s">
        <v>1360</v>
      </c>
      <c r="AI148" s="105" t="s">
        <v>386</v>
      </c>
      <c r="AJ148" s="105" t="s">
        <v>1588</v>
      </c>
      <c r="AK148" s="105" t="s">
        <v>1680</v>
      </c>
      <c r="AL148" s="105" t="s">
        <v>1681</v>
      </c>
      <c r="AM148" s="84"/>
      <c r="AN148" s="8"/>
      <c r="AO148" s="89">
        <v>10</v>
      </c>
      <c r="AQ148" s="116" t="str">
        <f>CONCATENATE("NS",C147,"AZ")</f>
        <v>NS0047AZ</v>
      </c>
      <c r="AR148" s="9" t="str">
        <f>CONCATENATE(Q148," ",R148," ",S148)</f>
        <v>MANUEL A. MENÉNDEZ RIONDA</v>
      </c>
      <c r="AS148" s="9"/>
      <c r="AT148" s="162" t="str">
        <f t="shared" si="4"/>
        <v>NS0047AZ-MANUEL A. MENÉNDEZ RIONDA</v>
      </c>
      <c r="AU148" s="9" t="str">
        <f>U148</f>
        <v>10809058R</v>
      </c>
      <c r="AV148" s="116"/>
      <c r="AW148" s="9" t="str">
        <f>CONCATENATE(AH148,AI148,AJ148,AK148,AL148)</f>
        <v>ES2700750017290705162632</v>
      </c>
      <c r="AZ148" s="159">
        <v>43103</v>
      </c>
    </row>
    <row r="149" spans="1:52" ht="15" customHeight="1" x14ac:dyDescent="0.25">
      <c r="A149" s="72">
        <v>147</v>
      </c>
      <c r="B149" s="80"/>
      <c r="C149" s="157" t="s">
        <v>1717</v>
      </c>
      <c r="D149" s="5" t="s">
        <v>694</v>
      </c>
      <c r="E149" s="5" t="s">
        <v>729</v>
      </c>
      <c r="F149" s="5" t="s">
        <v>732</v>
      </c>
      <c r="G149" s="5" t="s">
        <v>811</v>
      </c>
      <c r="H149" s="2">
        <v>42164</v>
      </c>
      <c r="I149" s="165"/>
      <c r="J149" s="5" t="s">
        <v>581</v>
      </c>
      <c r="K149" s="5" t="s">
        <v>1229</v>
      </c>
      <c r="L149" s="5" t="s">
        <v>1231</v>
      </c>
      <c r="M149" s="5" t="str">
        <f>CONCATENATE(K149," ",L149)</f>
        <v>ASCAZ HOSPITALARIA</v>
      </c>
      <c r="N149" s="5"/>
      <c r="O149" s="5"/>
      <c r="P149" s="5" t="s">
        <v>43</v>
      </c>
      <c r="Q149" s="87" t="s">
        <v>1130</v>
      </c>
      <c r="R149" s="87" t="s">
        <v>394</v>
      </c>
      <c r="S149" s="87" t="s">
        <v>174</v>
      </c>
      <c r="T149" s="5" t="s">
        <v>2</v>
      </c>
      <c r="U149" s="5" t="s">
        <v>385</v>
      </c>
      <c r="V149" s="5" t="s">
        <v>646</v>
      </c>
      <c r="W149" s="2">
        <v>21471</v>
      </c>
      <c r="X149" s="7">
        <f ca="1">YEAR($X$1)-YEAR(W149)</f>
        <v>60</v>
      </c>
      <c r="Y149" s="5"/>
      <c r="Z149" s="87"/>
      <c r="AA149" s="5"/>
      <c r="AB149" s="5"/>
      <c r="AC149" s="5"/>
      <c r="AD149" s="5"/>
      <c r="AE149" s="5"/>
      <c r="AF149" s="5"/>
      <c r="AG149" s="88"/>
      <c r="AH149" s="105"/>
      <c r="AI149" s="105"/>
      <c r="AJ149" s="105"/>
      <c r="AK149" s="105"/>
      <c r="AL149" s="105"/>
      <c r="AM149" s="84"/>
      <c r="AN149" s="8"/>
      <c r="AO149" s="89">
        <v>10</v>
      </c>
      <c r="AR149" s="9"/>
      <c r="AS149" s="9"/>
      <c r="AT149" s="162" t="str">
        <f t="shared" si="4"/>
        <v>-</v>
      </c>
      <c r="AU149" s="9"/>
      <c r="AV149" s="116"/>
    </row>
    <row r="150" spans="1:52" ht="15" customHeight="1" x14ac:dyDescent="0.25">
      <c r="A150" s="72">
        <v>148</v>
      </c>
      <c r="B150" s="80"/>
      <c r="C150" s="156" t="s">
        <v>1613</v>
      </c>
      <c r="D150" s="81"/>
      <c r="E150" s="6"/>
      <c r="F150" s="6"/>
      <c r="G150" s="6"/>
      <c r="H150" s="4"/>
      <c r="I150" s="166"/>
      <c r="J150" s="6"/>
      <c r="K150" s="6"/>
      <c r="L150" s="6"/>
      <c r="M150" s="91"/>
      <c r="N150" s="91"/>
      <c r="O150" s="91"/>
      <c r="P150" s="6"/>
      <c r="Q150" s="92"/>
      <c r="R150" s="92"/>
      <c r="S150" s="92"/>
      <c r="T150" s="6"/>
      <c r="U150" s="6"/>
      <c r="V150" s="6"/>
      <c r="W150" s="4"/>
      <c r="X150" s="6"/>
      <c r="Y150" s="6"/>
      <c r="Z150" s="92"/>
      <c r="AA150" s="6"/>
      <c r="AB150" s="6"/>
      <c r="AC150" s="6"/>
      <c r="AD150" s="6"/>
      <c r="AE150" s="6"/>
      <c r="AF150" s="6"/>
      <c r="AG150" s="93"/>
      <c r="AH150" s="110"/>
      <c r="AI150" s="110"/>
      <c r="AJ150" s="110"/>
      <c r="AK150" s="110"/>
      <c r="AL150" s="110"/>
      <c r="AM150" s="84"/>
      <c r="AN150" s="85">
        <v>30</v>
      </c>
      <c r="AO150" s="85"/>
      <c r="AP150" s="117" t="str">
        <f>C150</f>
        <v>0048</v>
      </c>
      <c r="AR150" s="9"/>
      <c r="AS150" s="9"/>
      <c r="AT150" s="162" t="str">
        <f t="shared" si="4"/>
        <v>-</v>
      </c>
      <c r="AU150" s="9"/>
      <c r="AV150" s="116"/>
    </row>
    <row r="151" spans="1:52" ht="15" customHeight="1" x14ac:dyDescent="0.25">
      <c r="A151" s="72">
        <v>149</v>
      </c>
      <c r="B151" s="80"/>
      <c r="C151" s="157" t="s">
        <v>1717</v>
      </c>
      <c r="D151" s="5" t="s">
        <v>695</v>
      </c>
      <c r="E151" s="5" t="s">
        <v>729</v>
      </c>
      <c r="F151" s="7" t="s">
        <v>732</v>
      </c>
      <c r="G151" s="5" t="s">
        <v>811</v>
      </c>
      <c r="H151" s="2">
        <v>42164</v>
      </c>
      <c r="I151" s="165">
        <v>43103</v>
      </c>
      <c r="J151" s="5" t="s">
        <v>581</v>
      </c>
      <c r="K151" s="5" t="s">
        <v>1229</v>
      </c>
      <c r="L151" s="5" t="s">
        <v>1231</v>
      </c>
      <c r="M151" s="5" t="str">
        <f>CONCATENATE(K151," ",L151)</f>
        <v>ASCAZ HOSPITALARIA</v>
      </c>
      <c r="N151" s="5"/>
      <c r="O151" s="5"/>
      <c r="P151" s="5" t="s">
        <v>154</v>
      </c>
      <c r="Q151" s="87" t="s">
        <v>464</v>
      </c>
      <c r="R151" s="87" t="s">
        <v>233</v>
      </c>
      <c r="S151" s="87" t="s">
        <v>63</v>
      </c>
      <c r="T151" s="5" t="s">
        <v>2</v>
      </c>
      <c r="U151" s="5" t="s">
        <v>970</v>
      </c>
      <c r="V151" s="5" t="s">
        <v>665</v>
      </c>
      <c r="W151" s="2">
        <v>29453</v>
      </c>
      <c r="X151" s="7">
        <f ca="1">YEAR($X$1)-YEAR(W151)</f>
        <v>38</v>
      </c>
      <c r="Y151" s="5" t="s">
        <v>1</v>
      </c>
      <c r="Z151" s="87" t="s">
        <v>971</v>
      </c>
      <c r="AA151" s="5">
        <v>4</v>
      </c>
      <c r="AB151" s="5" t="s">
        <v>384</v>
      </c>
      <c r="AC151" s="5" t="s">
        <v>0</v>
      </c>
      <c r="AD151" s="5" t="s">
        <v>7</v>
      </c>
      <c r="AE151" s="5">
        <v>33011</v>
      </c>
      <c r="AF151" s="5">
        <v>647705123</v>
      </c>
      <c r="AG151" s="88" t="s">
        <v>972</v>
      </c>
      <c r="AH151" s="105" t="s">
        <v>1116</v>
      </c>
      <c r="AI151" s="105" t="s">
        <v>28</v>
      </c>
      <c r="AJ151" s="105">
        <v>4671</v>
      </c>
      <c r="AK151" s="105">
        <v>33</v>
      </c>
      <c r="AL151" s="105" t="s">
        <v>383</v>
      </c>
      <c r="AM151" s="84"/>
      <c r="AN151" s="8"/>
      <c r="AO151" s="89">
        <v>10</v>
      </c>
      <c r="AQ151" s="116" t="str">
        <f>CONCATENATE("NS",C150,"AZ")</f>
        <v>NS0048AZ</v>
      </c>
      <c r="AR151" s="9" t="str">
        <f>CONCATENATE(Q151," ",R151," ",S151)</f>
        <v>FERNANDO MARCOS FERNÁNDEZ</v>
      </c>
      <c r="AS151" s="9"/>
      <c r="AT151" s="162" t="str">
        <f t="shared" si="4"/>
        <v>NS0048AZ-FERNANDO MARCOS FERNÁNDEZ</v>
      </c>
      <c r="AU151" s="9" t="str">
        <f>U151</f>
        <v>09429949H</v>
      </c>
      <c r="AV151" s="116"/>
      <c r="AW151" s="9" t="str">
        <f>CONCATENATE(AH151,AI151,AJ151,AK151,AL151)</f>
        <v>ES8801824671330201536818</v>
      </c>
      <c r="AZ151" s="159">
        <v>43103</v>
      </c>
    </row>
    <row r="152" spans="1:52" ht="15" customHeight="1" x14ac:dyDescent="0.25">
      <c r="A152" s="72">
        <v>150</v>
      </c>
      <c r="B152" s="80"/>
      <c r="C152" s="156" t="s">
        <v>17</v>
      </c>
      <c r="D152" s="81"/>
      <c r="E152" s="6"/>
      <c r="F152" s="6"/>
      <c r="G152" s="6"/>
      <c r="H152" s="4"/>
      <c r="I152" s="166"/>
      <c r="J152" s="6"/>
      <c r="K152" s="6"/>
      <c r="L152" s="6"/>
      <c r="M152" s="91"/>
      <c r="N152" s="91"/>
      <c r="O152" s="91"/>
      <c r="P152" s="6"/>
      <c r="Q152" s="92"/>
      <c r="R152" s="92"/>
      <c r="S152" s="92"/>
      <c r="T152" s="6"/>
      <c r="U152" s="6"/>
      <c r="V152" s="6"/>
      <c r="W152" s="4"/>
      <c r="X152" s="6"/>
      <c r="Y152" s="6"/>
      <c r="Z152" s="92"/>
      <c r="AA152" s="6"/>
      <c r="AB152" s="6"/>
      <c r="AC152" s="6"/>
      <c r="AD152" s="6"/>
      <c r="AE152" s="6"/>
      <c r="AF152" s="6"/>
      <c r="AG152" s="93"/>
      <c r="AH152" s="110"/>
      <c r="AI152" s="110"/>
      <c r="AJ152" s="110"/>
      <c r="AK152" s="110"/>
      <c r="AL152" s="110"/>
      <c r="AM152" s="84"/>
      <c r="AN152" s="85">
        <v>30</v>
      </c>
      <c r="AO152" s="85"/>
      <c r="AP152" s="117" t="str">
        <f>C152</f>
        <v>0049</v>
      </c>
      <c r="AR152" s="9"/>
      <c r="AS152" s="9"/>
      <c r="AT152" s="162" t="str">
        <f t="shared" si="4"/>
        <v>-</v>
      </c>
      <c r="AU152" s="9"/>
      <c r="AV152" s="116"/>
    </row>
    <row r="153" spans="1:52" ht="15" customHeight="1" x14ac:dyDescent="0.25">
      <c r="A153" s="72">
        <v>151</v>
      </c>
      <c r="B153" s="80"/>
      <c r="C153" s="157" t="s">
        <v>1717</v>
      </c>
      <c r="D153" s="5" t="s">
        <v>696</v>
      </c>
      <c r="E153" s="5" t="s">
        <v>729</v>
      </c>
      <c r="F153" s="5" t="s">
        <v>733</v>
      </c>
      <c r="G153" s="5" t="s">
        <v>811</v>
      </c>
      <c r="H153" s="2">
        <v>42256</v>
      </c>
      <c r="I153" s="165">
        <v>43102</v>
      </c>
      <c r="J153" s="5" t="s">
        <v>581</v>
      </c>
      <c r="K153" s="5" t="s">
        <v>1229</v>
      </c>
      <c r="L153" s="5" t="s">
        <v>1231</v>
      </c>
      <c r="M153" s="5" t="str">
        <f>CONCATENATE(K153," ",L153)</f>
        <v>ASCAZ HOSPITALARIA</v>
      </c>
      <c r="N153" s="5"/>
      <c r="O153" s="5"/>
      <c r="P153" s="5" t="s">
        <v>154</v>
      </c>
      <c r="Q153" s="87" t="s">
        <v>153</v>
      </c>
      <c r="R153" s="87" t="s">
        <v>382</v>
      </c>
      <c r="S153" s="87" t="s">
        <v>1153</v>
      </c>
      <c r="T153" s="5"/>
      <c r="U153" s="5" t="s">
        <v>381</v>
      </c>
      <c r="V153" s="5" t="s">
        <v>665</v>
      </c>
      <c r="W153" s="2">
        <v>23898</v>
      </c>
      <c r="X153" s="7">
        <f ca="1">YEAR($X$1)-YEAR(W153)</f>
        <v>53</v>
      </c>
      <c r="Y153" s="5" t="s">
        <v>380</v>
      </c>
      <c r="Z153" s="87" t="s">
        <v>379</v>
      </c>
      <c r="AA153" s="5" t="s">
        <v>378</v>
      </c>
      <c r="AB153" s="5"/>
      <c r="AC153" s="5" t="s">
        <v>0</v>
      </c>
      <c r="AD153" s="5" t="s">
        <v>31</v>
      </c>
      <c r="AE153" s="5">
        <v>33205</v>
      </c>
      <c r="AF153" s="5">
        <v>617354915</v>
      </c>
      <c r="AG153" s="88" t="s">
        <v>973</v>
      </c>
      <c r="AH153" s="105" t="s">
        <v>192</v>
      </c>
      <c r="AI153" s="105">
        <v>2100</v>
      </c>
      <c r="AJ153" s="105">
        <v>1452</v>
      </c>
      <c r="AK153" s="105">
        <v>84</v>
      </c>
      <c r="AL153" s="105" t="s">
        <v>377</v>
      </c>
      <c r="AM153" s="84"/>
      <c r="AN153" s="8"/>
      <c r="AO153" s="89">
        <v>10</v>
      </c>
      <c r="AQ153" s="116" t="str">
        <f>CONCATENATE("NS",C152,"AZ")</f>
        <v>NS0049AZ</v>
      </c>
      <c r="AR153" s="9" t="str">
        <f>CONCATENATE(Q153," ",R153," ",S153)</f>
        <v>ANGEL MONASTERIO BENÍTEZ</v>
      </c>
      <c r="AS153" s="9"/>
      <c r="AT153" s="162" t="str">
        <f t="shared" si="4"/>
        <v>NS0049AZ-ANGEL MONASTERIO BENÍTEZ</v>
      </c>
      <c r="AU153" s="9" t="str">
        <f>U153</f>
        <v>10841506 L</v>
      </c>
      <c r="AV153" s="116"/>
      <c r="AW153" s="9" t="str">
        <f>CONCATENATE(AH153,AI153,AJ153,AK153,AL153)</f>
        <v>ES1121001452840200044654</v>
      </c>
      <c r="AZ153" s="159">
        <v>43102</v>
      </c>
    </row>
    <row r="154" spans="1:52" ht="15" customHeight="1" x14ac:dyDescent="0.25">
      <c r="A154" s="72">
        <v>152</v>
      </c>
      <c r="B154" s="80"/>
      <c r="C154" s="157" t="s">
        <v>1717</v>
      </c>
      <c r="D154" s="5" t="s">
        <v>697</v>
      </c>
      <c r="E154" s="5" t="s">
        <v>729</v>
      </c>
      <c r="F154" s="5" t="s">
        <v>733</v>
      </c>
      <c r="G154" s="5" t="s">
        <v>811</v>
      </c>
      <c r="H154" s="2">
        <v>42256</v>
      </c>
      <c r="I154" s="165"/>
      <c r="J154" s="5" t="s">
        <v>581</v>
      </c>
      <c r="K154" s="5" t="s">
        <v>1229</v>
      </c>
      <c r="L154" s="5" t="s">
        <v>1231</v>
      </c>
      <c r="M154" s="5" t="str">
        <f>CONCATENATE(K154," ",L154)</f>
        <v>ASCAZ HOSPITALARIA</v>
      </c>
      <c r="N154" s="5"/>
      <c r="O154" s="5"/>
      <c r="P154" s="5" t="s">
        <v>43</v>
      </c>
      <c r="Q154" s="87" t="s">
        <v>376</v>
      </c>
      <c r="R154" s="87" t="s">
        <v>396</v>
      </c>
      <c r="S154" s="87" t="s">
        <v>375</v>
      </c>
      <c r="T154" s="5"/>
      <c r="U154" s="5" t="s">
        <v>374</v>
      </c>
      <c r="V154" s="5" t="s">
        <v>646</v>
      </c>
      <c r="W154" s="2">
        <v>25404</v>
      </c>
      <c r="X154" s="7">
        <f ca="1">YEAR($X$1)-YEAR(W154)</f>
        <v>49</v>
      </c>
      <c r="Y154" s="5"/>
      <c r="Z154" s="87"/>
      <c r="AA154" s="5"/>
      <c r="AB154" s="5"/>
      <c r="AC154" s="5"/>
      <c r="AD154" s="5"/>
      <c r="AE154" s="5"/>
      <c r="AF154" s="5"/>
      <c r="AG154" s="88"/>
      <c r="AH154" s="105"/>
      <c r="AI154" s="105"/>
      <c r="AJ154" s="105"/>
      <c r="AK154" s="105"/>
      <c r="AL154" s="105"/>
      <c r="AM154" s="84"/>
      <c r="AN154" s="8"/>
      <c r="AO154" s="89">
        <v>10</v>
      </c>
      <c r="AR154" s="9"/>
      <c r="AS154" s="9"/>
      <c r="AT154" s="162" t="str">
        <f t="shared" si="4"/>
        <v>-</v>
      </c>
      <c r="AU154" s="9"/>
      <c r="AV154" s="116"/>
    </row>
    <row r="155" spans="1:52" ht="15" customHeight="1" x14ac:dyDescent="0.25">
      <c r="A155" s="72">
        <v>153</v>
      </c>
      <c r="B155" s="80"/>
      <c r="C155" s="156" t="s">
        <v>1614</v>
      </c>
      <c r="D155" s="81"/>
      <c r="E155" s="6"/>
      <c r="F155" s="6"/>
      <c r="G155" s="6"/>
      <c r="H155" s="4"/>
      <c r="I155" s="166"/>
      <c r="J155" s="6"/>
      <c r="K155" s="6"/>
      <c r="L155" s="6"/>
      <c r="M155" s="91"/>
      <c r="N155" s="91"/>
      <c r="O155" s="91"/>
      <c r="P155" s="6"/>
      <c r="Q155" s="92"/>
      <c r="R155" s="92"/>
      <c r="S155" s="92"/>
      <c r="T155" s="6"/>
      <c r="U155" s="6"/>
      <c r="V155" s="6"/>
      <c r="W155" s="4"/>
      <c r="X155" s="6"/>
      <c r="Y155" s="6"/>
      <c r="Z155" s="92"/>
      <c r="AA155" s="6"/>
      <c r="AB155" s="6"/>
      <c r="AC155" s="6"/>
      <c r="AD155" s="6"/>
      <c r="AE155" s="6"/>
      <c r="AF155" s="6"/>
      <c r="AG155" s="93"/>
      <c r="AH155" s="110"/>
      <c r="AI155" s="110"/>
      <c r="AJ155" s="110"/>
      <c r="AK155" s="110"/>
      <c r="AL155" s="110"/>
      <c r="AM155" s="84"/>
      <c r="AN155" s="85">
        <v>30</v>
      </c>
      <c r="AO155" s="85"/>
      <c r="AP155" s="117" t="str">
        <f>C155</f>
        <v>0050</v>
      </c>
      <c r="AR155" s="9"/>
      <c r="AS155" s="9"/>
      <c r="AT155" s="162" t="str">
        <f t="shared" si="4"/>
        <v>-</v>
      </c>
      <c r="AU155" s="9"/>
      <c r="AV155" s="116"/>
    </row>
    <row r="156" spans="1:52" ht="15" customHeight="1" x14ac:dyDescent="0.25">
      <c r="A156" s="72">
        <v>154</v>
      </c>
      <c r="B156" s="80"/>
      <c r="C156" s="157" t="s">
        <v>1717</v>
      </c>
      <c r="D156" s="5" t="s">
        <v>698</v>
      </c>
      <c r="E156" s="5" t="s">
        <v>729</v>
      </c>
      <c r="F156" s="5" t="s">
        <v>1211</v>
      </c>
      <c r="G156" s="5" t="s">
        <v>811</v>
      </c>
      <c r="H156" s="2"/>
      <c r="I156" s="165">
        <v>43101</v>
      </c>
      <c r="J156" s="5" t="s">
        <v>581</v>
      </c>
      <c r="K156" s="5" t="s">
        <v>1229</v>
      </c>
      <c r="L156" s="5" t="s">
        <v>1231</v>
      </c>
      <c r="M156" s="5" t="str">
        <f>CONCATENATE(K156," ",L156)</f>
        <v>ASCAZ HOSPITALARIA</v>
      </c>
      <c r="N156" s="5"/>
      <c r="O156" s="5"/>
      <c r="P156" s="5" t="s">
        <v>154</v>
      </c>
      <c r="Q156" s="87" t="s">
        <v>974</v>
      </c>
      <c r="R156" s="87" t="s">
        <v>975</v>
      </c>
      <c r="S156" s="87" t="s">
        <v>63</v>
      </c>
      <c r="T156" s="5" t="s">
        <v>2</v>
      </c>
      <c r="U156" s="5" t="s">
        <v>373</v>
      </c>
      <c r="V156" s="5" t="s">
        <v>665</v>
      </c>
      <c r="W156" s="2">
        <v>25797</v>
      </c>
      <c r="X156" s="7">
        <f ca="1">YEAR($X$1)-YEAR(W156)</f>
        <v>48</v>
      </c>
      <c r="Y156" s="5" t="s">
        <v>976</v>
      </c>
      <c r="Z156" s="87" t="s">
        <v>7</v>
      </c>
      <c r="AA156" s="5">
        <v>9</v>
      </c>
      <c r="AB156" s="5" t="s">
        <v>372</v>
      </c>
      <c r="AC156" s="5" t="s">
        <v>0</v>
      </c>
      <c r="AD156" s="5" t="s">
        <v>31</v>
      </c>
      <c r="AE156" s="5">
        <v>33211</v>
      </c>
      <c r="AF156" s="5">
        <v>675287503</v>
      </c>
      <c r="AG156" s="88" t="s">
        <v>977</v>
      </c>
      <c r="AH156" s="105" t="s">
        <v>371</v>
      </c>
      <c r="AI156" s="105" t="s">
        <v>17</v>
      </c>
      <c r="AJ156" s="105">
        <v>1752</v>
      </c>
      <c r="AK156" s="105">
        <v>31</v>
      </c>
      <c r="AL156" s="105">
        <v>2790017911</v>
      </c>
      <c r="AM156" s="84"/>
      <c r="AN156" s="8"/>
      <c r="AO156" s="89">
        <v>10</v>
      </c>
      <c r="AQ156" s="116" t="str">
        <f>CONCATENATE("NS",C155,"AZ")</f>
        <v>NS0050AZ</v>
      </c>
      <c r="AR156" s="9" t="str">
        <f>CONCATENATE(Q156," ",R156," ",S156)</f>
        <v>IGNACIO  RIVERO FERNÁNDEZ</v>
      </c>
      <c r="AS156" s="9"/>
      <c r="AT156" s="162" t="str">
        <f t="shared" si="4"/>
        <v>NS0050AZ-IGNACIO  RIVERO FERNÁNDEZ</v>
      </c>
      <c r="AU156" s="9" t="str">
        <f>U156</f>
        <v>09779352M</v>
      </c>
      <c r="AV156" s="116"/>
      <c r="AW156" s="9" t="str">
        <f>CONCATENATE(AH156,AI156,AJ156,AK156,AL156)</f>
        <v>ES2100491752312790017911</v>
      </c>
      <c r="AZ156" s="159">
        <v>43101</v>
      </c>
    </row>
    <row r="157" spans="1:52" ht="15" customHeight="1" x14ac:dyDescent="0.25">
      <c r="A157" s="72">
        <v>155</v>
      </c>
      <c r="B157" s="80"/>
      <c r="C157" s="156" t="s">
        <v>236</v>
      </c>
      <c r="D157" s="81"/>
      <c r="E157" s="6"/>
      <c r="F157" s="6"/>
      <c r="G157" s="6"/>
      <c r="H157" s="4"/>
      <c r="I157" s="166"/>
      <c r="J157" s="6"/>
      <c r="K157" s="6"/>
      <c r="L157" s="6"/>
      <c r="M157" s="91"/>
      <c r="N157" s="91"/>
      <c r="O157" s="91"/>
      <c r="P157" s="6"/>
      <c r="Q157" s="92"/>
      <c r="R157" s="92"/>
      <c r="S157" s="92"/>
      <c r="T157" s="6"/>
      <c r="U157" s="6"/>
      <c r="V157" s="6"/>
      <c r="W157" s="4"/>
      <c r="X157" s="6"/>
      <c r="Y157" s="6"/>
      <c r="Z157" s="92"/>
      <c r="AA157" s="6"/>
      <c r="AB157" s="6"/>
      <c r="AC157" s="6"/>
      <c r="AD157" s="6"/>
      <c r="AE157" s="6"/>
      <c r="AF157" s="6"/>
      <c r="AG157" s="93"/>
      <c r="AH157" s="110"/>
      <c r="AI157" s="110"/>
      <c r="AJ157" s="110"/>
      <c r="AK157" s="110"/>
      <c r="AL157" s="110"/>
      <c r="AM157" s="84"/>
      <c r="AN157" s="85">
        <v>30</v>
      </c>
      <c r="AO157" s="85" t="s">
        <v>1575</v>
      </c>
      <c r="AP157" s="117" t="str">
        <f>C157</f>
        <v>0051</v>
      </c>
      <c r="AR157" s="9"/>
      <c r="AS157" s="9"/>
      <c r="AT157" s="162" t="str">
        <f t="shared" si="4"/>
        <v>-</v>
      </c>
      <c r="AU157" s="9"/>
      <c r="AV157" s="116"/>
    </row>
    <row r="158" spans="1:52" ht="15" customHeight="1" x14ac:dyDescent="0.25">
      <c r="A158" s="72">
        <v>156</v>
      </c>
      <c r="B158" s="80"/>
      <c r="C158" s="157" t="s">
        <v>1717</v>
      </c>
      <c r="D158" s="5" t="s">
        <v>699</v>
      </c>
      <c r="E158" s="5" t="s">
        <v>729</v>
      </c>
      <c r="F158" s="5"/>
      <c r="G158" s="5" t="s">
        <v>811</v>
      </c>
      <c r="H158" s="2"/>
      <c r="I158" s="165">
        <v>43116</v>
      </c>
      <c r="J158" s="5" t="s">
        <v>581</v>
      </c>
      <c r="K158" s="5" t="s">
        <v>1229</v>
      </c>
      <c r="L158" s="5" t="s">
        <v>1231</v>
      </c>
      <c r="M158" s="5" t="str">
        <f>CONCATENATE(K158," ",L158)</f>
        <v>ASCAZ HOSPITALARIA</v>
      </c>
      <c r="N158" s="5"/>
      <c r="O158" s="5"/>
      <c r="P158" s="5" t="s">
        <v>154</v>
      </c>
      <c r="Q158" s="87" t="s">
        <v>978</v>
      </c>
      <c r="R158" s="87" t="s">
        <v>546</v>
      </c>
      <c r="S158" s="87" t="s">
        <v>979</v>
      </c>
      <c r="T158" s="5" t="s">
        <v>2</v>
      </c>
      <c r="U158" s="5" t="s">
        <v>370</v>
      </c>
      <c r="V158" s="5" t="s">
        <v>665</v>
      </c>
      <c r="W158" s="2">
        <v>26220</v>
      </c>
      <c r="X158" s="7">
        <f ca="1">YEAR($X$1)-YEAR(W158)</f>
        <v>47</v>
      </c>
      <c r="Y158" s="5" t="s">
        <v>1</v>
      </c>
      <c r="Z158" s="87" t="s">
        <v>980</v>
      </c>
      <c r="AA158" s="5">
        <v>2</v>
      </c>
      <c r="AB158" s="5" t="s">
        <v>369</v>
      </c>
      <c r="AC158" s="5" t="s">
        <v>0</v>
      </c>
      <c r="AD158" s="5" t="s">
        <v>7</v>
      </c>
      <c r="AE158" s="5">
        <v>33008</v>
      </c>
      <c r="AF158" s="5">
        <v>665408754</v>
      </c>
      <c r="AG158" s="88" t="s">
        <v>981</v>
      </c>
      <c r="AH158" s="105" t="s">
        <v>279</v>
      </c>
      <c r="AI158" s="105" t="s">
        <v>268</v>
      </c>
      <c r="AJ158" s="105">
        <v>7008</v>
      </c>
      <c r="AK158" s="105">
        <v>69</v>
      </c>
      <c r="AL158" s="105" t="s">
        <v>368</v>
      </c>
      <c r="AM158" s="84"/>
      <c r="AN158" s="8"/>
      <c r="AO158" s="89">
        <v>10</v>
      </c>
      <c r="AQ158" s="116" t="str">
        <f>CONCATENATE("NS",C157,"AZ")</f>
        <v>NS0051AZ</v>
      </c>
      <c r="AR158" s="9" t="str">
        <f>CONCATENATE(Q158," ",R158," ",S158)</f>
        <v>JOSÉ JAVIER ÁLVAREZ LARRACELETA</v>
      </c>
      <c r="AS158" s="9"/>
      <c r="AT158" s="162" t="str">
        <f t="shared" si="4"/>
        <v>NS0051AZ-JOSÉ JAVIER ÁLVAREZ LARRACELETA</v>
      </c>
      <c r="AU158" s="9" t="str">
        <f>U158</f>
        <v>09404523F</v>
      </c>
      <c r="AV158" s="116"/>
      <c r="AW158" s="9" t="str">
        <f>CONCATENATE(AH158,AI158,AJ158,AK158,AL158)</f>
        <v>ES2800307008690003042271</v>
      </c>
      <c r="AZ158" s="159">
        <v>43116</v>
      </c>
    </row>
    <row r="159" spans="1:52" ht="15" customHeight="1" x14ac:dyDescent="0.25">
      <c r="A159" s="72">
        <v>157</v>
      </c>
      <c r="B159" s="80"/>
      <c r="C159" s="156" t="s">
        <v>1495</v>
      </c>
      <c r="D159" s="81"/>
      <c r="E159" s="6"/>
      <c r="F159" s="6"/>
      <c r="G159" s="6"/>
      <c r="H159" s="4"/>
      <c r="I159" s="166"/>
      <c r="J159" s="6"/>
      <c r="K159" s="6"/>
      <c r="L159" s="6"/>
      <c r="M159" s="91"/>
      <c r="N159" s="91"/>
      <c r="O159" s="91"/>
      <c r="P159" s="6"/>
      <c r="Q159" s="92"/>
      <c r="R159" s="92"/>
      <c r="S159" s="92"/>
      <c r="T159" s="6"/>
      <c r="U159" s="6"/>
      <c r="V159" s="6"/>
      <c r="W159" s="4"/>
      <c r="X159" s="6"/>
      <c r="Y159" s="6"/>
      <c r="Z159" s="92"/>
      <c r="AA159" s="6"/>
      <c r="AB159" s="6"/>
      <c r="AC159" s="6"/>
      <c r="AD159" s="6"/>
      <c r="AE159" s="6"/>
      <c r="AF159" s="6"/>
      <c r="AG159" s="93"/>
      <c r="AH159" s="110"/>
      <c r="AI159" s="110"/>
      <c r="AJ159" s="110"/>
      <c r="AK159" s="110"/>
      <c r="AL159" s="110"/>
      <c r="AM159" s="84"/>
      <c r="AN159" s="85">
        <v>30</v>
      </c>
      <c r="AO159" s="85"/>
      <c r="AP159" s="117" t="str">
        <f>C159</f>
        <v>0052</v>
      </c>
      <c r="AR159" s="9"/>
      <c r="AS159" s="9"/>
      <c r="AT159" s="162" t="str">
        <f t="shared" si="4"/>
        <v>-</v>
      </c>
      <c r="AU159" s="9"/>
      <c r="AV159" s="116"/>
    </row>
    <row r="160" spans="1:52" ht="15" customHeight="1" x14ac:dyDescent="0.25">
      <c r="A160" s="72">
        <v>158</v>
      </c>
      <c r="B160" s="80"/>
      <c r="C160" s="157" t="s">
        <v>1717</v>
      </c>
      <c r="D160" s="5" t="s">
        <v>700</v>
      </c>
      <c r="E160" s="5" t="s">
        <v>729</v>
      </c>
      <c r="F160" s="5" t="s">
        <v>1212</v>
      </c>
      <c r="G160" s="5" t="s">
        <v>811</v>
      </c>
      <c r="H160" s="2"/>
      <c r="I160" s="165">
        <v>43104</v>
      </c>
      <c r="J160" s="5" t="s">
        <v>581</v>
      </c>
      <c r="K160" s="5" t="s">
        <v>1229</v>
      </c>
      <c r="L160" s="5" t="s">
        <v>1231</v>
      </c>
      <c r="M160" s="5" t="str">
        <f>CONCATENATE(K160," ",L160)</f>
        <v>ASCAZ HOSPITALARIA</v>
      </c>
      <c r="N160" s="5"/>
      <c r="O160" s="5"/>
      <c r="P160" s="5" t="s">
        <v>154</v>
      </c>
      <c r="Q160" s="87" t="s">
        <v>367</v>
      </c>
      <c r="R160" s="87" t="s">
        <v>396</v>
      </c>
      <c r="S160" s="87" t="s">
        <v>366</v>
      </c>
      <c r="T160" s="5" t="s">
        <v>2</v>
      </c>
      <c r="U160" s="5" t="s">
        <v>365</v>
      </c>
      <c r="V160" s="5" t="s">
        <v>665</v>
      </c>
      <c r="W160" s="2">
        <v>42232</v>
      </c>
      <c r="X160" s="7">
        <f ca="1">YEAR($X$1)-YEAR(W160)</f>
        <v>3</v>
      </c>
      <c r="Y160" s="5" t="s">
        <v>364</v>
      </c>
      <c r="Z160" s="87" t="s">
        <v>363</v>
      </c>
      <c r="AA160" s="5">
        <v>1</v>
      </c>
      <c r="AB160" s="5" t="s">
        <v>362</v>
      </c>
      <c r="AC160" s="5" t="s">
        <v>45</v>
      </c>
      <c r="AD160" s="5" t="s">
        <v>1213</v>
      </c>
      <c r="AE160" s="5">
        <v>33208</v>
      </c>
      <c r="AF160" s="5">
        <v>680267012</v>
      </c>
      <c r="AG160" s="152" t="s">
        <v>982</v>
      </c>
      <c r="AH160" s="105" t="s">
        <v>361</v>
      </c>
      <c r="AI160" s="105">
        <v>2048</v>
      </c>
      <c r="AJ160" s="105" t="s">
        <v>360</v>
      </c>
      <c r="AK160" s="105">
        <v>62</v>
      </c>
      <c r="AL160" s="105">
        <v>3000054271</v>
      </c>
      <c r="AM160" s="84"/>
      <c r="AN160" s="8"/>
      <c r="AO160" s="89">
        <v>10</v>
      </c>
      <c r="AQ160" s="116" t="str">
        <f>CONCATENATE("NS",C159,"AZ")</f>
        <v>NS0052AZ</v>
      </c>
      <c r="AR160" s="9" t="str">
        <f>CONCATENATE(Q160," ",R160," ",S160)</f>
        <v xml:space="preserve">SANTIAGO  DÍAZ LOBO </v>
      </c>
      <c r="AS160" s="9"/>
      <c r="AT160" s="162" t="str">
        <f t="shared" si="4"/>
        <v xml:space="preserve">NS0052AZ-SANTIAGO  DÍAZ LOBO </v>
      </c>
      <c r="AU160" s="9" t="str">
        <f>U160</f>
        <v>71764557A</v>
      </c>
      <c r="AV160" s="116"/>
      <c r="AW160" s="9" t="str">
        <f>CONCATENATE(AH160,AI160,AJ160,AK160,AL160)</f>
        <v>ES6620480134623000054271</v>
      </c>
      <c r="AZ160" s="159">
        <v>43104</v>
      </c>
    </row>
    <row r="161" spans="1:52" ht="15" customHeight="1" x14ac:dyDescent="0.25">
      <c r="A161" s="72">
        <v>159</v>
      </c>
      <c r="B161" s="80"/>
      <c r="C161" s="156" t="s">
        <v>1615</v>
      </c>
      <c r="D161" s="81"/>
      <c r="E161" s="6"/>
      <c r="F161" s="6"/>
      <c r="G161" s="6"/>
      <c r="H161" s="4"/>
      <c r="I161" s="166"/>
      <c r="J161" s="6"/>
      <c r="K161" s="6"/>
      <c r="L161" s="6"/>
      <c r="M161" s="91"/>
      <c r="N161" s="91"/>
      <c r="O161" s="91"/>
      <c r="P161" s="6"/>
      <c r="Q161" s="92"/>
      <c r="R161" s="92"/>
      <c r="S161" s="92"/>
      <c r="T161" s="6"/>
      <c r="U161" s="6"/>
      <c r="V161" s="6"/>
      <c r="W161" s="4"/>
      <c r="X161" s="6"/>
      <c r="Y161" s="6"/>
      <c r="Z161" s="92"/>
      <c r="AA161" s="6"/>
      <c r="AB161" s="6"/>
      <c r="AC161" s="6"/>
      <c r="AD161" s="6"/>
      <c r="AE161" s="6"/>
      <c r="AF161" s="6"/>
      <c r="AG161" s="93"/>
      <c r="AH161" s="110"/>
      <c r="AI161" s="110"/>
      <c r="AJ161" s="110"/>
      <c r="AK161" s="110"/>
      <c r="AL161" s="110"/>
      <c r="AM161" s="84"/>
      <c r="AN161" s="85">
        <v>30</v>
      </c>
      <c r="AO161" s="85"/>
      <c r="AP161" s="117" t="str">
        <f>C161</f>
        <v>0053</v>
      </c>
      <c r="AR161" s="9"/>
      <c r="AS161" s="9"/>
      <c r="AT161" s="162" t="str">
        <f t="shared" si="4"/>
        <v>-</v>
      </c>
      <c r="AU161" s="9"/>
      <c r="AV161" s="116"/>
    </row>
    <row r="162" spans="1:52" ht="15" customHeight="1" x14ac:dyDescent="0.25">
      <c r="A162" s="72">
        <v>160</v>
      </c>
      <c r="B162" s="80"/>
      <c r="C162" s="157" t="s">
        <v>1717</v>
      </c>
      <c r="D162" s="5" t="s">
        <v>701</v>
      </c>
      <c r="E162" s="5" t="s">
        <v>729</v>
      </c>
      <c r="F162" s="5"/>
      <c r="G162" s="5" t="s">
        <v>811</v>
      </c>
      <c r="H162" s="2"/>
      <c r="I162" s="165">
        <v>43131</v>
      </c>
      <c r="J162" s="5" t="s">
        <v>581</v>
      </c>
      <c r="K162" s="5" t="s">
        <v>1229</v>
      </c>
      <c r="L162" s="5" t="s">
        <v>1231</v>
      </c>
      <c r="M162" s="5" t="str">
        <f>CONCATENATE(K162," ",L162)</f>
        <v>ASCAZ HOSPITALARIA</v>
      </c>
      <c r="N162" s="5"/>
      <c r="O162" s="5"/>
      <c r="P162" s="5" t="s">
        <v>154</v>
      </c>
      <c r="Q162" s="87" t="s">
        <v>983</v>
      </c>
      <c r="R162" s="87" t="s">
        <v>132</v>
      </c>
      <c r="S162" s="87" t="s">
        <v>1152</v>
      </c>
      <c r="T162" s="5" t="s">
        <v>2</v>
      </c>
      <c r="U162" s="5" t="s">
        <v>359</v>
      </c>
      <c r="V162" s="5" t="s">
        <v>665</v>
      </c>
      <c r="W162" s="2">
        <v>28485</v>
      </c>
      <c r="X162" s="7">
        <f ca="1">YEAR($X$1)-YEAR(W162)</f>
        <v>41</v>
      </c>
      <c r="Y162" s="5" t="s">
        <v>1</v>
      </c>
      <c r="Z162" s="87" t="s">
        <v>984</v>
      </c>
      <c r="AA162" s="5">
        <v>7</v>
      </c>
      <c r="AB162" s="5" t="s">
        <v>358</v>
      </c>
      <c r="AC162" s="5" t="s">
        <v>0</v>
      </c>
      <c r="AD162" s="5" t="s">
        <v>31</v>
      </c>
      <c r="AE162" s="5">
        <v>33204</v>
      </c>
      <c r="AF162" s="5">
        <v>651496685</v>
      </c>
      <c r="AG162" s="88" t="s">
        <v>985</v>
      </c>
      <c r="AH162" s="105" t="s">
        <v>357</v>
      </c>
      <c r="AI162" s="105">
        <v>2048</v>
      </c>
      <c r="AJ162" s="105" t="s">
        <v>356</v>
      </c>
      <c r="AK162" s="105">
        <v>58</v>
      </c>
      <c r="AL162" s="105">
        <v>3000095915</v>
      </c>
      <c r="AM162" s="84"/>
      <c r="AN162" s="8"/>
      <c r="AO162" s="89">
        <v>10</v>
      </c>
      <c r="AQ162" s="116" t="str">
        <f>CONCATENATE("NS",C161,"AZ")</f>
        <v>NS0053AZ</v>
      </c>
      <c r="AR162" s="9" t="str">
        <f>CONCATENATE(Q162," ",R162," ",S162)</f>
        <v>HECTOR ERADIO GARCÍA PÉREZ</v>
      </c>
      <c r="AS162" s="9"/>
      <c r="AT162" s="162" t="str">
        <f t="shared" si="4"/>
        <v>NS0053AZ-HECTOR ERADIO GARCÍA PÉREZ</v>
      </c>
      <c r="AU162" s="9" t="str">
        <f>U162</f>
        <v>10891588F</v>
      </c>
      <c r="AV162" s="116"/>
      <c r="AW162" s="9" t="str">
        <f>CONCATENATE(AH162,AI162,AJ162,AK162,AL162)</f>
        <v>ES2020480117583000095915</v>
      </c>
      <c r="AZ162" s="159">
        <v>43131</v>
      </c>
    </row>
    <row r="163" spans="1:52" ht="15" customHeight="1" x14ac:dyDescent="0.25">
      <c r="A163" s="72">
        <v>161</v>
      </c>
      <c r="B163" s="80"/>
      <c r="C163" s="156" t="s">
        <v>1616</v>
      </c>
      <c r="D163" s="81"/>
      <c r="E163" s="6"/>
      <c r="F163" s="6"/>
      <c r="G163" s="6"/>
      <c r="H163" s="4"/>
      <c r="I163" s="166"/>
      <c r="J163" s="6"/>
      <c r="K163" s="6"/>
      <c r="L163" s="6"/>
      <c r="M163" s="91"/>
      <c r="N163" s="91"/>
      <c r="O163" s="91"/>
      <c r="P163" s="6"/>
      <c r="Q163" s="92"/>
      <c r="R163" s="92"/>
      <c r="S163" s="92"/>
      <c r="T163" s="6"/>
      <c r="U163" s="6"/>
      <c r="V163" s="6"/>
      <c r="W163" s="4"/>
      <c r="X163" s="6"/>
      <c r="Y163" s="6"/>
      <c r="Z163" s="92"/>
      <c r="AA163" s="6"/>
      <c r="AB163" s="6"/>
      <c r="AC163" s="6"/>
      <c r="AD163" s="6"/>
      <c r="AE163" s="6"/>
      <c r="AF163" s="6"/>
      <c r="AG163" s="93"/>
      <c r="AH163" s="110"/>
      <c r="AI163" s="110"/>
      <c r="AJ163" s="110"/>
      <c r="AK163" s="110"/>
      <c r="AL163" s="110"/>
      <c r="AM163" s="84"/>
      <c r="AN163" s="85">
        <v>30</v>
      </c>
      <c r="AO163" s="85"/>
      <c r="AP163" s="117" t="str">
        <f>C163</f>
        <v>0054</v>
      </c>
      <c r="AR163" s="9"/>
      <c r="AS163" s="9"/>
      <c r="AT163" s="162" t="str">
        <f t="shared" si="4"/>
        <v>-</v>
      </c>
      <c r="AU163" s="9"/>
      <c r="AV163" s="116"/>
    </row>
    <row r="164" spans="1:52" ht="15" customHeight="1" x14ac:dyDescent="0.25">
      <c r="A164" s="72">
        <v>162</v>
      </c>
      <c r="B164" s="80"/>
      <c r="C164" s="157" t="s">
        <v>1717</v>
      </c>
      <c r="D164" s="5" t="s">
        <v>702</v>
      </c>
      <c r="E164" s="5" t="s">
        <v>729</v>
      </c>
      <c r="F164" s="5"/>
      <c r="G164" s="5" t="s">
        <v>811</v>
      </c>
      <c r="H164" s="2"/>
      <c r="I164" s="165">
        <v>43100</v>
      </c>
      <c r="J164" s="5" t="s">
        <v>581</v>
      </c>
      <c r="K164" s="5" t="s">
        <v>1229</v>
      </c>
      <c r="L164" s="5" t="s">
        <v>1231</v>
      </c>
      <c r="M164" s="5" t="str">
        <f>CONCATENATE(K164," ",L164)</f>
        <v>ASCAZ HOSPITALARIA</v>
      </c>
      <c r="N164" s="5"/>
      <c r="O164" s="5"/>
      <c r="P164" s="5" t="s">
        <v>3</v>
      </c>
      <c r="Q164" s="87" t="s">
        <v>355</v>
      </c>
      <c r="R164" s="87" t="s">
        <v>354</v>
      </c>
      <c r="S164" s="87" t="s">
        <v>353</v>
      </c>
      <c r="T164" s="5" t="s">
        <v>2</v>
      </c>
      <c r="U164" s="5" t="s">
        <v>352</v>
      </c>
      <c r="V164" s="5" t="s">
        <v>646</v>
      </c>
      <c r="W164" s="2">
        <v>20908</v>
      </c>
      <c r="X164" s="7">
        <f ca="1">YEAR($X$1)-YEAR(W164)</f>
        <v>61</v>
      </c>
      <c r="Y164" s="5" t="s">
        <v>1</v>
      </c>
      <c r="Z164" s="87" t="s">
        <v>351</v>
      </c>
      <c r="AA164" s="5">
        <v>12</v>
      </c>
      <c r="AB164" s="5" t="s">
        <v>350</v>
      </c>
      <c r="AC164" s="5" t="s">
        <v>0</v>
      </c>
      <c r="AD164" s="5" t="s">
        <v>31</v>
      </c>
      <c r="AE164" s="5">
        <v>33212</v>
      </c>
      <c r="AF164" s="5">
        <v>625028284</v>
      </c>
      <c r="AG164" s="88" t="s">
        <v>868</v>
      </c>
      <c r="AH164" s="112" t="s">
        <v>1078</v>
      </c>
      <c r="AI164" s="105">
        <v>2100</v>
      </c>
      <c r="AJ164" s="105">
        <v>5471</v>
      </c>
      <c r="AK164" s="105">
        <v>50</v>
      </c>
      <c r="AL164" s="105" t="s">
        <v>349</v>
      </c>
      <c r="AM164" s="84"/>
      <c r="AN164" s="8"/>
      <c r="AO164" s="89">
        <v>10</v>
      </c>
      <c r="AQ164" s="116" t="str">
        <f>CONCATENATE("NS",C163,"AZ")</f>
        <v>NS0054AZ</v>
      </c>
      <c r="AR164" s="9" t="str">
        <f>CONCATENATE(Q164," ",R164," ",S164)</f>
        <v>AMELIA COCAÑA PRESA</v>
      </c>
      <c r="AS164" s="9"/>
      <c r="AT164" s="162" t="str">
        <f t="shared" si="4"/>
        <v>NS0054AZ-AMELIA COCAÑA PRESA</v>
      </c>
      <c r="AU164" s="9" t="str">
        <f>U164</f>
        <v>10576839J</v>
      </c>
      <c r="AV164" s="116"/>
      <c r="AW164" s="9" t="str">
        <f>CONCATENATE(AH164,AI164,AJ164,AK164,AL164)</f>
        <v>ES4121005471500100195469</v>
      </c>
      <c r="AZ164" s="159">
        <v>43100</v>
      </c>
    </row>
    <row r="165" spans="1:52" ht="15" customHeight="1" x14ac:dyDescent="0.25">
      <c r="A165" s="72">
        <v>163</v>
      </c>
      <c r="B165" s="80"/>
      <c r="C165" s="156" t="s">
        <v>1617</v>
      </c>
      <c r="D165" s="81"/>
      <c r="E165" s="6"/>
      <c r="F165" s="6"/>
      <c r="G165" s="6"/>
      <c r="H165" s="4"/>
      <c r="I165" s="166"/>
      <c r="J165" s="6"/>
      <c r="K165" s="6"/>
      <c r="L165" s="6"/>
      <c r="M165" s="91"/>
      <c r="N165" s="91"/>
      <c r="O165" s="91"/>
      <c r="P165" s="6"/>
      <c r="Q165" s="92"/>
      <c r="R165" s="92"/>
      <c r="S165" s="92"/>
      <c r="T165" s="6"/>
      <c r="U165" s="6"/>
      <c r="V165" s="6"/>
      <c r="W165" s="4"/>
      <c r="X165" s="6"/>
      <c r="Y165" s="6"/>
      <c r="Z165" s="92"/>
      <c r="AA165" s="6"/>
      <c r="AB165" s="6"/>
      <c r="AC165" s="6"/>
      <c r="AD165" s="6"/>
      <c r="AE165" s="6"/>
      <c r="AF165" s="6"/>
      <c r="AG165" s="93"/>
      <c r="AH165" s="110"/>
      <c r="AI165" s="110"/>
      <c r="AJ165" s="110"/>
      <c r="AK165" s="110"/>
      <c r="AL165" s="110"/>
      <c r="AM165" s="84"/>
      <c r="AN165" s="85">
        <v>30</v>
      </c>
      <c r="AO165" s="85"/>
      <c r="AP165" s="117" t="str">
        <f>C165</f>
        <v>0055</v>
      </c>
      <c r="AR165" s="9"/>
      <c r="AS165" s="9"/>
      <c r="AT165" s="162" t="str">
        <f t="shared" si="4"/>
        <v>-</v>
      </c>
      <c r="AU165" s="9"/>
      <c r="AV165" s="116"/>
    </row>
    <row r="166" spans="1:52" ht="15" customHeight="1" x14ac:dyDescent="0.25">
      <c r="A166" s="72">
        <v>164</v>
      </c>
      <c r="B166" s="80"/>
      <c r="C166" s="157" t="s">
        <v>1717</v>
      </c>
      <c r="D166" s="5" t="s">
        <v>703</v>
      </c>
      <c r="E166" s="5" t="s">
        <v>729</v>
      </c>
      <c r="F166" s="5" t="s">
        <v>733</v>
      </c>
      <c r="G166" s="5" t="s">
        <v>811</v>
      </c>
      <c r="H166" s="2"/>
      <c r="I166" s="165">
        <v>43101</v>
      </c>
      <c r="J166" s="5" t="s">
        <v>581</v>
      </c>
      <c r="K166" s="5" t="s">
        <v>1229</v>
      </c>
      <c r="L166" s="5" t="s">
        <v>1231</v>
      </c>
      <c r="M166" s="5" t="str">
        <f>CONCATENATE(K166," ",L166)</f>
        <v>ASCAZ HOSPITALARIA</v>
      </c>
      <c r="N166" s="5"/>
      <c r="O166" s="5"/>
      <c r="P166" s="5" t="s">
        <v>154</v>
      </c>
      <c r="Q166" s="87" t="s">
        <v>986</v>
      </c>
      <c r="R166" s="87" t="s">
        <v>987</v>
      </c>
      <c r="S166" s="87" t="s">
        <v>297</v>
      </c>
      <c r="T166" s="5" t="s">
        <v>2</v>
      </c>
      <c r="U166" s="5" t="s">
        <v>348</v>
      </c>
      <c r="V166" s="5" t="s">
        <v>646</v>
      </c>
      <c r="W166" s="2">
        <v>25510</v>
      </c>
      <c r="X166" s="7">
        <f ca="1">YEAR($X$1)-YEAR(W166)</f>
        <v>49</v>
      </c>
      <c r="Y166" s="5" t="s">
        <v>1</v>
      </c>
      <c r="Z166" s="87" t="s">
        <v>1155</v>
      </c>
      <c r="AA166" s="5">
        <v>7</v>
      </c>
      <c r="AB166" s="5" t="s">
        <v>295</v>
      </c>
      <c r="AC166" s="5" t="s">
        <v>0</v>
      </c>
      <c r="AD166" s="5" t="s">
        <v>31</v>
      </c>
      <c r="AE166" s="5">
        <v>33210</v>
      </c>
      <c r="AF166" s="5">
        <v>635321505</v>
      </c>
      <c r="AG166" s="88" t="s">
        <v>988</v>
      </c>
      <c r="AH166" s="105" t="s">
        <v>37</v>
      </c>
      <c r="AI166" s="105" t="s">
        <v>1682</v>
      </c>
      <c r="AJ166" s="105" t="s">
        <v>1683</v>
      </c>
      <c r="AK166" s="105" t="s">
        <v>1684</v>
      </c>
      <c r="AL166" s="105" t="s">
        <v>1685</v>
      </c>
      <c r="AM166" s="84"/>
      <c r="AN166" s="8"/>
      <c r="AO166" s="89">
        <v>10</v>
      </c>
      <c r="AQ166" s="116" t="str">
        <f>CONCATENATE("NS",C165,"AZ")</f>
        <v>NS0055AZ</v>
      </c>
      <c r="AR166" s="9" t="str">
        <f>CONCATENATE(Q166," ",R166," ",S166)</f>
        <v>ANA PILAR MALNERO SUÁREZ</v>
      </c>
      <c r="AS166" s="9"/>
      <c r="AT166" s="162" t="str">
        <f t="shared" si="4"/>
        <v>NS0055AZ-ANA PILAR MALNERO SUÁREZ</v>
      </c>
      <c r="AU166" s="9" t="str">
        <f>U166</f>
        <v>10867887L</v>
      </c>
      <c r="AV166" s="116"/>
      <c r="AW166" s="9" t="str">
        <f>CONCATENATE(AH166,AI166,AJ166,AK166,AL166)</f>
        <v>ES6020384102733000841580</v>
      </c>
      <c r="AZ166" s="159">
        <v>43101</v>
      </c>
    </row>
    <row r="167" spans="1:52" ht="15" customHeight="1" x14ac:dyDescent="0.25">
      <c r="A167" s="72">
        <v>165</v>
      </c>
      <c r="B167" s="80"/>
      <c r="C167" s="157" t="s">
        <v>1717</v>
      </c>
      <c r="D167" s="5" t="s">
        <v>704</v>
      </c>
      <c r="E167" s="5" t="s">
        <v>729</v>
      </c>
      <c r="F167" s="5" t="s">
        <v>733</v>
      </c>
      <c r="G167" s="5" t="s">
        <v>811</v>
      </c>
      <c r="H167" s="2"/>
      <c r="I167" s="165"/>
      <c r="J167" s="5" t="s">
        <v>581</v>
      </c>
      <c r="K167" s="5" t="s">
        <v>1229</v>
      </c>
      <c r="L167" s="5" t="s">
        <v>1231</v>
      </c>
      <c r="M167" s="5" t="str">
        <f>CONCATENATE(K167," ",L167)</f>
        <v>ASCAZ HOSPITALARIA</v>
      </c>
      <c r="N167" s="5"/>
      <c r="O167" s="5"/>
      <c r="P167" s="5" t="s">
        <v>43</v>
      </c>
      <c r="Q167" s="87" t="s">
        <v>989</v>
      </c>
      <c r="R167" s="87" t="s">
        <v>990</v>
      </c>
      <c r="S167" s="87" t="s">
        <v>396</v>
      </c>
      <c r="T167" s="5" t="s">
        <v>2</v>
      </c>
      <c r="U167" s="5" t="s">
        <v>347</v>
      </c>
      <c r="V167" s="5" t="s">
        <v>665</v>
      </c>
      <c r="W167" s="2">
        <v>26666</v>
      </c>
      <c r="X167" s="7">
        <f ca="1">YEAR($X$1)-YEAR(W167)</f>
        <v>45</v>
      </c>
      <c r="Y167" s="5"/>
      <c r="Z167" s="87"/>
      <c r="AA167" s="5"/>
      <c r="AB167" s="5"/>
      <c r="AC167" s="5"/>
      <c r="AD167" s="5"/>
      <c r="AE167" s="5"/>
      <c r="AF167" s="5">
        <v>684632501</v>
      </c>
      <c r="AG167" s="88" t="s">
        <v>991</v>
      </c>
      <c r="AH167" s="105"/>
      <c r="AI167" s="105"/>
      <c r="AJ167" s="105"/>
      <c r="AK167" s="105"/>
      <c r="AL167" s="105"/>
      <c r="AM167" s="84"/>
      <c r="AN167" s="8"/>
      <c r="AO167" s="89">
        <v>10</v>
      </c>
      <c r="AR167" s="9"/>
      <c r="AS167" s="9"/>
      <c r="AT167" s="162" t="str">
        <f t="shared" si="4"/>
        <v>-</v>
      </c>
      <c r="AU167" s="9"/>
      <c r="AV167" s="116"/>
    </row>
    <row r="168" spans="1:52" ht="15" customHeight="1" x14ac:dyDescent="0.25">
      <c r="A168" s="72">
        <v>166</v>
      </c>
      <c r="B168" s="80"/>
      <c r="C168" s="113" t="s">
        <v>1717</v>
      </c>
      <c r="D168" s="5" t="s">
        <v>1178</v>
      </c>
      <c r="E168" s="5" t="s">
        <v>729</v>
      </c>
      <c r="F168" s="5" t="s">
        <v>733</v>
      </c>
      <c r="G168" s="5" t="s">
        <v>811</v>
      </c>
      <c r="I168" s="165"/>
      <c r="J168" s="5" t="s">
        <v>581</v>
      </c>
      <c r="K168" s="5" t="s">
        <v>1229</v>
      </c>
      <c r="L168" s="5" t="s">
        <v>1231</v>
      </c>
      <c r="M168" s="5" t="str">
        <f>CONCATENATE(K168," ",L168)</f>
        <v>ASCAZ HOSPITALARIA</v>
      </c>
      <c r="N168" s="5"/>
      <c r="O168" s="5"/>
      <c r="P168" s="90" t="s">
        <v>815</v>
      </c>
      <c r="Q168" s="94" t="s">
        <v>1176</v>
      </c>
      <c r="R168" s="87" t="s">
        <v>990</v>
      </c>
      <c r="S168" s="87" t="s">
        <v>987</v>
      </c>
      <c r="T168" s="5" t="s">
        <v>2</v>
      </c>
      <c r="U168" s="5" t="s">
        <v>1177</v>
      </c>
      <c r="V168" s="5" t="s">
        <v>646</v>
      </c>
      <c r="W168" s="1">
        <v>36463</v>
      </c>
      <c r="X168" s="7">
        <f ca="1">YEAR($X$1)-YEAR(W168)</f>
        <v>19</v>
      </c>
      <c r="Z168" s="9"/>
      <c r="AG168" s="107"/>
      <c r="AH168" s="113"/>
      <c r="AI168" s="113"/>
      <c r="AJ168" s="113"/>
      <c r="AK168" s="113"/>
      <c r="AL168" s="113"/>
      <c r="AM168" s="84"/>
      <c r="AO168" s="89">
        <v>10</v>
      </c>
      <c r="AR168" s="9"/>
      <c r="AS168" s="9"/>
      <c r="AT168" s="162" t="str">
        <f t="shared" si="4"/>
        <v>-</v>
      </c>
      <c r="AU168" s="9"/>
      <c r="AV168" s="116"/>
    </row>
    <row r="169" spans="1:52" ht="15" customHeight="1" x14ac:dyDescent="0.25">
      <c r="A169" s="72">
        <v>167</v>
      </c>
      <c r="B169" s="80"/>
      <c r="C169" s="156" t="s">
        <v>1618</v>
      </c>
      <c r="D169" s="81"/>
      <c r="E169" s="6"/>
      <c r="F169" s="6"/>
      <c r="G169" s="6"/>
      <c r="H169" s="4"/>
      <c r="I169" s="166"/>
      <c r="J169" s="6"/>
      <c r="K169" s="6"/>
      <c r="L169" s="6"/>
      <c r="M169" s="91"/>
      <c r="N169" s="91"/>
      <c r="O169" s="91"/>
      <c r="P169" s="6"/>
      <c r="Q169" s="92"/>
      <c r="R169" s="92"/>
      <c r="S169" s="92"/>
      <c r="T169" s="6"/>
      <c r="U169" s="6"/>
      <c r="V169" s="6"/>
      <c r="W169" s="4"/>
      <c r="X169" s="6"/>
      <c r="Y169" s="6"/>
      <c r="Z169" s="92"/>
      <c r="AA169" s="6"/>
      <c r="AB169" s="6"/>
      <c r="AC169" s="6"/>
      <c r="AD169" s="6"/>
      <c r="AE169" s="6"/>
      <c r="AF169" s="6"/>
      <c r="AG169" s="93"/>
      <c r="AH169" s="110"/>
      <c r="AI169" s="110"/>
      <c r="AJ169" s="110"/>
      <c r="AK169" s="110"/>
      <c r="AL169" s="110"/>
      <c r="AM169" s="84"/>
      <c r="AN169" s="85">
        <v>0</v>
      </c>
      <c r="AO169" s="85"/>
      <c r="AP169" s="117" t="str">
        <f>C169</f>
        <v>0056</v>
      </c>
      <c r="AR169" s="9"/>
      <c r="AS169" s="9"/>
      <c r="AT169" s="162" t="str">
        <f t="shared" si="4"/>
        <v>-</v>
      </c>
      <c r="AU169" s="9"/>
      <c r="AV169" s="116"/>
    </row>
    <row r="170" spans="1:52" ht="15" customHeight="1" x14ac:dyDescent="0.25">
      <c r="A170" s="72">
        <v>168</v>
      </c>
      <c r="B170" s="80"/>
      <c r="C170" s="157" t="s">
        <v>1717</v>
      </c>
      <c r="D170" s="5" t="s">
        <v>705</v>
      </c>
      <c r="E170" s="5" t="s">
        <v>729</v>
      </c>
      <c r="F170" s="5" t="s">
        <v>812</v>
      </c>
      <c r="G170" s="5" t="s">
        <v>810</v>
      </c>
      <c r="H170" s="2"/>
      <c r="I170" s="165">
        <v>43112</v>
      </c>
      <c r="J170" s="5" t="s">
        <v>581</v>
      </c>
      <c r="K170" s="5" t="s">
        <v>1229</v>
      </c>
      <c r="L170" s="5" t="s">
        <v>1231</v>
      </c>
      <c r="M170" s="5" t="str">
        <f>CONCATENATE(K170," ",L170)</f>
        <v>ASCAZ HOSPITALARIA</v>
      </c>
      <c r="N170" s="5"/>
      <c r="O170" s="5"/>
      <c r="P170" s="5" t="s">
        <v>154</v>
      </c>
      <c r="Q170" s="87" t="s">
        <v>992</v>
      </c>
      <c r="R170" s="87" t="s">
        <v>434</v>
      </c>
      <c r="S170" s="87" t="s">
        <v>1071</v>
      </c>
      <c r="T170" s="5" t="s">
        <v>2</v>
      </c>
      <c r="U170" s="5" t="s">
        <v>1165</v>
      </c>
      <c r="V170" s="5" t="s">
        <v>665</v>
      </c>
      <c r="W170" s="2">
        <v>19865</v>
      </c>
      <c r="X170" s="7">
        <f ca="1">YEAR($X$1)-YEAR(W170)</f>
        <v>64</v>
      </c>
      <c r="Y170" s="5" t="s">
        <v>346</v>
      </c>
      <c r="Z170" s="87" t="s">
        <v>993</v>
      </c>
      <c r="AA170" s="5">
        <v>137</v>
      </c>
      <c r="AB170" s="5" t="s">
        <v>169</v>
      </c>
      <c r="AC170" s="5" t="s">
        <v>0</v>
      </c>
      <c r="AD170" s="5" t="s">
        <v>31</v>
      </c>
      <c r="AE170" s="5">
        <v>33203</v>
      </c>
      <c r="AF170" s="5">
        <v>684612693</v>
      </c>
      <c r="AG170" s="88" t="s">
        <v>994</v>
      </c>
      <c r="AH170" s="105" t="s">
        <v>345</v>
      </c>
      <c r="AI170" s="105" t="s">
        <v>13</v>
      </c>
      <c r="AJ170" s="105">
        <v>7300</v>
      </c>
      <c r="AK170" s="105">
        <v>98</v>
      </c>
      <c r="AL170" s="105" t="s">
        <v>344</v>
      </c>
      <c r="AM170" s="84"/>
      <c r="AN170" s="8"/>
      <c r="AO170" s="89">
        <v>10</v>
      </c>
      <c r="AQ170" s="116" t="str">
        <f>CONCATENATE("NS",C169,"AZ")</f>
        <v>NS0056AZ</v>
      </c>
      <c r="AR170" s="9" t="str">
        <f>CONCATENATE(Q170," ",R170," ",S170)</f>
        <v>RAFAEL LOZOYA MARTÍN</v>
      </c>
      <c r="AS170" s="9"/>
      <c r="AT170" s="162" t="str">
        <f t="shared" si="4"/>
        <v>NS0056AZ-RAFAEL LOZOYA MARTÍN</v>
      </c>
      <c r="AU170" s="9" t="str">
        <f>U170</f>
        <v>3410321L</v>
      </c>
      <c r="AV170" s="116"/>
      <c r="AW170" s="9" t="str">
        <f>CONCATENATE(AH170,AI170,AJ170,AK170,AL170)</f>
        <v>ES7900817300980001006704</v>
      </c>
      <c r="AZ170" s="159">
        <v>43112</v>
      </c>
    </row>
    <row r="171" spans="1:52" ht="15" customHeight="1" x14ac:dyDescent="0.25">
      <c r="A171" s="72">
        <v>169</v>
      </c>
      <c r="B171" s="80"/>
      <c r="C171" s="157" t="s">
        <v>1717</v>
      </c>
      <c r="D171" s="5" t="s">
        <v>706</v>
      </c>
      <c r="E171" s="5" t="s">
        <v>729</v>
      </c>
      <c r="F171" s="5" t="s">
        <v>812</v>
      </c>
      <c r="G171" s="5" t="s">
        <v>810</v>
      </c>
      <c r="H171" s="2"/>
      <c r="I171" s="165"/>
      <c r="J171" s="5" t="s">
        <v>581</v>
      </c>
      <c r="K171" s="5" t="s">
        <v>1229</v>
      </c>
      <c r="L171" s="5" t="s">
        <v>1231</v>
      </c>
      <c r="M171" s="5" t="str">
        <f>CONCATENATE(K171," ",L171)</f>
        <v>ASCAZ HOSPITALARIA</v>
      </c>
      <c r="N171" s="5"/>
      <c r="O171" s="5"/>
      <c r="P171" s="5" t="s">
        <v>43</v>
      </c>
      <c r="Q171" s="87" t="s">
        <v>995</v>
      </c>
      <c r="R171" s="87" t="s">
        <v>577</v>
      </c>
      <c r="S171" s="87" t="s">
        <v>996</v>
      </c>
      <c r="T171" s="5" t="s">
        <v>2</v>
      </c>
      <c r="U171" s="5" t="s">
        <v>1164</v>
      </c>
      <c r="V171" s="5" t="s">
        <v>646</v>
      </c>
      <c r="W171" s="2">
        <v>19496</v>
      </c>
      <c r="X171" s="7">
        <f ca="1">YEAR($X$1)-YEAR(W171)</f>
        <v>65</v>
      </c>
      <c r="Y171" s="5"/>
      <c r="Z171" s="87"/>
      <c r="AA171" s="5"/>
      <c r="AB171" s="5"/>
      <c r="AC171" s="5"/>
      <c r="AD171" s="5"/>
      <c r="AE171" s="5"/>
      <c r="AF171" s="5">
        <v>675059555</v>
      </c>
      <c r="AG171" s="88" t="s">
        <v>997</v>
      </c>
      <c r="AH171" s="105"/>
      <c r="AI171" s="105"/>
      <c r="AJ171" s="105"/>
      <c r="AK171" s="105"/>
      <c r="AL171" s="105"/>
      <c r="AM171" s="84"/>
      <c r="AN171" s="8"/>
      <c r="AO171" s="89">
        <v>10</v>
      </c>
      <c r="AR171" s="9"/>
      <c r="AS171" s="9"/>
      <c r="AT171" s="162" t="str">
        <f t="shared" si="4"/>
        <v>-</v>
      </c>
      <c r="AU171" s="9"/>
      <c r="AV171" s="116"/>
    </row>
    <row r="172" spans="1:52" ht="15" customHeight="1" x14ac:dyDescent="0.25">
      <c r="A172" s="72">
        <v>170</v>
      </c>
      <c r="B172" s="80"/>
      <c r="C172" s="156" t="s">
        <v>1619</v>
      </c>
      <c r="D172" s="81"/>
      <c r="E172" s="6"/>
      <c r="F172" s="6"/>
      <c r="G172" s="6"/>
      <c r="H172" s="4"/>
      <c r="I172" s="166"/>
      <c r="J172" s="6"/>
      <c r="K172" s="6"/>
      <c r="L172" s="6"/>
      <c r="M172" s="91"/>
      <c r="N172" s="91"/>
      <c r="O172" s="91"/>
      <c r="P172" s="6"/>
      <c r="Q172" s="92"/>
      <c r="R172" s="92"/>
      <c r="S172" s="92"/>
      <c r="T172" s="6"/>
      <c r="U172" s="6"/>
      <c r="V172" s="6"/>
      <c r="W172" s="4"/>
      <c r="X172" s="6"/>
      <c r="Y172" s="6"/>
      <c r="Z172" s="92"/>
      <c r="AA172" s="6"/>
      <c r="AB172" s="6"/>
      <c r="AC172" s="6"/>
      <c r="AD172" s="6"/>
      <c r="AE172" s="6"/>
      <c r="AF172" s="6"/>
      <c r="AG172" s="93"/>
      <c r="AH172" s="110"/>
      <c r="AI172" s="110"/>
      <c r="AJ172" s="110"/>
      <c r="AK172" s="110"/>
      <c r="AL172" s="110"/>
      <c r="AM172" s="84"/>
      <c r="AN172" s="85">
        <v>0</v>
      </c>
      <c r="AO172" s="85"/>
      <c r="AP172" s="117" t="str">
        <f>C172</f>
        <v>0057</v>
      </c>
      <c r="AR172" s="9"/>
      <c r="AS172" s="9"/>
      <c r="AT172" s="162" t="str">
        <f t="shared" si="4"/>
        <v>-</v>
      </c>
      <c r="AU172" s="9"/>
      <c r="AV172" s="116"/>
    </row>
    <row r="173" spans="1:52" ht="15" customHeight="1" x14ac:dyDescent="0.25">
      <c r="A173" s="72">
        <v>171</v>
      </c>
      <c r="B173" s="80"/>
      <c r="C173" s="157" t="s">
        <v>1717</v>
      </c>
      <c r="D173" s="5" t="s">
        <v>707</v>
      </c>
      <c r="E173" s="5" t="s">
        <v>729</v>
      </c>
      <c r="F173" s="5"/>
      <c r="G173" s="5" t="s">
        <v>810</v>
      </c>
      <c r="H173" s="2"/>
      <c r="I173" s="165">
        <v>43102</v>
      </c>
      <c r="J173" s="5" t="s">
        <v>581</v>
      </c>
      <c r="K173" s="5" t="s">
        <v>1229</v>
      </c>
      <c r="L173" s="5" t="s">
        <v>1231</v>
      </c>
      <c r="M173" s="5" t="str">
        <f>CONCATENATE(K173," ",L173)</f>
        <v>ASCAZ HOSPITALARIA</v>
      </c>
      <c r="N173" s="5"/>
      <c r="O173" s="5"/>
      <c r="P173" s="5" t="s">
        <v>154</v>
      </c>
      <c r="Q173" s="87" t="s">
        <v>343</v>
      </c>
      <c r="R173" s="87" t="s">
        <v>132</v>
      </c>
      <c r="S173" s="87" t="s">
        <v>132</v>
      </c>
      <c r="T173" s="5" t="s">
        <v>2</v>
      </c>
      <c r="U173" s="5" t="s">
        <v>342</v>
      </c>
      <c r="V173" s="5" t="s">
        <v>665</v>
      </c>
      <c r="W173" s="2">
        <v>28669</v>
      </c>
      <c r="X173" s="7">
        <f ca="1">YEAR($X$1)-YEAR(W173)</f>
        <v>40</v>
      </c>
      <c r="Y173" s="5" t="s">
        <v>1</v>
      </c>
      <c r="Z173" s="87" t="s">
        <v>341</v>
      </c>
      <c r="AA173" s="5">
        <v>5</v>
      </c>
      <c r="AB173" s="5" t="s">
        <v>340</v>
      </c>
      <c r="AC173" s="5" t="s">
        <v>0</v>
      </c>
      <c r="AD173" s="5" t="s">
        <v>7</v>
      </c>
      <c r="AE173" s="5">
        <v>33011</v>
      </c>
      <c r="AF173" s="5"/>
      <c r="AG173" s="88" t="s">
        <v>998</v>
      </c>
      <c r="AH173" s="105" t="s">
        <v>339</v>
      </c>
      <c r="AI173" s="105" t="s">
        <v>13</v>
      </c>
      <c r="AJ173" s="105">
        <v>5386</v>
      </c>
      <c r="AK173" s="105" t="s">
        <v>338</v>
      </c>
      <c r="AL173" s="105" t="s">
        <v>337</v>
      </c>
      <c r="AM173" s="84"/>
      <c r="AN173" s="8"/>
      <c r="AO173" s="89">
        <v>10</v>
      </c>
      <c r="AQ173" s="116" t="str">
        <f>CONCATENATE("NS",C172,"AZ")</f>
        <v>NS0057AZ</v>
      </c>
      <c r="AR173" s="9" t="str">
        <f>CONCATENATE(Q173," ",R173," ",S173)</f>
        <v>FRANCISCO GARCÍA GARCÍA</v>
      </c>
      <c r="AS173" s="9"/>
      <c r="AT173" s="162" t="str">
        <f t="shared" si="4"/>
        <v>NS0057AZ-FRANCISCO GARCÍA GARCÍA</v>
      </c>
      <c r="AU173" s="9" t="str">
        <f>U173</f>
        <v>71503106Q</v>
      </c>
      <c r="AV173" s="116"/>
      <c r="AW173" s="9" t="str">
        <f>CONCATENATE(AH173,AI173,AJ173,AK173,AL173)</f>
        <v>ES0400815386000001061511</v>
      </c>
      <c r="AZ173" s="159">
        <v>43102</v>
      </c>
    </row>
    <row r="174" spans="1:52" ht="15" customHeight="1" x14ac:dyDescent="0.25">
      <c r="A174" s="72">
        <v>172</v>
      </c>
      <c r="B174" s="80"/>
      <c r="C174" s="157" t="s">
        <v>1717</v>
      </c>
      <c r="D174" s="5" t="s">
        <v>708</v>
      </c>
      <c r="E174" s="5" t="s">
        <v>729</v>
      </c>
      <c r="F174" s="5"/>
      <c r="G174" s="5" t="s">
        <v>810</v>
      </c>
      <c r="H174" s="2"/>
      <c r="I174" s="165"/>
      <c r="J174" s="5" t="s">
        <v>581</v>
      </c>
      <c r="K174" s="5" t="s">
        <v>1229</v>
      </c>
      <c r="L174" s="5" t="s">
        <v>1231</v>
      </c>
      <c r="M174" s="5" t="str">
        <f>CONCATENATE(K174," ",L174)</f>
        <v>ASCAZ HOSPITALARIA</v>
      </c>
      <c r="N174" s="5"/>
      <c r="O174" s="5"/>
      <c r="P174" s="5" t="s">
        <v>43</v>
      </c>
      <c r="Q174" s="87" t="s">
        <v>336</v>
      </c>
      <c r="R174" s="87" t="s">
        <v>334</v>
      </c>
      <c r="S174" s="87" t="s">
        <v>1154</v>
      </c>
      <c r="T174" s="5" t="s">
        <v>2</v>
      </c>
      <c r="U174" s="5" t="s">
        <v>335</v>
      </c>
      <c r="V174" s="5" t="s">
        <v>646</v>
      </c>
      <c r="W174" s="2">
        <v>28697</v>
      </c>
      <c r="X174" s="7">
        <f ca="1">YEAR($X$1)-YEAR(W174)</f>
        <v>40</v>
      </c>
      <c r="Y174" s="5"/>
      <c r="Z174" s="87"/>
      <c r="AA174" s="5"/>
      <c r="AB174" s="5"/>
      <c r="AC174" s="5"/>
      <c r="AD174" s="5"/>
      <c r="AE174" s="5"/>
      <c r="AF174" s="5"/>
      <c r="AG174" s="88" t="s">
        <v>999</v>
      </c>
      <c r="AH174" s="105"/>
      <c r="AI174" s="105"/>
      <c r="AJ174" s="105"/>
      <c r="AK174" s="105"/>
      <c r="AL174" s="105"/>
      <c r="AM174" s="84"/>
      <c r="AN174" s="8"/>
      <c r="AO174" s="89">
        <v>10</v>
      </c>
      <c r="AR174" s="9"/>
      <c r="AS174" s="9"/>
      <c r="AT174" s="162" t="str">
        <f t="shared" si="4"/>
        <v>-</v>
      </c>
      <c r="AU174" s="9"/>
      <c r="AV174" s="116"/>
    </row>
    <row r="175" spans="1:52" ht="15" customHeight="1" x14ac:dyDescent="0.25">
      <c r="A175" s="72">
        <v>173</v>
      </c>
      <c r="B175" s="80"/>
      <c r="C175" s="157" t="s">
        <v>1717</v>
      </c>
      <c r="D175" s="5" t="s">
        <v>709</v>
      </c>
      <c r="E175" s="5" t="s">
        <v>729</v>
      </c>
      <c r="F175" s="5"/>
      <c r="G175" s="5" t="s">
        <v>810</v>
      </c>
      <c r="H175" s="2"/>
      <c r="I175" s="165"/>
      <c r="J175" s="5" t="s">
        <v>581</v>
      </c>
      <c r="K175" s="5" t="s">
        <v>1229</v>
      </c>
      <c r="L175" s="5" t="s">
        <v>1231</v>
      </c>
      <c r="M175" s="5" t="str">
        <f>CONCATENATE(K175," ",L175)</f>
        <v>ASCAZ HOSPITALARIA</v>
      </c>
      <c r="N175" s="5"/>
      <c r="O175" s="5"/>
      <c r="P175" s="90" t="s">
        <v>815</v>
      </c>
      <c r="Q175" s="87" t="s">
        <v>233</v>
      </c>
      <c r="R175" s="87" t="s">
        <v>132</v>
      </c>
      <c r="S175" s="87" t="s">
        <v>334</v>
      </c>
      <c r="T175" s="5" t="s">
        <v>2</v>
      </c>
      <c r="U175" s="5"/>
      <c r="V175" s="5" t="s">
        <v>665</v>
      </c>
      <c r="W175" s="2">
        <v>40372</v>
      </c>
      <c r="X175" s="7">
        <f ca="1">YEAR($X$1)-YEAR(W175)</f>
        <v>8</v>
      </c>
      <c r="Y175" s="5"/>
      <c r="Z175" s="87"/>
      <c r="AA175" s="5"/>
      <c r="AB175" s="5"/>
      <c r="AC175" s="5"/>
      <c r="AD175" s="5"/>
      <c r="AE175" s="5"/>
      <c r="AF175" s="5"/>
      <c r="AG175" s="88"/>
      <c r="AH175" s="105"/>
      <c r="AI175" s="105"/>
      <c r="AJ175" s="105"/>
      <c r="AK175" s="105"/>
      <c r="AL175" s="105"/>
      <c r="AM175" s="84"/>
      <c r="AN175" s="8"/>
      <c r="AO175" s="89">
        <v>10</v>
      </c>
      <c r="AR175" s="9"/>
      <c r="AS175" s="9"/>
      <c r="AT175" s="162" t="str">
        <f t="shared" si="4"/>
        <v>-</v>
      </c>
      <c r="AU175" s="9"/>
      <c r="AV175" s="116"/>
    </row>
    <row r="176" spans="1:52" ht="15" customHeight="1" x14ac:dyDescent="0.25">
      <c r="A176" s="72">
        <v>174</v>
      </c>
      <c r="B176" s="80"/>
      <c r="C176" s="156" t="s">
        <v>1620</v>
      </c>
      <c r="D176" s="81"/>
      <c r="E176" s="6"/>
      <c r="F176" s="6"/>
      <c r="G176" s="6"/>
      <c r="H176" s="4"/>
      <c r="I176" s="166"/>
      <c r="J176" s="6"/>
      <c r="K176" s="6"/>
      <c r="L176" s="6"/>
      <c r="M176" s="91"/>
      <c r="N176" s="91"/>
      <c r="O176" s="91"/>
      <c r="P176" s="6"/>
      <c r="Q176" s="92"/>
      <c r="R176" s="92"/>
      <c r="S176" s="92"/>
      <c r="T176" s="6"/>
      <c r="U176" s="6"/>
      <c r="V176" s="6"/>
      <c r="W176" s="4"/>
      <c r="X176" s="6"/>
      <c r="Y176" s="6"/>
      <c r="Z176" s="92"/>
      <c r="AA176" s="6"/>
      <c r="AB176" s="6"/>
      <c r="AC176" s="6"/>
      <c r="AD176" s="6"/>
      <c r="AE176" s="6"/>
      <c r="AF176" s="6"/>
      <c r="AG176" s="93"/>
      <c r="AH176" s="110"/>
      <c r="AI176" s="110"/>
      <c r="AJ176" s="110"/>
      <c r="AK176" s="110"/>
      <c r="AL176" s="110"/>
      <c r="AM176" s="84"/>
      <c r="AN176" s="85">
        <v>0</v>
      </c>
      <c r="AO176" s="85"/>
      <c r="AP176" s="117" t="str">
        <f>C176</f>
        <v>0058</v>
      </c>
      <c r="AR176" s="9"/>
      <c r="AS176" s="9"/>
      <c r="AT176" s="162" t="str">
        <f t="shared" si="4"/>
        <v>-</v>
      </c>
      <c r="AU176" s="9"/>
      <c r="AV176" s="116"/>
    </row>
    <row r="177" spans="1:52" ht="15" customHeight="1" x14ac:dyDescent="0.25">
      <c r="A177" s="72">
        <v>175</v>
      </c>
      <c r="B177" s="80"/>
      <c r="C177" s="157" t="s">
        <v>1717</v>
      </c>
      <c r="D177" s="5" t="s">
        <v>710</v>
      </c>
      <c r="E177" s="5" t="s">
        <v>729</v>
      </c>
      <c r="F177" s="5" t="s">
        <v>731</v>
      </c>
      <c r="G177" s="5" t="s">
        <v>810</v>
      </c>
      <c r="H177" s="2"/>
      <c r="I177" s="165">
        <v>43101</v>
      </c>
      <c r="J177" s="5" t="s">
        <v>581</v>
      </c>
      <c r="K177" s="5" t="s">
        <v>1229</v>
      </c>
      <c r="L177" s="5" t="s">
        <v>1231</v>
      </c>
      <c r="M177" s="5" t="str">
        <f>CONCATENATE(K177," ",L177)</f>
        <v>ASCAZ HOSPITALARIA</v>
      </c>
      <c r="N177" s="5"/>
      <c r="O177" s="5"/>
      <c r="P177" s="5" t="s">
        <v>154</v>
      </c>
      <c r="Q177" s="87" t="s">
        <v>333</v>
      </c>
      <c r="R177" s="87" t="s">
        <v>286</v>
      </c>
      <c r="S177" s="87" t="s">
        <v>174</v>
      </c>
      <c r="T177" s="5" t="s">
        <v>2</v>
      </c>
      <c r="U177" s="5" t="s">
        <v>332</v>
      </c>
      <c r="V177" s="5" t="s">
        <v>665</v>
      </c>
      <c r="W177" s="2">
        <v>20836</v>
      </c>
      <c r="X177" s="7">
        <f ca="1">YEAR($X$1)-YEAR(W177)</f>
        <v>61</v>
      </c>
      <c r="Y177" s="5" t="s">
        <v>117</v>
      </c>
      <c r="Z177" s="87" t="s">
        <v>331</v>
      </c>
      <c r="AA177" s="5" t="s">
        <v>330</v>
      </c>
      <c r="AB177" s="5"/>
      <c r="AC177" s="5" t="s">
        <v>0</v>
      </c>
      <c r="AD177" s="5" t="s">
        <v>329</v>
      </c>
      <c r="AE177" s="5">
        <v>33199</v>
      </c>
      <c r="AF177" s="5">
        <v>606660185</v>
      </c>
      <c r="AG177" s="88" t="s">
        <v>877</v>
      </c>
      <c r="AH177" s="105" t="s">
        <v>279</v>
      </c>
      <c r="AI177" s="105">
        <v>2048</v>
      </c>
      <c r="AJ177" s="105" t="s">
        <v>1118</v>
      </c>
      <c r="AK177" s="105" t="s">
        <v>1117</v>
      </c>
      <c r="AL177" s="105">
        <v>3000059709</v>
      </c>
      <c r="AM177" s="84"/>
      <c r="AN177" s="8"/>
      <c r="AO177" s="89">
        <v>10</v>
      </c>
      <c r="AQ177" s="116" t="str">
        <f>CONCATENATE("NS",C176,"AZ")</f>
        <v>NS0058AZ</v>
      </c>
      <c r="AR177" s="9" t="str">
        <f>CONCATENATE(Q177," ",R177," ",S177)</f>
        <v>JORGE LUIS  ALONSO MENÉNDEZ</v>
      </c>
      <c r="AS177" s="9"/>
      <c r="AT177" s="162" t="str">
        <f t="shared" si="4"/>
        <v>NS0058AZ-JORGE LUIS  ALONSO MENÉNDEZ</v>
      </c>
      <c r="AU177" s="9" t="str">
        <f>U177</f>
        <v>10806440M</v>
      </c>
      <c r="AV177" s="116"/>
      <c r="AW177" s="9" t="str">
        <f>CONCATENATE(AH177,AI177,AJ177,AK177,AL177)</f>
        <v>ES2820480120053000059709</v>
      </c>
      <c r="AZ177" s="159">
        <v>43101</v>
      </c>
    </row>
    <row r="178" spans="1:52" ht="15" customHeight="1" x14ac:dyDescent="0.25">
      <c r="A178" s="72">
        <v>176</v>
      </c>
      <c r="B178" s="80"/>
      <c r="C178" s="157" t="s">
        <v>1717</v>
      </c>
      <c r="D178" s="5" t="s">
        <v>711</v>
      </c>
      <c r="E178" s="5" t="s">
        <v>729</v>
      </c>
      <c r="F178" s="5" t="s">
        <v>731</v>
      </c>
      <c r="G178" s="5" t="s">
        <v>810</v>
      </c>
      <c r="H178" s="2"/>
      <c r="I178" s="165"/>
      <c r="J178" s="5" t="s">
        <v>581</v>
      </c>
      <c r="K178" s="5" t="s">
        <v>1229</v>
      </c>
      <c r="L178" s="5" t="s">
        <v>1231</v>
      </c>
      <c r="M178" s="5" t="str">
        <f>CONCATENATE(K178," ",L178)</f>
        <v>ASCAZ HOSPITALARIA</v>
      </c>
      <c r="N178" s="5"/>
      <c r="O178" s="5"/>
      <c r="P178" s="5" t="s">
        <v>43</v>
      </c>
      <c r="Q178" s="87" t="s">
        <v>1131</v>
      </c>
      <c r="R178" s="87" t="s">
        <v>328</v>
      </c>
      <c r="S178" s="87" t="s">
        <v>396</v>
      </c>
      <c r="T178" s="5"/>
      <c r="U178" s="5" t="s">
        <v>327</v>
      </c>
      <c r="V178" s="5" t="s">
        <v>646</v>
      </c>
      <c r="W178" s="2">
        <v>21083</v>
      </c>
      <c r="X178" s="7">
        <f ca="1">YEAR($X$1)-YEAR(W178)</f>
        <v>61</v>
      </c>
      <c r="Y178" s="5"/>
      <c r="Z178" s="87"/>
      <c r="AA178" s="5"/>
      <c r="AB178" s="5"/>
      <c r="AC178" s="5"/>
      <c r="AD178" s="5"/>
      <c r="AE178" s="5"/>
      <c r="AF178" s="5"/>
      <c r="AG178" s="88"/>
      <c r="AH178" s="105"/>
      <c r="AI178" s="105"/>
      <c r="AJ178" s="105"/>
      <c r="AK178" s="105"/>
      <c r="AL178" s="105"/>
      <c r="AM178" s="84"/>
      <c r="AN178" s="8"/>
      <c r="AO178" s="89">
        <v>10</v>
      </c>
      <c r="AR178" s="9"/>
      <c r="AS178" s="9"/>
      <c r="AT178" s="162" t="str">
        <f t="shared" si="4"/>
        <v>-</v>
      </c>
      <c r="AU178" s="9"/>
      <c r="AV178" s="116"/>
    </row>
    <row r="179" spans="1:52" ht="15" customHeight="1" x14ac:dyDescent="0.25">
      <c r="A179" s="72">
        <v>177</v>
      </c>
      <c r="B179" s="80"/>
      <c r="C179" s="156" t="s">
        <v>1621</v>
      </c>
      <c r="D179" s="81"/>
      <c r="E179" s="6"/>
      <c r="F179" s="6"/>
      <c r="G179" s="6"/>
      <c r="H179" s="4"/>
      <c r="I179" s="166"/>
      <c r="J179" s="6"/>
      <c r="K179" s="6"/>
      <c r="L179" s="6"/>
      <c r="M179" s="91"/>
      <c r="N179" s="91"/>
      <c r="O179" s="91"/>
      <c r="P179" s="6"/>
      <c r="Q179" s="92"/>
      <c r="R179" s="92"/>
      <c r="S179" s="92"/>
      <c r="T179" s="6"/>
      <c r="U179" s="6"/>
      <c r="V179" s="6"/>
      <c r="W179" s="4"/>
      <c r="X179" s="6"/>
      <c r="Y179" s="6"/>
      <c r="Z179" s="92"/>
      <c r="AA179" s="6"/>
      <c r="AB179" s="6"/>
      <c r="AC179" s="6"/>
      <c r="AD179" s="6"/>
      <c r="AE179" s="6"/>
      <c r="AF179" s="6"/>
      <c r="AG179" s="93"/>
      <c r="AH179" s="110"/>
      <c r="AI179" s="110"/>
      <c r="AJ179" s="110"/>
      <c r="AK179" s="110"/>
      <c r="AL179" s="110"/>
      <c r="AM179" s="84"/>
      <c r="AN179" s="85">
        <v>30</v>
      </c>
      <c r="AO179" s="85"/>
      <c r="AP179" s="117" t="str">
        <f>C179</f>
        <v>0059</v>
      </c>
      <c r="AR179" s="9"/>
      <c r="AS179" s="9"/>
      <c r="AT179" s="162" t="str">
        <f t="shared" si="4"/>
        <v>-</v>
      </c>
      <c r="AU179" s="9"/>
      <c r="AV179" s="116"/>
    </row>
    <row r="180" spans="1:52" ht="15" customHeight="1" x14ac:dyDescent="0.25">
      <c r="A180" s="72">
        <v>178</v>
      </c>
      <c r="B180" s="80"/>
      <c r="C180" s="157" t="s">
        <v>1717</v>
      </c>
      <c r="D180" s="5" t="s">
        <v>712</v>
      </c>
      <c r="E180" s="5" t="s">
        <v>729</v>
      </c>
      <c r="F180" s="5" t="s">
        <v>732</v>
      </c>
      <c r="G180" s="5" t="s">
        <v>811</v>
      </c>
      <c r="H180" s="2"/>
      <c r="I180" s="165">
        <v>43119</v>
      </c>
      <c r="J180" s="5" t="s">
        <v>581</v>
      </c>
      <c r="K180" s="5" t="s">
        <v>1229</v>
      </c>
      <c r="L180" s="5" t="s">
        <v>1231</v>
      </c>
      <c r="M180" s="5" t="str">
        <f>CONCATENATE(K180," ",L180)</f>
        <v>ASCAZ HOSPITALARIA</v>
      </c>
      <c r="N180" s="5"/>
      <c r="O180" s="5"/>
      <c r="P180" s="5" t="s">
        <v>154</v>
      </c>
      <c r="Q180" s="87" t="s">
        <v>1132</v>
      </c>
      <c r="R180" s="87" t="s">
        <v>132</v>
      </c>
      <c r="S180" s="87" t="s">
        <v>132</v>
      </c>
      <c r="T180" s="5" t="s">
        <v>2</v>
      </c>
      <c r="U180" s="5" t="s">
        <v>326</v>
      </c>
      <c r="V180" s="5" t="s">
        <v>646</v>
      </c>
      <c r="W180" s="2">
        <v>20123</v>
      </c>
      <c r="X180" s="7">
        <f ca="1">YEAR($X$1)-YEAR(W180)</f>
        <v>63</v>
      </c>
      <c r="Y180" s="5" t="s">
        <v>1</v>
      </c>
      <c r="Z180" s="87" t="s">
        <v>325</v>
      </c>
      <c r="AA180" s="5">
        <v>1</v>
      </c>
      <c r="AB180" s="5" t="s">
        <v>295</v>
      </c>
      <c r="AC180" s="5" t="s">
        <v>0</v>
      </c>
      <c r="AD180" s="5" t="s">
        <v>31</v>
      </c>
      <c r="AE180" s="5">
        <v>33212</v>
      </c>
      <c r="AF180" s="5">
        <v>985327818</v>
      </c>
      <c r="AG180" s="88" t="s">
        <v>877</v>
      </c>
      <c r="AH180" s="105" t="s">
        <v>321</v>
      </c>
      <c r="AI180" s="105" t="s">
        <v>13</v>
      </c>
      <c r="AJ180" s="105">
        <v>7300</v>
      </c>
      <c r="AK180" s="105">
        <v>93</v>
      </c>
      <c r="AL180" s="105" t="s">
        <v>320</v>
      </c>
      <c r="AM180" s="84"/>
      <c r="AN180" s="8"/>
      <c r="AO180" s="89">
        <v>10</v>
      </c>
      <c r="AQ180" s="116" t="str">
        <f>CONCATENATE("NS",C179,"AZ")</f>
        <v>NS0059AZ</v>
      </c>
      <c r="AR180" s="9" t="str">
        <f>CONCATENATE(Q180," ",R180," ",S180)</f>
        <v>MARÍA CARMEN GARCÍA GARCÍA</v>
      </c>
      <c r="AS180" s="9"/>
      <c r="AT180" s="162" t="str">
        <f t="shared" si="4"/>
        <v>NS0059AZ-MARÍA CARMEN GARCÍA GARCÍA</v>
      </c>
      <c r="AU180" s="9" t="str">
        <f>U180</f>
        <v>10563894V</v>
      </c>
      <c r="AV180" s="116"/>
      <c r="AW180" s="9" t="str">
        <f>CONCATENATE(AH180,AI180,AJ180,AK180,AL180)</f>
        <v>ES0200817300930001379845</v>
      </c>
      <c r="AZ180" s="159">
        <v>43119</v>
      </c>
    </row>
    <row r="181" spans="1:52" ht="15" customHeight="1" x14ac:dyDescent="0.25">
      <c r="A181" s="72">
        <v>179</v>
      </c>
      <c r="B181" s="80"/>
      <c r="C181" s="157" t="s">
        <v>1717</v>
      </c>
      <c r="D181" s="5" t="s">
        <v>713</v>
      </c>
      <c r="E181" s="5" t="s">
        <v>729</v>
      </c>
      <c r="F181" s="5" t="s">
        <v>732</v>
      </c>
      <c r="G181" s="5" t="s">
        <v>811</v>
      </c>
      <c r="H181" s="2"/>
      <c r="I181" s="165"/>
      <c r="J181" s="5" t="s">
        <v>581</v>
      </c>
      <c r="K181" s="5" t="s">
        <v>1229</v>
      </c>
      <c r="L181" s="5" t="s">
        <v>1231</v>
      </c>
      <c r="M181" s="5" t="str">
        <f>CONCATENATE(K181," ",L181)</f>
        <v>ASCAZ HOSPITALARIA</v>
      </c>
      <c r="N181" s="5"/>
      <c r="O181" s="5"/>
      <c r="P181" s="5" t="s">
        <v>43</v>
      </c>
      <c r="Q181" s="87" t="s">
        <v>324</v>
      </c>
      <c r="R181" s="87" t="s">
        <v>118</v>
      </c>
      <c r="S181" s="87" t="s">
        <v>323</v>
      </c>
      <c r="T181" s="5"/>
      <c r="U181" s="5" t="s">
        <v>322</v>
      </c>
      <c r="V181" s="5" t="s">
        <v>665</v>
      </c>
      <c r="W181" s="2">
        <v>17551</v>
      </c>
      <c r="X181" s="7">
        <f ca="1">YEAR($X$1)-YEAR(W181)</f>
        <v>70</v>
      </c>
      <c r="Y181" s="5"/>
      <c r="Z181" s="87"/>
      <c r="AA181" s="5"/>
      <c r="AB181" s="5"/>
      <c r="AC181" s="5"/>
      <c r="AD181" s="5"/>
      <c r="AE181" s="5"/>
      <c r="AF181" s="5"/>
      <c r="AG181" s="88"/>
      <c r="AH181" s="105"/>
      <c r="AI181" s="105"/>
      <c r="AJ181" s="105"/>
      <c r="AK181" s="105"/>
      <c r="AL181" s="105"/>
      <c r="AM181" s="84"/>
      <c r="AN181" s="8"/>
      <c r="AO181" s="89">
        <v>10</v>
      </c>
      <c r="AR181" s="9"/>
      <c r="AS181" s="9"/>
      <c r="AT181" s="162" t="str">
        <f t="shared" si="4"/>
        <v>-</v>
      </c>
      <c r="AU181" s="9"/>
      <c r="AV181" s="116"/>
    </row>
    <row r="182" spans="1:52" ht="15" customHeight="1" x14ac:dyDescent="0.25">
      <c r="A182" s="72">
        <v>180</v>
      </c>
      <c r="B182" s="80"/>
      <c r="C182" s="156" t="s">
        <v>1622</v>
      </c>
      <c r="D182" s="81"/>
      <c r="E182" s="6"/>
      <c r="F182" s="6"/>
      <c r="G182" s="6"/>
      <c r="H182" s="4"/>
      <c r="I182" s="166"/>
      <c r="J182" s="6"/>
      <c r="K182" s="6"/>
      <c r="L182" s="6"/>
      <c r="M182" s="91"/>
      <c r="N182" s="91"/>
      <c r="O182" s="91"/>
      <c r="P182" s="6"/>
      <c r="Q182" s="92"/>
      <c r="R182" s="92"/>
      <c r="S182" s="92"/>
      <c r="T182" s="6"/>
      <c r="U182" s="6"/>
      <c r="V182" s="6"/>
      <c r="W182" s="4"/>
      <c r="X182" s="6"/>
      <c r="Y182" s="6"/>
      <c r="Z182" s="92"/>
      <c r="AA182" s="6"/>
      <c r="AB182" s="6"/>
      <c r="AC182" s="6"/>
      <c r="AD182" s="6"/>
      <c r="AE182" s="6"/>
      <c r="AF182" s="6"/>
      <c r="AG182" s="93"/>
      <c r="AH182" s="110"/>
      <c r="AI182" s="110"/>
      <c r="AJ182" s="110"/>
      <c r="AK182" s="110"/>
      <c r="AL182" s="110"/>
      <c r="AM182" s="84"/>
      <c r="AN182" s="85">
        <v>30</v>
      </c>
      <c r="AO182" s="85"/>
      <c r="AP182" s="117" t="str">
        <f>C182</f>
        <v>0060</v>
      </c>
      <c r="AR182" s="9"/>
      <c r="AS182" s="9"/>
      <c r="AT182" s="162" t="str">
        <f t="shared" si="4"/>
        <v>-</v>
      </c>
      <c r="AU182" s="9"/>
      <c r="AV182" s="116"/>
    </row>
    <row r="183" spans="1:52" ht="15" customHeight="1" x14ac:dyDescent="0.25">
      <c r="A183" s="72">
        <v>181</v>
      </c>
      <c r="B183" s="80"/>
      <c r="C183" s="157" t="s">
        <v>1717</v>
      </c>
      <c r="D183" s="5" t="s">
        <v>714</v>
      </c>
      <c r="E183" s="5" t="s">
        <v>729</v>
      </c>
      <c r="F183" s="5" t="s">
        <v>732</v>
      </c>
      <c r="G183" s="5" t="s">
        <v>811</v>
      </c>
      <c r="H183" s="2"/>
      <c r="I183" s="165">
        <v>42755</v>
      </c>
      <c r="J183" s="5" t="s">
        <v>581</v>
      </c>
      <c r="K183" s="5" t="s">
        <v>1229</v>
      </c>
      <c r="L183" s="5" t="s">
        <v>1231</v>
      </c>
      <c r="M183" s="5" t="str">
        <f>CONCATENATE(K183," ",L183)</f>
        <v>ASCAZ HOSPITALARIA</v>
      </c>
      <c r="N183" s="5"/>
      <c r="O183" s="5"/>
      <c r="P183" s="5" t="s">
        <v>154</v>
      </c>
      <c r="Q183" s="87" t="s">
        <v>1133</v>
      </c>
      <c r="R183" s="87" t="s">
        <v>132</v>
      </c>
      <c r="S183" s="87" t="s">
        <v>132</v>
      </c>
      <c r="T183" s="5" t="s">
        <v>2</v>
      </c>
      <c r="U183" s="5" t="s">
        <v>319</v>
      </c>
      <c r="V183" s="5" t="s">
        <v>646</v>
      </c>
      <c r="W183" s="2">
        <v>21103</v>
      </c>
      <c r="X183" s="7">
        <f ca="1">YEAR($X$1)-YEAR(W183)</f>
        <v>61</v>
      </c>
      <c r="Y183" s="5" t="s">
        <v>318</v>
      </c>
      <c r="Z183" s="87" t="s">
        <v>317</v>
      </c>
      <c r="AA183" s="5">
        <v>16</v>
      </c>
      <c r="AB183" s="5" t="s">
        <v>316</v>
      </c>
      <c r="AC183" s="5" t="s">
        <v>0</v>
      </c>
      <c r="AD183" s="5" t="s">
        <v>31</v>
      </c>
      <c r="AE183" s="5">
        <v>33212</v>
      </c>
      <c r="AF183" s="5">
        <v>619952739</v>
      </c>
      <c r="AG183" s="88" t="s">
        <v>877</v>
      </c>
      <c r="AH183" s="105" t="s">
        <v>315</v>
      </c>
      <c r="AI183" s="105" t="s">
        <v>13</v>
      </c>
      <c r="AJ183" s="105">
        <v>7300</v>
      </c>
      <c r="AK183" s="105">
        <v>92</v>
      </c>
      <c r="AL183" s="105" t="s">
        <v>1119</v>
      </c>
      <c r="AM183" s="84"/>
      <c r="AN183" s="8"/>
      <c r="AO183" s="89">
        <v>10</v>
      </c>
      <c r="AQ183" s="116" t="str">
        <f>CONCATENATE("NS",C182,"AZ")</f>
        <v>NS0060AZ</v>
      </c>
      <c r="AR183" s="9" t="str">
        <f>CONCATENATE(Q183," ",R183," ",S183)</f>
        <v>MARÍA TERESA GARCÍA GARCÍA</v>
      </c>
      <c r="AS183" s="9"/>
      <c r="AT183" s="162" t="str">
        <f t="shared" si="4"/>
        <v>NS0060AZ-MARÍA TERESA GARCÍA GARCÍA</v>
      </c>
      <c r="AU183" s="9" t="str">
        <f>U183</f>
        <v>10821803G</v>
      </c>
      <c r="AV183" s="116"/>
      <c r="AW183" s="9" t="str">
        <f>CONCATENATE(AH183,AI183,AJ183,AK183,AL183)</f>
        <v>ES3300817300920001137418</v>
      </c>
      <c r="AZ183" s="159">
        <v>42755</v>
      </c>
    </row>
    <row r="184" spans="1:52" ht="15" customHeight="1" x14ac:dyDescent="0.25">
      <c r="A184" s="72">
        <v>182</v>
      </c>
      <c r="B184" s="80"/>
      <c r="C184" s="157" t="s">
        <v>1717</v>
      </c>
      <c r="D184" s="5" t="s">
        <v>714</v>
      </c>
      <c r="E184" s="5" t="s">
        <v>729</v>
      </c>
      <c r="F184" s="5" t="s">
        <v>732</v>
      </c>
      <c r="G184" s="2">
        <v>43130</v>
      </c>
      <c r="H184" s="2"/>
      <c r="I184" s="165"/>
      <c r="J184" s="5" t="s">
        <v>581</v>
      </c>
      <c r="K184" s="5" t="s">
        <v>1229</v>
      </c>
      <c r="L184" s="5" t="s">
        <v>1231</v>
      </c>
      <c r="M184" s="5" t="str">
        <f>CONCATENATE(K184," ",L184)</f>
        <v>ASCAZ HOSPITALARIA</v>
      </c>
      <c r="N184" s="5"/>
      <c r="O184" s="5"/>
      <c r="P184" s="90" t="s">
        <v>815</v>
      </c>
      <c r="Q184" s="106" t="s">
        <v>1310</v>
      </c>
      <c r="R184" s="106" t="s">
        <v>1152</v>
      </c>
      <c r="S184" s="106" t="s">
        <v>132</v>
      </c>
      <c r="T184" s="5" t="s">
        <v>2</v>
      </c>
      <c r="U184" s="5" t="s">
        <v>1311</v>
      </c>
      <c r="V184" s="5" t="s">
        <v>646</v>
      </c>
      <c r="W184" s="2">
        <v>33716</v>
      </c>
      <c r="X184" s="7">
        <f ca="1">YEAR($X$1)-YEAR(W184)</f>
        <v>26</v>
      </c>
      <c r="Y184" s="5"/>
      <c r="Z184" s="106"/>
      <c r="AA184" s="5"/>
      <c r="AB184" s="5"/>
      <c r="AC184" s="5"/>
      <c r="AD184" s="5"/>
      <c r="AE184" s="5"/>
      <c r="AF184" s="5"/>
      <c r="AG184" s="88"/>
      <c r="AH184" s="105"/>
      <c r="AI184" s="105"/>
      <c r="AJ184" s="105"/>
      <c r="AK184" s="105"/>
      <c r="AL184" s="105"/>
      <c r="AM184" s="84"/>
      <c r="AN184" s="8"/>
      <c r="AO184" s="89">
        <v>10</v>
      </c>
      <c r="AR184" s="9"/>
      <c r="AS184" s="9"/>
      <c r="AT184" s="162" t="str">
        <f t="shared" si="4"/>
        <v>-</v>
      </c>
      <c r="AU184" s="9"/>
      <c r="AV184" s="116"/>
    </row>
    <row r="185" spans="1:52" ht="15" customHeight="1" x14ac:dyDescent="0.25">
      <c r="A185" s="72">
        <v>183</v>
      </c>
      <c r="B185" s="80"/>
      <c r="C185" s="156" t="s">
        <v>1623</v>
      </c>
      <c r="D185" s="81"/>
      <c r="E185" s="6"/>
      <c r="F185" s="6"/>
      <c r="G185" s="6"/>
      <c r="H185" s="4"/>
      <c r="I185" s="166"/>
      <c r="J185" s="6"/>
      <c r="K185" s="6"/>
      <c r="L185" s="6"/>
      <c r="M185" s="91"/>
      <c r="N185" s="91"/>
      <c r="O185" s="91"/>
      <c r="P185" s="6"/>
      <c r="Q185" s="92"/>
      <c r="R185" s="92"/>
      <c r="S185" s="92"/>
      <c r="T185" s="6"/>
      <c r="U185" s="6"/>
      <c r="V185" s="6"/>
      <c r="W185" s="4"/>
      <c r="X185" s="6"/>
      <c r="Y185" s="6"/>
      <c r="Z185" s="92"/>
      <c r="AA185" s="6"/>
      <c r="AB185" s="6"/>
      <c r="AC185" s="6"/>
      <c r="AD185" s="6"/>
      <c r="AE185" s="6"/>
      <c r="AF185" s="6"/>
      <c r="AG185" s="93"/>
      <c r="AH185" s="110"/>
      <c r="AI185" s="110"/>
      <c r="AJ185" s="110"/>
      <c r="AK185" s="110"/>
      <c r="AL185" s="110"/>
      <c r="AM185" s="84"/>
      <c r="AN185" s="85">
        <v>0</v>
      </c>
      <c r="AO185" s="85"/>
      <c r="AP185" s="117" t="str">
        <f>C185</f>
        <v>0061</v>
      </c>
      <c r="AR185" s="9"/>
      <c r="AS185" s="9"/>
      <c r="AT185" s="162" t="str">
        <f t="shared" si="4"/>
        <v>-</v>
      </c>
      <c r="AU185" s="9"/>
      <c r="AV185" s="116"/>
    </row>
    <row r="186" spans="1:52" ht="15" customHeight="1" x14ac:dyDescent="0.25">
      <c r="A186" s="72">
        <v>184</v>
      </c>
      <c r="B186" s="80"/>
      <c r="C186" s="157" t="s">
        <v>1717</v>
      </c>
      <c r="D186" s="5" t="s">
        <v>715</v>
      </c>
      <c r="E186" s="5" t="s">
        <v>729</v>
      </c>
      <c r="F186" s="5" t="s">
        <v>1210</v>
      </c>
      <c r="G186" s="5" t="s">
        <v>810</v>
      </c>
      <c r="H186" s="2"/>
      <c r="I186" s="165">
        <v>43111</v>
      </c>
      <c r="J186" s="5" t="s">
        <v>581</v>
      </c>
      <c r="K186" s="5" t="s">
        <v>1229</v>
      </c>
      <c r="L186" s="5" t="s">
        <v>1231</v>
      </c>
      <c r="M186" s="5" t="str">
        <f>CONCATENATE(K186," ",L186)</f>
        <v>ASCAZ HOSPITALARIA</v>
      </c>
      <c r="N186" s="5"/>
      <c r="O186" s="5"/>
      <c r="P186" s="5" t="s">
        <v>154</v>
      </c>
      <c r="Q186" s="87" t="s">
        <v>1139</v>
      </c>
      <c r="R186" s="87" t="s">
        <v>63</v>
      </c>
      <c r="S186" s="87" t="s">
        <v>314</v>
      </c>
      <c r="T186" s="5" t="s">
        <v>2</v>
      </c>
      <c r="U186" s="5" t="s">
        <v>728</v>
      </c>
      <c r="V186" s="5" t="s">
        <v>646</v>
      </c>
      <c r="W186" s="2">
        <v>28451</v>
      </c>
      <c r="X186" s="7">
        <f ca="1">YEAR($X$1)-YEAR(W186)</f>
        <v>41</v>
      </c>
      <c r="Y186" s="5" t="s">
        <v>313</v>
      </c>
      <c r="Z186" s="87" t="s">
        <v>312</v>
      </c>
      <c r="AA186" s="5">
        <v>19</v>
      </c>
      <c r="AB186" s="5" t="s">
        <v>311</v>
      </c>
      <c r="AC186" s="5" t="s">
        <v>0</v>
      </c>
      <c r="AD186" s="5" t="s">
        <v>31</v>
      </c>
      <c r="AE186" s="5">
        <v>33210</v>
      </c>
      <c r="AF186" s="5">
        <v>645495596</v>
      </c>
      <c r="AG186" s="88" t="s">
        <v>1000</v>
      </c>
      <c r="AH186" s="105" t="s">
        <v>198</v>
      </c>
      <c r="AI186" s="105" t="s">
        <v>13</v>
      </c>
      <c r="AJ186" s="105">
        <v>5657</v>
      </c>
      <c r="AK186" s="105">
        <v>48</v>
      </c>
      <c r="AL186" s="105" t="s">
        <v>310</v>
      </c>
      <c r="AM186" s="84"/>
      <c r="AN186" s="8"/>
      <c r="AO186" s="89">
        <v>10</v>
      </c>
      <c r="AQ186" s="116" t="str">
        <f>CONCATENATE("NS",C185,"AZ")</f>
        <v>NS0061AZ</v>
      </c>
      <c r="AR186" s="9" t="str">
        <f>CONCATENATE(Q186," ",R186," ",S186)</f>
        <v>NOELIA MARÍA FERNÁNDEZ TRABANCO</v>
      </c>
      <c r="AS186" s="9"/>
      <c r="AT186" s="162" t="str">
        <f t="shared" si="4"/>
        <v>NS0061AZ-NOELIA MARÍA FERNÁNDEZ TRABANCO</v>
      </c>
      <c r="AU186" s="9" t="str">
        <f>U186</f>
        <v>53529456S</v>
      </c>
      <c r="AV186" s="116"/>
      <c r="AW186" s="9" t="str">
        <f>CONCATENATE(AH186,AI186,AJ186,AK186,AL186)</f>
        <v>ES6800815657480006418548</v>
      </c>
      <c r="AZ186" s="159">
        <v>43111</v>
      </c>
    </row>
    <row r="187" spans="1:52" ht="15" customHeight="1" x14ac:dyDescent="0.25">
      <c r="A187" s="72">
        <v>185</v>
      </c>
      <c r="B187" s="80"/>
      <c r="C187" s="156" t="s">
        <v>1624</v>
      </c>
      <c r="D187" s="81"/>
      <c r="E187" s="6"/>
      <c r="F187" s="6"/>
      <c r="G187" s="6"/>
      <c r="H187" s="4"/>
      <c r="I187" s="166"/>
      <c r="J187" s="6"/>
      <c r="K187" s="6"/>
      <c r="L187" s="6"/>
      <c r="M187" s="91"/>
      <c r="N187" s="91"/>
      <c r="O187" s="91"/>
      <c r="P187" s="6"/>
      <c r="Q187" s="92"/>
      <c r="R187" s="92"/>
      <c r="S187" s="92"/>
      <c r="T187" s="6"/>
      <c r="U187" s="6"/>
      <c r="V187" s="6"/>
      <c r="W187" s="4"/>
      <c r="X187" s="6"/>
      <c r="Y187" s="6"/>
      <c r="Z187" s="92"/>
      <c r="AA187" s="6"/>
      <c r="AB187" s="6"/>
      <c r="AC187" s="6"/>
      <c r="AD187" s="6"/>
      <c r="AE187" s="6"/>
      <c r="AF187" s="6"/>
      <c r="AG187" s="93"/>
      <c r="AH187" s="110"/>
      <c r="AI187" s="110"/>
      <c r="AJ187" s="110"/>
      <c r="AK187" s="110"/>
      <c r="AL187" s="110"/>
      <c r="AM187" s="84"/>
      <c r="AN187" s="85">
        <v>0</v>
      </c>
      <c r="AO187" s="85"/>
      <c r="AP187" s="117" t="str">
        <f>C187</f>
        <v>0063</v>
      </c>
      <c r="AR187" s="9"/>
      <c r="AS187" s="9"/>
      <c r="AT187" s="162" t="str">
        <f t="shared" si="4"/>
        <v>-</v>
      </c>
      <c r="AU187" s="9"/>
      <c r="AV187" s="116"/>
    </row>
    <row r="188" spans="1:52" ht="15" customHeight="1" x14ac:dyDescent="0.25">
      <c r="A188" s="72">
        <v>186</v>
      </c>
      <c r="B188" s="80"/>
      <c r="C188" s="157" t="s">
        <v>1717</v>
      </c>
      <c r="D188" s="5" t="s">
        <v>717</v>
      </c>
      <c r="E188" s="5" t="s">
        <v>729</v>
      </c>
      <c r="F188" s="5" t="s">
        <v>812</v>
      </c>
      <c r="G188" s="5" t="s">
        <v>810</v>
      </c>
      <c r="H188" s="2"/>
      <c r="I188" s="165">
        <v>43146</v>
      </c>
      <c r="J188" s="5" t="s">
        <v>581</v>
      </c>
      <c r="K188" s="5" t="s">
        <v>1229</v>
      </c>
      <c r="L188" s="5" t="s">
        <v>1231</v>
      </c>
      <c r="M188" s="5" t="str">
        <f>CONCATENATE(K188," ",L188)</f>
        <v>ASCAZ HOSPITALARIA</v>
      </c>
      <c r="N188" s="5"/>
      <c r="O188" s="5"/>
      <c r="P188" s="5" t="s">
        <v>154</v>
      </c>
      <c r="Q188" s="87" t="s">
        <v>1005</v>
      </c>
      <c r="R188" s="87" t="s">
        <v>546</v>
      </c>
      <c r="S188" s="87" t="s">
        <v>174</v>
      </c>
      <c r="T188" s="5" t="s">
        <v>2</v>
      </c>
      <c r="U188" s="5" t="s">
        <v>306</v>
      </c>
      <c r="V188" s="5" t="s">
        <v>646</v>
      </c>
      <c r="W188" s="2">
        <v>29865</v>
      </c>
      <c r="X188" s="7">
        <f ca="1">YEAR($X$1)-YEAR(W188)</f>
        <v>37</v>
      </c>
      <c r="Y188" s="5" t="s">
        <v>1</v>
      </c>
      <c r="Z188" s="87" t="s">
        <v>1140</v>
      </c>
      <c r="AA188" s="5">
        <v>16</v>
      </c>
      <c r="AB188" s="5" t="s">
        <v>305</v>
      </c>
      <c r="AC188" s="5" t="s">
        <v>0</v>
      </c>
      <c r="AD188" s="5" t="s">
        <v>31</v>
      </c>
      <c r="AE188" s="5">
        <v>33213</v>
      </c>
      <c r="AF188" s="5">
        <v>699674596</v>
      </c>
      <c r="AG188" s="88" t="s">
        <v>1006</v>
      </c>
      <c r="AH188" s="105" t="s">
        <v>304</v>
      </c>
      <c r="AI188" s="105">
        <v>2048</v>
      </c>
      <c r="AJ188" s="105" t="s">
        <v>44</v>
      </c>
      <c r="AK188" s="105">
        <v>66</v>
      </c>
      <c r="AL188" s="105">
        <v>3001125283</v>
      </c>
      <c r="AM188" s="84"/>
      <c r="AN188" s="8"/>
      <c r="AO188" s="89">
        <v>10</v>
      </c>
      <c r="AQ188" s="116" t="str">
        <f>CONCATENATE("NS",C187,"AZ")</f>
        <v>NS0063AZ</v>
      </c>
      <c r="AR188" s="9" t="str">
        <f>CONCATENATE(Q188," ",R188," ",S188)</f>
        <v>NOEMÍ ÁLVAREZ MENÉNDEZ</v>
      </c>
      <c r="AS188" s="9"/>
      <c r="AT188" s="162" t="str">
        <f t="shared" si="4"/>
        <v>NS0063AZ-NOEMÍ ÁLVAREZ MENÉNDEZ</v>
      </c>
      <c r="AU188" s="9" t="str">
        <f>U188</f>
        <v>53537322S</v>
      </c>
      <c r="AV188" s="116"/>
      <c r="AW188" s="9" t="str">
        <f>CONCATENATE(AH188,AI188,AJ188,AK188,AL188)</f>
        <v>ES5620480003663001125283</v>
      </c>
      <c r="AZ188" s="159">
        <v>43146</v>
      </c>
    </row>
    <row r="189" spans="1:52" ht="15" customHeight="1" x14ac:dyDescent="0.25">
      <c r="A189" s="72">
        <v>187</v>
      </c>
      <c r="B189" s="80"/>
      <c r="C189" s="156" t="s">
        <v>1625</v>
      </c>
      <c r="D189" s="81"/>
      <c r="E189" s="6"/>
      <c r="F189" s="6"/>
      <c r="G189" s="6"/>
      <c r="H189" s="4"/>
      <c r="I189" s="166"/>
      <c r="J189" s="6"/>
      <c r="K189" s="6"/>
      <c r="L189" s="6"/>
      <c r="M189" s="91"/>
      <c r="N189" s="91"/>
      <c r="O189" s="91"/>
      <c r="P189" s="6"/>
      <c r="Q189" s="92"/>
      <c r="R189" s="92"/>
      <c r="S189" s="92"/>
      <c r="T189" s="6"/>
      <c r="U189" s="6"/>
      <c r="V189" s="6"/>
      <c r="W189" s="4"/>
      <c r="X189" s="6"/>
      <c r="Y189" s="6"/>
      <c r="Z189" s="92"/>
      <c r="AA189" s="6"/>
      <c r="AB189" s="6"/>
      <c r="AC189" s="6"/>
      <c r="AD189" s="6"/>
      <c r="AE189" s="6"/>
      <c r="AF189" s="6"/>
      <c r="AG189" s="93"/>
      <c r="AH189" s="110"/>
      <c r="AI189" s="110"/>
      <c r="AJ189" s="110"/>
      <c r="AK189" s="110"/>
      <c r="AL189" s="110"/>
      <c r="AM189" s="84"/>
      <c r="AN189" s="85">
        <v>0</v>
      </c>
      <c r="AO189" s="85"/>
      <c r="AP189" s="117" t="str">
        <f>C189</f>
        <v>0064</v>
      </c>
      <c r="AR189" s="9"/>
      <c r="AS189" s="9"/>
      <c r="AT189" s="162" t="str">
        <f t="shared" si="4"/>
        <v>-</v>
      </c>
      <c r="AU189" s="9"/>
      <c r="AV189" s="116"/>
    </row>
    <row r="190" spans="1:52" ht="15" customHeight="1" x14ac:dyDescent="0.25">
      <c r="A190" s="72">
        <v>188</v>
      </c>
      <c r="B190" s="80"/>
      <c r="C190" s="157" t="s">
        <v>1717</v>
      </c>
      <c r="D190" s="5" t="s">
        <v>718</v>
      </c>
      <c r="E190" s="5" t="s">
        <v>581</v>
      </c>
      <c r="F190" s="5" t="s">
        <v>580</v>
      </c>
      <c r="G190" s="5" t="s">
        <v>813</v>
      </c>
      <c r="H190" s="2"/>
      <c r="I190" s="165">
        <v>43131</v>
      </c>
      <c r="J190" s="5" t="s">
        <v>729</v>
      </c>
      <c r="K190" s="5"/>
      <c r="L190" s="5"/>
      <c r="M190" s="5"/>
      <c r="N190" s="5"/>
      <c r="O190" s="5"/>
      <c r="P190" s="5" t="s">
        <v>154</v>
      </c>
      <c r="Q190" s="87" t="s">
        <v>1007</v>
      </c>
      <c r="R190" s="87" t="s">
        <v>396</v>
      </c>
      <c r="S190" s="87" t="s">
        <v>913</v>
      </c>
      <c r="T190" s="5" t="s">
        <v>2</v>
      </c>
      <c r="U190" s="5" t="s">
        <v>1008</v>
      </c>
      <c r="V190" s="5" t="s">
        <v>665</v>
      </c>
      <c r="W190" s="2">
        <v>28157</v>
      </c>
      <c r="X190" s="7">
        <f ca="1">YEAR($X$1)-YEAR(W190)</f>
        <v>41</v>
      </c>
      <c r="Y190" s="5" t="s">
        <v>1</v>
      </c>
      <c r="Z190" s="87" t="s">
        <v>1193</v>
      </c>
      <c r="AA190" s="5" t="s">
        <v>1194</v>
      </c>
      <c r="AB190" s="5" t="s">
        <v>1195</v>
      </c>
      <c r="AC190" s="5" t="s">
        <v>0</v>
      </c>
      <c r="AD190" s="5" t="s">
        <v>31</v>
      </c>
      <c r="AE190" s="5" t="s">
        <v>1196</v>
      </c>
      <c r="AF190" s="5">
        <v>655118621</v>
      </c>
      <c r="AG190" s="88" t="s">
        <v>1009</v>
      </c>
      <c r="AH190" s="105" t="s">
        <v>1388</v>
      </c>
      <c r="AI190" s="105" t="s">
        <v>28</v>
      </c>
      <c r="AJ190" s="105" t="s">
        <v>27</v>
      </c>
      <c r="AK190" s="105" t="s">
        <v>1389</v>
      </c>
      <c r="AL190" s="105" t="s">
        <v>1390</v>
      </c>
      <c r="AM190" s="84"/>
      <c r="AN190" s="8"/>
      <c r="AO190" s="89">
        <v>10</v>
      </c>
      <c r="AQ190" s="116" t="str">
        <f>CONCATENATE("NS",C189,"AZ")</f>
        <v>NS0064AZ</v>
      </c>
      <c r="AR190" s="9" t="str">
        <f>CONCATENATE(Q190," ",R190," ",S190)</f>
        <v>LUIS JAVIER DÍAZ VALDÉS</v>
      </c>
      <c r="AS190" s="9"/>
      <c r="AT190" s="162" t="str">
        <f t="shared" si="4"/>
        <v>NS0064AZ-LUIS JAVIER DÍAZ VALDÉS</v>
      </c>
      <c r="AU190" s="9" t="str">
        <f>U190</f>
        <v>53527470F</v>
      </c>
      <c r="AV190" s="116"/>
      <c r="AW190" s="9" t="str">
        <f>CONCATENATE(AH190,AI190,AJ190,AK190,AL190)</f>
        <v>ES9401820602190208556745</v>
      </c>
      <c r="AZ190" s="159">
        <v>43131</v>
      </c>
    </row>
    <row r="191" spans="1:52" ht="15" customHeight="1" x14ac:dyDescent="0.25">
      <c r="A191" s="72">
        <v>189</v>
      </c>
      <c r="B191" s="80"/>
      <c r="C191" s="156" t="s">
        <v>1626</v>
      </c>
      <c r="D191" s="81"/>
      <c r="E191" s="6"/>
      <c r="F191" s="6"/>
      <c r="G191" s="6"/>
      <c r="H191" s="4"/>
      <c r="I191" s="166"/>
      <c r="J191" s="6"/>
      <c r="K191" s="6"/>
      <c r="L191" s="6"/>
      <c r="M191" s="91"/>
      <c r="N191" s="91"/>
      <c r="O191" s="91"/>
      <c r="P191" s="6"/>
      <c r="Q191" s="92"/>
      <c r="R191" s="92"/>
      <c r="S191" s="92"/>
      <c r="T191" s="6"/>
      <c r="U191" s="6"/>
      <c r="V191" s="6"/>
      <c r="W191" s="4"/>
      <c r="X191" s="6"/>
      <c r="Y191" s="6"/>
      <c r="Z191" s="92"/>
      <c r="AA191" s="6"/>
      <c r="AB191" s="6"/>
      <c r="AC191" s="6"/>
      <c r="AD191" s="6"/>
      <c r="AE191" s="6"/>
      <c r="AF191" s="6"/>
      <c r="AG191" s="93"/>
      <c r="AH191" s="110"/>
      <c r="AI191" s="110"/>
      <c r="AJ191" s="110"/>
      <c r="AK191" s="110"/>
      <c r="AL191" s="110"/>
      <c r="AM191" s="84"/>
      <c r="AN191" s="85">
        <v>30</v>
      </c>
      <c r="AO191" s="85"/>
      <c r="AP191" s="117" t="str">
        <f>C191</f>
        <v>0065</v>
      </c>
      <c r="AR191" s="9"/>
      <c r="AS191" s="9"/>
      <c r="AT191" s="162" t="str">
        <f t="shared" si="4"/>
        <v>-</v>
      </c>
      <c r="AU191" s="9"/>
      <c r="AV191" s="116"/>
    </row>
    <row r="192" spans="1:52" ht="15" customHeight="1" x14ac:dyDescent="0.25">
      <c r="A192" s="72">
        <v>190</v>
      </c>
      <c r="B192" s="80"/>
      <c r="C192" s="157" t="s">
        <v>1717</v>
      </c>
      <c r="D192" s="5" t="s">
        <v>719</v>
      </c>
      <c r="E192" s="5" t="s">
        <v>729</v>
      </c>
      <c r="F192" s="5"/>
      <c r="G192" s="5" t="s">
        <v>811</v>
      </c>
      <c r="H192" s="2"/>
      <c r="I192" s="165">
        <v>43103</v>
      </c>
      <c r="J192" s="5" t="s">
        <v>581</v>
      </c>
      <c r="K192" s="5" t="s">
        <v>1229</v>
      </c>
      <c r="L192" s="5" t="s">
        <v>1231</v>
      </c>
      <c r="M192" s="5" t="str">
        <f>CONCATENATE(K192," ",L192)</f>
        <v>ASCAZ HOSPITALARIA</v>
      </c>
      <c r="N192" s="5"/>
      <c r="O192" s="5"/>
      <c r="P192" s="5" t="s">
        <v>154</v>
      </c>
      <c r="Q192" s="87" t="s">
        <v>302</v>
      </c>
      <c r="R192" s="87" t="s">
        <v>174</v>
      </c>
      <c r="S192" s="87" t="s">
        <v>291</v>
      </c>
      <c r="T192" s="5" t="s">
        <v>2</v>
      </c>
      <c r="U192" s="5" t="s">
        <v>301</v>
      </c>
      <c r="V192" s="5" t="s">
        <v>646</v>
      </c>
      <c r="W192" s="2">
        <v>26477</v>
      </c>
      <c r="X192" s="7">
        <f ca="1">YEAR($X$1)-YEAR(W192)</f>
        <v>46</v>
      </c>
      <c r="Y192" s="5" t="s">
        <v>1</v>
      </c>
      <c r="Z192" s="87" t="s">
        <v>289</v>
      </c>
      <c r="AA192" s="5">
        <v>4</v>
      </c>
      <c r="AB192" s="5" t="s">
        <v>295</v>
      </c>
      <c r="AC192" s="5" t="s">
        <v>0</v>
      </c>
      <c r="AD192" s="5" t="s">
        <v>7</v>
      </c>
      <c r="AE192" s="5">
        <v>33011</v>
      </c>
      <c r="AF192" s="5">
        <v>669330115</v>
      </c>
      <c r="AG192" s="88" t="s">
        <v>1010</v>
      </c>
      <c r="AH192" s="105" t="s">
        <v>1120</v>
      </c>
      <c r="AI192" s="105">
        <v>2085</v>
      </c>
      <c r="AJ192" s="105">
        <v>8147</v>
      </c>
      <c r="AK192" s="105" t="s">
        <v>300</v>
      </c>
      <c r="AL192" s="105" t="s">
        <v>299</v>
      </c>
      <c r="AM192" s="84"/>
      <c r="AN192" s="8"/>
      <c r="AO192" s="89">
        <v>10</v>
      </c>
      <c r="AQ192" s="116" t="str">
        <f>CONCATENATE("NS",C191,"AZ")</f>
        <v>NS0065AZ</v>
      </c>
      <c r="AR192" s="9" t="str">
        <f>CONCATENATE(Q192," ",R192," ",S192)</f>
        <v>COVADONGA MENÉNDEZ RODRÍGUEZ</v>
      </c>
      <c r="AS192" s="9"/>
      <c r="AT192" s="162" t="str">
        <f t="shared" si="4"/>
        <v>NS0065AZ-COVADONGA MENÉNDEZ RODRÍGUEZ</v>
      </c>
      <c r="AU192" s="9" t="str">
        <f>U192</f>
        <v>9412172C</v>
      </c>
      <c r="AV192" s="116"/>
      <c r="AW192" s="9" t="str">
        <f>CONCATENATE(AH192,AI192,AJ192,AK192,AL192)</f>
        <v>ES7320858147060330276607</v>
      </c>
      <c r="AZ192" s="159">
        <v>43103</v>
      </c>
    </row>
    <row r="193" spans="1:52" ht="15" customHeight="1" x14ac:dyDescent="0.25">
      <c r="A193" s="72">
        <v>191</v>
      </c>
      <c r="B193" s="80"/>
      <c r="C193" s="156" t="s">
        <v>1627</v>
      </c>
      <c r="D193" s="81"/>
      <c r="E193" s="6"/>
      <c r="F193" s="6"/>
      <c r="G193" s="6"/>
      <c r="H193" s="4"/>
      <c r="I193" s="166"/>
      <c r="J193" s="6"/>
      <c r="K193" s="6"/>
      <c r="L193" s="6"/>
      <c r="M193" s="91"/>
      <c r="N193" s="91"/>
      <c r="O193" s="91"/>
      <c r="P193" s="6"/>
      <c r="Q193" s="92"/>
      <c r="R193" s="92"/>
      <c r="S193" s="92"/>
      <c r="T193" s="6"/>
      <c r="U193" s="6"/>
      <c r="V193" s="6"/>
      <c r="W193" s="4"/>
      <c r="X193" s="6"/>
      <c r="Y193" s="6"/>
      <c r="Z193" s="92"/>
      <c r="AA193" s="6"/>
      <c r="AB193" s="6"/>
      <c r="AC193" s="6"/>
      <c r="AD193" s="6"/>
      <c r="AE193" s="6"/>
      <c r="AF193" s="6"/>
      <c r="AG193" s="93"/>
      <c r="AH193" s="110"/>
      <c r="AI193" s="110"/>
      <c r="AJ193" s="110"/>
      <c r="AK193" s="110"/>
      <c r="AL193" s="110"/>
      <c r="AM193" s="84"/>
      <c r="AN193" s="85">
        <v>30</v>
      </c>
      <c r="AO193" s="85"/>
      <c r="AP193" s="117" t="str">
        <f>C193</f>
        <v>0066</v>
      </c>
      <c r="AR193" s="9"/>
      <c r="AS193" s="9"/>
      <c r="AT193" s="162" t="str">
        <f t="shared" si="4"/>
        <v>-</v>
      </c>
      <c r="AU193" s="9"/>
      <c r="AV193" s="116"/>
    </row>
    <row r="194" spans="1:52" ht="15" customHeight="1" x14ac:dyDescent="0.25">
      <c r="A194" s="72">
        <v>192</v>
      </c>
      <c r="B194" s="80"/>
      <c r="C194" s="157" t="s">
        <v>1717</v>
      </c>
      <c r="D194" s="5" t="s">
        <v>720</v>
      </c>
      <c r="E194" s="5" t="s">
        <v>729</v>
      </c>
      <c r="F194" s="5"/>
      <c r="G194" s="5" t="s">
        <v>811</v>
      </c>
      <c r="H194" s="2"/>
      <c r="I194" s="165">
        <v>43103</v>
      </c>
      <c r="J194" s="5" t="s">
        <v>581</v>
      </c>
      <c r="K194" s="5" t="s">
        <v>1229</v>
      </c>
      <c r="L194" s="5" t="s">
        <v>1231</v>
      </c>
      <c r="M194" s="5" t="str">
        <f>CONCATENATE(K194," ",L194)</f>
        <v>ASCAZ HOSPITALARIA</v>
      </c>
      <c r="N194" s="5"/>
      <c r="O194" s="5"/>
      <c r="P194" s="5" t="s">
        <v>154</v>
      </c>
      <c r="Q194" s="87" t="s">
        <v>298</v>
      </c>
      <c r="R194" s="87" t="s">
        <v>174</v>
      </c>
      <c r="S194" s="87" t="s">
        <v>297</v>
      </c>
      <c r="T194" s="5" t="s">
        <v>2</v>
      </c>
      <c r="U194" s="5" t="s">
        <v>296</v>
      </c>
      <c r="V194" s="5" t="s">
        <v>665</v>
      </c>
      <c r="W194" s="2">
        <v>14400</v>
      </c>
      <c r="X194" s="7">
        <f ca="1">YEAR($X$1)-YEAR(W194)</f>
        <v>79</v>
      </c>
      <c r="Y194" s="5" t="s">
        <v>1</v>
      </c>
      <c r="Z194" s="87" t="s">
        <v>289</v>
      </c>
      <c r="AA194" s="5">
        <v>4</v>
      </c>
      <c r="AB194" s="5" t="s">
        <v>295</v>
      </c>
      <c r="AC194" s="5" t="s">
        <v>0</v>
      </c>
      <c r="AD194" s="5" t="s">
        <v>7</v>
      </c>
      <c r="AE194" s="5">
        <v>33011</v>
      </c>
      <c r="AF194" s="5">
        <v>660323924</v>
      </c>
      <c r="AG194" s="88" t="s">
        <v>1010</v>
      </c>
      <c r="AH194" s="105" t="s">
        <v>294</v>
      </c>
      <c r="AI194" s="105">
        <v>2048</v>
      </c>
      <c r="AJ194" s="105" t="s">
        <v>293</v>
      </c>
      <c r="AK194" s="105">
        <v>50</v>
      </c>
      <c r="AL194" s="105">
        <v>3000165383</v>
      </c>
      <c r="AM194" s="84"/>
      <c r="AN194" s="8"/>
      <c r="AO194" s="89">
        <v>10</v>
      </c>
      <c r="AQ194" s="116" t="str">
        <f>CONCATENATE("NS",C193,"AZ")</f>
        <v>NS0066AZ</v>
      </c>
      <c r="AR194" s="9" t="str">
        <f>CONCATENATE(Q194," ",R194," ",S194)</f>
        <v>JUAN JESÚS MENÉNDEZ SUÁREZ</v>
      </c>
      <c r="AS194" s="9"/>
      <c r="AT194" s="162" t="str">
        <f t="shared" si="4"/>
        <v>NS0066AZ-JUAN JESÚS MENÉNDEZ SUÁREZ</v>
      </c>
      <c r="AU194" s="9" t="str">
        <f>U194</f>
        <v>10468899N</v>
      </c>
      <c r="AV194" s="116"/>
      <c r="AW194" s="9" t="str">
        <f>CONCATENATE(AH194,AI194,AJ194,AK194,AL194)</f>
        <v>ES5520480077503000165383</v>
      </c>
      <c r="AZ194" s="159">
        <v>43103</v>
      </c>
    </row>
    <row r="195" spans="1:52" ht="15" customHeight="1" x14ac:dyDescent="0.25">
      <c r="A195" s="72">
        <v>193</v>
      </c>
      <c r="B195" s="80"/>
      <c r="C195" s="156" t="s">
        <v>1628</v>
      </c>
      <c r="D195" s="81"/>
      <c r="E195" s="6"/>
      <c r="F195" s="6"/>
      <c r="G195" s="6"/>
      <c r="H195" s="4"/>
      <c r="I195" s="166"/>
      <c r="J195" s="6"/>
      <c r="K195" s="6"/>
      <c r="L195" s="6"/>
      <c r="M195" s="91"/>
      <c r="N195" s="91"/>
      <c r="O195" s="91"/>
      <c r="P195" s="6"/>
      <c r="Q195" s="92"/>
      <c r="R195" s="92"/>
      <c r="S195" s="92"/>
      <c r="T195" s="6"/>
      <c r="U195" s="6"/>
      <c r="V195" s="6"/>
      <c r="W195" s="4"/>
      <c r="X195" s="6"/>
      <c r="Y195" s="6"/>
      <c r="Z195" s="92"/>
      <c r="AA195" s="6"/>
      <c r="AB195" s="6"/>
      <c r="AC195" s="6"/>
      <c r="AD195" s="6"/>
      <c r="AE195" s="6"/>
      <c r="AF195" s="6"/>
      <c r="AG195" s="93"/>
      <c r="AH195" s="110"/>
      <c r="AI195" s="110"/>
      <c r="AJ195" s="110"/>
      <c r="AK195" s="110"/>
      <c r="AL195" s="110"/>
      <c r="AM195" s="84"/>
      <c r="AN195" s="85">
        <v>30</v>
      </c>
      <c r="AO195" s="85"/>
      <c r="AP195" s="117" t="str">
        <f>C195</f>
        <v>0067</v>
      </c>
      <c r="AR195" s="9"/>
      <c r="AS195" s="9"/>
      <c r="AT195" s="162" t="str">
        <f t="shared" si="4"/>
        <v>-</v>
      </c>
      <c r="AU195" s="9"/>
      <c r="AV195" s="116"/>
    </row>
    <row r="196" spans="1:52" ht="15" customHeight="1" x14ac:dyDescent="0.25">
      <c r="A196" s="72">
        <v>194</v>
      </c>
      <c r="B196" s="80"/>
      <c r="C196" s="157" t="s">
        <v>1717</v>
      </c>
      <c r="D196" s="5" t="s">
        <v>721</v>
      </c>
      <c r="E196" s="5" t="s">
        <v>729</v>
      </c>
      <c r="F196" s="5"/>
      <c r="G196" s="5" t="s">
        <v>811</v>
      </c>
      <c r="H196" s="2"/>
      <c r="I196" s="165">
        <v>43103</v>
      </c>
      <c r="J196" s="5" t="s">
        <v>581</v>
      </c>
      <c r="K196" s="5" t="s">
        <v>1229</v>
      </c>
      <c r="L196" s="5" t="s">
        <v>1231</v>
      </c>
      <c r="M196" s="5" t="str">
        <f>CONCATENATE(K196," ",L196)</f>
        <v>ASCAZ HOSPITALARIA</v>
      </c>
      <c r="N196" s="5"/>
      <c r="O196" s="5"/>
      <c r="P196" s="5" t="s">
        <v>154</v>
      </c>
      <c r="Q196" s="87" t="s">
        <v>292</v>
      </c>
      <c r="R196" s="87" t="s">
        <v>174</v>
      </c>
      <c r="S196" s="87" t="s">
        <v>291</v>
      </c>
      <c r="T196" s="5" t="s">
        <v>2</v>
      </c>
      <c r="U196" s="5" t="s">
        <v>290</v>
      </c>
      <c r="V196" s="5" t="s">
        <v>646</v>
      </c>
      <c r="W196" s="2">
        <v>28336</v>
      </c>
      <c r="X196" s="7">
        <f ca="1">YEAR($X$1)-YEAR(W196)</f>
        <v>41</v>
      </c>
      <c r="Y196" s="5" t="s">
        <v>1</v>
      </c>
      <c r="Z196" s="87" t="s">
        <v>289</v>
      </c>
      <c r="AA196" s="5">
        <v>29</v>
      </c>
      <c r="AB196" s="5" t="s">
        <v>288</v>
      </c>
      <c r="AC196" s="5" t="s">
        <v>0</v>
      </c>
      <c r="AD196" s="5" t="s">
        <v>7</v>
      </c>
      <c r="AE196" s="5">
        <v>33011</v>
      </c>
      <c r="AF196" s="5">
        <v>659842182</v>
      </c>
      <c r="AG196" s="88" t="s">
        <v>1011</v>
      </c>
      <c r="AH196" s="105" t="s">
        <v>29</v>
      </c>
      <c r="AI196" s="105" t="s">
        <v>1508</v>
      </c>
      <c r="AJ196" s="105" t="s">
        <v>1576</v>
      </c>
      <c r="AK196" s="105" t="s">
        <v>1686</v>
      </c>
      <c r="AL196" s="105" t="s">
        <v>1687</v>
      </c>
      <c r="AM196" s="84"/>
      <c r="AN196" s="8"/>
      <c r="AO196" s="89">
        <v>10</v>
      </c>
      <c r="AQ196" s="116" t="str">
        <f>CONCATENATE("NS",C195,"AZ")</f>
        <v>NS0067AZ</v>
      </c>
      <c r="AR196" s="9" t="str">
        <f>CONCATENATE(Q196," ",R196," ",S196)</f>
        <v>LAURA ESPERANZA MENÉNDEZ RODRÍGUEZ</v>
      </c>
      <c r="AS196" s="9"/>
      <c r="AT196" s="162" t="str">
        <f t="shared" si="4"/>
        <v>NS0067AZ-LAURA ESPERANZA MENÉNDEZ RODRÍGUEZ</v>
      </c>
      <c r="AU196" s="9" t="str">
        <f>U196</f>
        <v>9439300P</v>
      </c>
      <c r="AV196" s="116"/>
      <c r="AW196" s="9" t="str">
        <f>CONCATENATE(AH196,AI196,AJ196,AK196,AL196)</f>
        <v>ES8930590001132886090022</v>
      </c>
      <c r="AY196" s="108"/>
      <c r="AZ196" s="159">
        <v>43103</v>
      </c>
    </row>
    <row r="197" spans="1:52" ht="15" customHeight="1" x14ac:dyDescent="0.25">
      <c r="A197" s="72">
        <v>195</v>
      </c>
      <c r="B197" s="80"/>
      <c r="C197" s="156" t="s">
        <v>1629</v>
      </c>
      <c r="D197" s="81"/>
      <c r="E197" s="6"/>
      <c r="F197" s="6"/>
      <c r="G197" s="6"/>
      <c r="H197" s="4"/>
      <c r="I197" s="166"/>
      <c r="J197" s="6"/>
      <c r="K197" s="6"/>
      <c r="L197" s="6"/>
      <c r="M197" s="91"/>
      <c r="N197" s="91"/>
      <c r="O197" s="91"/>
      <c r="P197" s="6"/>
      <c r="Q197" s="92"/>
      <c r="R197" s="92"/>
      <c r="S197" s="92"/>
      <c r="T197" s="6"/>
      <c r="U197" s="6"/>
      <c r="V197" s="6"/>
      <c r="W197" s="4"/>
      <c r="X197" s="6"/>
      <c r="Y197" s="6"/>
      <c r="Z197" s="92"/>
      <c r="AA197" s="6"/>
      <c r="AB197" s="6"/>
      <c r="AC197" s="6"/>
      <c r="AD197" s="6"/>
      <c r="AE197" s="6"/>
      <c r="AF197" s="6"/>
      <c r="AG197" s="93"/>
      <c r="AH197" s="110"/>
      <c r="AI197" s="110"/>
      <c r="AJ197" s="110"/>
      <c r="AK197" s="110"/>
      <c r="AL197" s="110"/>
      <c r="AM197" s="84"/>
      <c r="AN197" s="85">
        <v>0</v>
      </c>
      <c r="AO197" s="85"/>
      <c r="AP197" s="117" t="str">
        <f>C197</f>
        <v>0068</v>
      </c>
      <c r="AR197" s="9"/>
      <c r="AS197" s="9"/>
      <c r="AT197" s="162" t="str">
        <f t="shared" ref="AT197:AT260" si="5">CONCATENATE(AQ197,"-",AR197,)</f>
        <v>-</v>
      </c>
      <c r="AU197" s="9"/>
      <c r="AV197" s="116"/>
    </row>
    <row r="198" spans="1:52" ht="15" customHeight="1" x14ac:dyDescent="0.25">
      <c r="A198" s="72">
        <v>196</v>
      </c>
      <c r="B198" s="80"/>
      <c r="C198" s="157" t="s">
        <v>1717</v>
      </c>
      <c r="D198" s="5" t="s">
        <v>722</v>
      </c>
      <c r="E198" s="5" t="s">
        <v>729</v>
      </c>
      <c r="F198" s="5"/>
      <c r="G198" s="5" t="s">
        <v>810</v>
      </c>
      <c r="H198" s="2"/>
      <c r="I198" s="165">
        <v>43110</v>
      </c>
      <c r="J198" s="5" t="s">
        <v>581</v>
      </c>
      <c r="K198" s="5" t="s">
        <v>1229</v>
      </c>
      <c r="L198" s="5" t="s">
        <v>1231</v>
      </c>
      <c r="M198" s="5" t="str">
        <f>CONCATENATE(K198," ",L198)</f>
        <v>ASCAZ HOSPITALARIA</v>
      </c>
      <c r="N198" s="5"/>
      <c r="O198" s="5"/>
      <c r="P198" s="5" t="s">
        <v>154</v>
      </c>
      <c r="Q198" s="87" t="s">
        <v>287</v>
      </c>
      <c r="R198" s="87" t="s">
        <v>174</v>
      </c>
      <c r="S198" s="87" t="s">
        <v>286</v>
      </c>
      <c r="T198" s="5" t="s">
        <v>2</v>
      </c>
      <c r="U198" s="5" t="s">
        <v>285</v>
      </c>
      <c r="V198" s="5" t="s">
        <v>665</v>
      </c>
      <c r="W198" s="2">
        <v>28853</v>
      </c>
      <c r="X198" s="7">
        <f ca="1">YEAR($X$1)-YEAR(W198)</f>
        <v>40</v>
      </c>
      <c r="Y198" s="5"/>
      <c r="Z198" s="87" t="s">
        <v>1012</v>
      </c>
      <c r="AA198" s="5">
        <v>10</v>
      </c>
      <c r="AB198" s="5" t="s">
        <v>817</v>
      </c>
      <c r="AC198" s="5" t="s">
        <v>0</v>
      </c>
      <c r="AD198" s="5" t="s">
        <v>517</v>
      </c>
      <c r="AE198" s="5">
        <v>33936</v>
      </c>
      <c r="AF198" s="5">
        <v>696465869</v>
      </c>
      <c r="AG198" s="88" t="s">
        <v>1013</v>
      </c>
      <c r="AH198" s="105" t="s">
        <v>282</v>
      </c>
      <c r="AI198" s="105">
        <v>3059</v>
      </c>
      <c r="AJ198" s="105" t="s">
        <v>281</v>
      </c>
      <c r="AK198" s="105">
        <v>88</v>
      </c>
      <c r="AL198" s="105">
        <v>2736383726</v>
      </c>
      <c r="AM198" s="84"/>
      <c r="AN198" s="8"/>
      <c r="AO198" s="89">
        <v>10</v>
      </c>
      <c r="AQ198" s="116" t="str">
        <f>CONCATENATE("NS",C197,"AZ")</f>
        <v>NS0068AZ</v>
      </c>
      <c r="AR198" s="9" t="str">
        <f>CONCATENATE(Q198," ",R198," ",S198)</f>
        <v>JAVIER MENÉNDEZ ALONSO</v>
      </c>
      <c r="AS198" s="9"/>
      <c r="AT198" s="162" t="str">
        <f t="shared" si="5"/>
        <v>NS0068AZ-JAVIER MENÉNDEZ ALONSO</v>
      </c>
      <c r="AU198" s="9" t="str">
        <f>U198</f>
        <v>10900827T</v>
      </c>
      <c r="AV198" s="116"/>
      <c r="AW198" s="9" t="str">
        <f>CONCATENATE(AH198,AI198,AJ198,AK198,AL198)</f>
        <v>ES4630590096882736383726</v>
      </c>
      <c r="AZ198" s="159">
        <v>43110</v>
      </c>
    </row>
    <row r="199" spans="1:52" ht="15" customHeight="1" x14ac:dyDescent="0.25">
      <c r="A199" s="72">
        <v>197</v>
      </c>
      <c r="B199" s="80"/>
      <c r="C199" s="157" t="s">
        <v>1717</v>
      </c>
      <c r="D199" s="5" t="s">
        <v>723</v>
      </c>
      <c r="E199" s="5" t="s">
        <v>729</v>
      </c>
      <c r="F199" s="5"/>
      <c r="G199" s="5" t="s">
        <v>810</v>
      </c>
      <c r="H199" s="2"/>
      <c r="I199" s="165"/>
      <c r="J199" s="5" t="s">
        <v>581</v>
      </c>
      <c r="K199" s="5" t="s">
        <v>1229</v>
      </c>
      <c r="L199" s="5" t="s">
        <v>1231</v>
      </c>
      <c r="M199" s="5" t="str">
        <f>CONCATENATE(K199," ",L199)</f>
        <v>ASCAZ HOSPITALARIA</v>
      </c>
      <c r="N199" s="5"/>
      <c r="O199" s="5"/>
      <c r="P199" s="5" t="s">
        <v>43</v>
      </c>
      <c r="Q199" s="87" t="s">
        <v>267</v>
      </c>
      <c r="R199" s="87" t="s">
        <v>284</v>
      </c>
      <c r="S199" s="87" t="s">
        <v>1161</v>
      </c>
      <c r="T199" s="5"/>
      <c r="U199" s="5" t="s">
        <v>283</v>
      </c>
      <c r="V199" s="5" t="s">
        <v>646</v>
      </c>
      <c r="W199" s="2">
        <v>28101</v>
      </c>
      <c r="X199" s="7">
        <f ca="1">YEAR($X$1)-YEAR(W199)</f>
        <v>42</v>
      </c>
      <c r="Y199" s="5"/>
      <c r="Z199" s="95"/>
      <c r="AA199" s="5"/>
      <c r="AB199" s="5"/>
      <c r="AC199" s="5"/>
      <c r="AD199" s="5"/>
      <c r="AE199" s="5"/>
      <c r="AF199" s="5"/>
      <c r="AG199" s="88"/>
      <c r="AH199" s="105"/>
      <c r="AI199" s="105"/>
      <c r="AJ199" s="105"/>
      <c r="AK199" s="105"/>
      <c r="AL199" s="105"/>
      <c r="AM199" s="84"/>
      <c r="AN199" s="8"/>
      <c r="AO199" s="89">
        <v>10</v>
      </c>
      <c r="AR199" s="9"/>
      <c r="AS199" s="9"/>
      <c r="AT199" s="162" t="str">
        <f t="shared" si="5"/>
        <v>-</v>
      </c>
      <c r="AU199" s="9"/>
      <c r="AV199" s="116"/>
    </row>
    <row r="200" spans="1:52" ht="15" customHeight="1" x14ac:dyDescent="0.25">
      <c r="A200" s="72">
        <v>198</v>
      </c>
      <c r="B200" s="80"/>
      <c r="C200" s="156" t="s">
        <v>1630</v>
      </c>
      <c r="D200" s="81"/>
      <c r="E200" s="6"/>
      <c r="F200" s="6"/>
      <c r="G200" s="6"/>
      <c r="H200" s="4"/>
      <c r="I200" s="166"/>
      <c r="J200" s="6"/>
      <c r="K200" s="6"/>
      <c r="L200" s="6"/>
      <c r="M200" s="91"/>
      <c r="N200" s="91"/>
      <c r="O200" s="91"/>
      <c r="P200" s="6"/>
      <c r="Q200" s="92"/>
      <c r="R200" s="92"/>
      <c r="S200" s="92"/>
      <c r="T200" s="6"/>
      <c r="U200" s="6"/>
      <c r="V200" s="6"/>
      <c r="W200" s="4"/>
      <c r="X200" s="6"/>
      <c r="Y200" s="6"/>
      <c r="Z200" s="92"/>
      <c r="AA200" s="6"/>
      <c r="AB200" s="6"/>
      <c r="AC200" s="6"/>
      <c r="AD200" s="6"/>
      <c r="AE200" s="6"/>
      <c r="AF200" s="6"/>
      <c r="AG200" s="93"/>
      <c r="AH200" s="110"/>
      <c r="AI200" s="110"/>
      <c r="AJ200" s="110"/>
      <c r="AK200" s="110"/>
      <c r="AL200" s="110"/>
      <c r="AM200" s="84"/>
      <c r="AN200" s="85">
        <v>30</v>
      </c>
      <c r="AO200" s="85"/>
      <c r="AP200" s="117" t="str">
        <f>C200</f>
        <v>0069</v>
      </c>
      <c r="AR200" s="9"/>
      <c r="AS200" s="9"/>
      <c r="AT200" s="162" t="str">
        <f t="shared" si="5"/>
        <v>-</v>
      </c>
      <c r="AU200" s="9"/>
      <c r="AV200" s="116"/>
    </row>
    <row r="201" spans="1:52" ht="15" customHeight="1" x14ac:dyDescent="0.25">
      <c r="A201" s="72">
        <v>199</v>
      </c>
      <c r="B201" s="80"/>
      <c r="C201" s="157" t="s">
        <v>1717</v>
      </c>
      <c r="D201" s="5" t="s">
        <v>725</v>
      </c>
      <c r="E201" s="5" t="s">
        <v>729</v>
      </c>
      <c r="F201" s="5" t="s">
        <v>730</v>
      </c>
      <c r="G201" s="5" t="s">
        <v>810</v>
      </c>
      <c r="H201" s="2"/>
      <c r="I201" s="165">
        <v>43111</v>
      </c>
      <c r="J201" s="5" t="s">
        <v>581</v>
      </c>
      <c r="K201" s="5" t="s">
        <v>1229</v>
      </c>
      <c r="L201" s="5" t="s">
        <v>1231</v>
      </c>
      <c r="M201" s="5" t="str">
        <f>CONCATENATE(K201," ",L201)</f>
        <v>ASCAZ HOSPITALARIA</v>
      </c>
      <c r="N201" s="5"/>
      <c r="O201" s="5"/>
      <c r="P201" s="5" t="s">
        <v>154</v>
      </c>
      <c r="Q201" s="87" t="s">
        <v>1014</v>
      </c>
      <c r="R201" s="87" t="s">
        <v>1149</v>
      </c>
      <c r="S201" s="87" t="s">
        <v>1015</v>
      </c>
      <c r="T201" s="5" t="s">
        <v>2</v>
      </c>
      <c r="U201" s="5" t="s">
        <v>280</v>
      </c>
      <c r="V201" s="5" t="s">
        <v>646</v>
      </c>
      <c r="W201" s="2">
        <v>16132</v>
      </c>
      <c r="X201" s="7">
        <f ca="1">YEAR($X$1)-YEAR(W201)</f>
        <v>74</v>
      </c>
      <c r="Y201" s="5" t="s">
        <v>1</v>
      </c>
      <c r="Z201" s="87" t="s">
        <v>1016</v>
      </c>
      <c r="AA201" s="5">
        <v>20</v>
      </c>
      <c r="AB201" s="5" t="s">
        <v>1017</v>
      </c>
      <c r="AC201" s="5" t="s">
        <v>0</v>
      </c>
      <c r="AD201" s="5" t="s">
        <v>7</v>
      </c>
      <c r="AE201" s="5">
        <v>33007</v>
      </c>
      <c r="AF201" s="5">
        <v>985234383</v>
      </c>
      <c r="AG201" s="153" t="s">
        <v>880</v>
      </c>
      <c r="AH201" s="105" t="s">
        <v>279</v>
      </c>
      <c r="AI201" s="105">
        <v>1465</v>
      </c>
      <c r="AJ201" s="105" t="s">
        <v>140</v>
      </c>
      <c r="AK201" s="105">
        <v>19</v>
      </c>
      <c r="AL201" s="105" t="s">
        <v>1688</v>
      </c>
      <c r="AM201" s="84"/>
      <c r="AN201" s="8"/>
      <c r="AO201" s="89">
        <v>10</v>
      </c>
      <c r="AQ201" s="116" t="str">
        <f>CONCATENATE("NS",C200,"AZ")</f>
        <v>NS0069AZ</v>
      </c>
      <c r="AR201" s="9" t="str">
        <f>CONCATENATE(Q201," ",R201," ",S201)</f>
        <v>ANGELES MARTÍNEZ GUERRA</v>
      </c>
      <c r="AS201" s="9"/>
      <c r="AT201" s="162" t="str">
        <f t="shared" si="5"/>
        <v>NS0069AZ-ANGELES MARTÍNEZ GUERRA</v>
      </c>
      <c r="AU201" s="9" t="str">
        <f>U201</f>
        <v>11349800J</v>
      </c>
      <c r="AV201" s="116"/>
      <c r="AW201" s="9" t="str">
        <f>CONCATENATE(AH201,AI201,AJ201,AK201,AL201)</f>
        <v>ES2814650360191715740701</v>
      </c>
      <c r="AZ201" s="159">
        <v>43111</v>
      </c>
    </row>
    <row r="202" spans="1:52" ht="15" customHeight="1" x14ac:dyDescent="0.25">
      <c r="A202" s="72">
        <v>200</v>
      </c>
      <c r="B202" s="80"/>
      <c r="C202" s="156" t="s">
        <v>1631</v>
      </c>
      <c r="D202" s="81"/>
      <c r="E202" s="6"/>
      <c r="F202" s="6"/>
      <c r="G202" s="6"/>
      <c r="H202" s="4"/>
      <c r="I202" s="166"/>
      <c r="J202" s="6"/>
      <c r="K202" s="6"/>
      <c r="L202" s="6"/>
      <c r="M202" s="91"/>
      <c r="N202" s="91"/>
      <c r="O202" s="91"/>
      <c r="P202" s="6"/>
      <c r="Q202" s="92"/>
      <c r="R202" s="92"/>
      <c r="S202" s="92"/>
      <c r="T202" s="6"/>
      <c r="U202" s="6"/>
      <c r="V202" s="6"/>
      <c r="W202" s="4"/>
      <c r="X202" s="6"/>
      <c r="Y202" s="6"/>
      <c r="Z202" s="92"/>
      <c r="AA202" s="6"/>
      <c r="AB202" s="6"/>
      <c r="AC202" s="6"/>
      <c r="AD202" s="6"/>
      <c r="AE202" s="6"/>
      <c r="AF202" s="6"/>
      <c r="AG202" s="93"/>
      <c r="AH202" s="110"/>
      <c r="AI202" s="110"/>
      <c r="AJ202" s="110"/>
      <c r="AK202" s="110"/>
      <c r="AL202" s="110"/>
      <c r="AM202" s="84"/>
      <c r="AN202" s="85">
        <v>30</v>
      </c>
      <c r="AO202" s="85"/>
      <c r="AP202" s="117" t="str">
        <f>C202</f>
        <v>0070</v>
      </c>
      <c r="AR202" s="9"/>
      <c r="AS202" s="9"/>
      <c r="AT202" s="162" t="str">
        <f t="shared" si="5"/>
        <v>-</v>
      </c>
      <c r="AU202" s="9"/>
      <c r="AV202" s="116"/>
    </row>
    <row r="203" spans="1:52" ht="15" customHeight="1" x14ac:dyDescent="0.25">
      <c r="A203" s="72">
        <v>201</v>
      </c>
      <c r="B203" s="80"/>
      <c r="C203" s="157" t="s">
        <v>1717</v>
      </c>
      <c r="D203" s="5" t="s">
        <v>726</v>
      </c>
      <c r="E203" s="5" t="s">
        <v>729</v>
      </c>
      <c r="F203" s="5" t="s">
        <v>730</v>
      </c>
      <c r="G203" s="5" t="s">
        <v>811</v>
      </c>
      <c r="H203" s="2"/>
      <c r="I203" s="165">
        <v>43111</v>
      </c>
      <c r="J203" s="5" t="s">
        <v>581</v>
      </c>
      <c r="K203" s="5" t="s">
        <v>1229</v>
      </c>
      <c r="L203" s="5" t="s">
        <v>1231</v>
      </c>
      <c r="M203" s="5" t="str">
        <f>CONCATENATE(K203," ",L203)</f>
        <v>ASCAZ HOSPITALARIA</v>
      </c>
      <c r="N203" s="5"/>
      <c r="O203" s="5"/>
      <c r="P203" s="5" t="s">
        <v>154</v>
      </c>
      <c r="Q203" s="87" t="s">
        <v>1018</v>
      </c>
      <c r="R203" s="87" t="s">
        <v>1149</v>
      </c>
      <c r="S203" s="87" t="s">
        <v>1015</v>
      </c>
      <c r="T203" s="5" t="s">
        <v>2</v>
      </c>
      <c r="U203" s="5" t="s">
        <v>278</v>
      </c>
      <c r="V203" s="5" t="s">
        <v>646</v>
      </c>
      <c r="W203" s="2">
        <v>13457</v>
      </c>
      <c r="X203" s="7">
        <f ca="1">YEAR($X$1)-YEAR(W203)</f>
        <v>82</v>
      </c>
      <c r="Y203" s="5" t="s">
        <v>1</v>
      </c>
      <c r="Z203" s="87" t="s">
        <v>1019</v>
      </c>
      <c r="AA203" s="5">
        <v>4</v>
      </c>
      <c r="AB203" s="5" t="s">
        <v>277</v>
      </c>
      <c r="AC203" s="5" t="s">
        <v>0</v>
      </c>
      <c r="AD203" s="5" t="s">
        <v>7</v>
      </c>
      <c r="AE203" s="5">
        <v>33001</v>
      </c>
      <c r="AF203" s="5"/>
      <c r="AG203" s="88" t="s">
        <v>880</v>
      </c>
      <c r="AH203" s="105" t="s">
        <v>276</v>
      </c>
      <c r="AI203" s="105" t="s">
        <v>13</v>
      </c>
      <c r="AJ203" s="105">
        <v>5051</v>
      </c>
      <c r="AK203" s="105">
        <v>54</v>
      </c>
      <c r="AL203" s="105" t="s">
        <v>275</v>
      </c>
      <c r="AM203" s="84"/>
      <c r="AN203" s="8"/>
      <c r="AO203" s="89">
        <v>10</v>
      </c>
      <c r="AQ203" s="116" t="str">
        <f>CONCATENATE("NS",C202,"AZ")</f>
        <v>NS0070AZ</v>
      </c>
      <c r="AR203" s="9" t="str">
        <f>CONCATENATE(Q203," ",R203," ",S203)</f>
        <v>RAMONA MARTÍNEZ GUERRA</v>
      </c>
      <c r="AS203" s="9"/>
      <c r="AT203" s="162" t="str">
        <f t="shared" si="5"/>
        <v>NS0070AZ-RAMONA MARTÍNEZ GUERRA</v>
      </c>
      <c r="AU203" s="9" t="str">
        <f>U203</f>
        <v>11316542J</v>
      </c>
      <c r="AV203" s="116"/>
      <c r="AW203" s="9" t="str">
        <f>CONCATENATE(AH203,AI203,AJ203,AK203,AL203)</f>
        <v>ES4300815051540007510960</v>
      </c>
      <c r="AZ203" s="159">
        <v>43111</v>
      </c>
    </row>
    <row r="204" spans="1:52" ht="15" customHeight="1" x14ac:dyDescent="0.25">
      <c r="A204" s="72">
        <v>202</v>
      </c>
      <c r="B204" s="80"/>
      <c r="C204" s="157" t="s">
        <v>1717</v>
      </c>
      <c r="D204" s="5" t="s">
        <v>727</v>
      </c>
      <c r="E204" s="5" t="s">
        <v>729</v>
      </c>
      <c r="F204" s="5" t="s">
        <v>730</v>
      </c>
      <c r="G204" s="5" t="s">
        <v>811</v>
      </c>
      <c r="H204" s="2"/>
      <c r="I204" s="165"/>
      <c r="J204" s="5" t="s">
        <v>581</v>
      </c>
      <c r="K204" s="5" t="s">
        <v>1229</v>
      </c>
      <c r="L204" s="5" t="s">
        <v>1231</v>
      </c>
      <c r="M204" s="5" t="str">
        <f>CONCATENATE(K204," ",L204)</f>
        <v>ASCAZ HOSPITALARIA</v>
      </c>
      <c r="N204" s="5"/>
      <c r="O204" s="5"/>
      <c r="P204" s="5" t="s">
        <v>43</v>
      </c>
      <c r="Q204" s="87" t="s">
        <v>1020</v>
      </c>
      <c r="R204" s="87" t="s">
        <v>1149</v>
      </c>
      <c r="S204" s="87" t="s">
        <v>1015</v>
      </c>
      <c r="T204" s="5"/>
      <c r="U204" s="5" t="s">
        <v>274</v>
      </c>
      <c r="V204" s="5" t="s">
        <v>646</v>
      </c>
      <c r="W204" s="2">
        <v>14185</v>
      </c>
      <c r="X204" s="7">
        <f ca="1">YEAR($X$1)-YEAR(W204)</f>
        <v>80</v>
      </c>
      <c r="Y204" s="5"/>
      <c r="Z204" s="87"/>
      <c r="AA204" s="5"/>
      <c r="AB204" s="5"/>
      <c r="AC204" s="5"/>
      <c r="AD204" s="5"/>
      <c r="AE204" s="5"/>
      <c r="AF204" s="5"/>
      <c r="AG204" s="88"/>
      <c r="AH204" s="105"/>
      <c r="AI204" s="105"/>
      <c r="AJ204" s="105"/>
      <c r="AK204" s="105"/>
      <c r="AL204" s="105"/>
      <c r="AM204" s="84"/>
      <c r="AN204" s="8"/>
      <c r="AO204" s="89">
        <v>10</v>
      </c>
      <c r="AR204" s="9"/>
      <c r="AS204" s="9"/>
      <c r="AT204" s="162" t="str">
        <f t="shared" si="5"/>
        <v>-</v>
      </c>
      <c r="AU204" s="9"/>
      <c r="AV204" s="116"/>
    </row>
    <row r="205" spans="1:52" ht="15" customHeight="1" x14ac:dyDescent="0.25">
      <c r="A205" s="72">
        <v>203</v>
      </c>
      <c r="B205" s="80"/>
      <c r="C205" s="156" t="s">
        <v>1632</v>
      </c>
      <c r="D205" s="81"/>
      <c r="E205" s="6"/>
      <c r="F205" s="6"/>
      <c r="G205" s="6"/>
      <c r="H205" s="4"/>
      <c r="I205" s="166"/>
      <c r="J205" s="6"/>
      <c r="K205" s="6"/>
      <c r="L205" s="6"/>
      <c r="M205" s="91"/>
      <c r="N205" s="91"/>
      <c r="O205" s="91"/>
      <c r="P205" s="6"/>
      <c r="Q205" s="92"/>
      <c r="R205" s="92"/>
      <c r="S205" s="92"/>
      <c r="T205" s="6"/>
      <c r="U205" s="6"/>
      <c r="V205" s="6"/>
      <c r="W205" s="4"/>
      <c r="X205" s="6"/>
      <c r="Y205" s="6"/>
      <c r="Z205" s="92"/>
      <c r="AA205" s="6"/>
      <c r="AB205" s="6"/>
      <c r="AC205" s="6"/>
      <c r="AD205" s="6"/>
      <c r="AE205" s="6"/>
      <c r="AF205" s="6"/>
      <c r="AG205" s="93"/>
      <c r="AH205" s="110"/>
      <c r="AI205" s="110"/>
      <c r="AJ205" s="110"/>
      <c r="AK205" s="110"/>
      <c r="AL205" s="110"/>
      <c r="AM205" s="84"/>
      <c r="AN205" s="85">
        <v>30</v>
      </c>
      <c r="AO205" s="85"/>
      <c r="AP205" s="117" t="str">
        <f>C205</f>
        <v>0071</v>
      </c>
      <c r="AR205" s="9"/>
      <c r="AS205" s="9"/>
      <c r="AT205" s="162" t="str">
        <f t="shared" si="5"/>
        <v>-</v>
      </c>
      <c r="AU205" s="9"/>
      <c r="AV205" s="116"/>
    </row>
    <row r="206" spans="1:52" ht="15" customHeight="1" x14ac:dyDescent="0.25">
      <c r="A206" s="72">
        <v>204</v>
      </c>
      <c r="B206" s="80"/>
      <c r="C206" s="157" t="s">
        <v>1717</v>
      </c>
      <c r="D206" s="5" t="s">
        <v>737</v>
      </c>
      <c r="E206" s="5" t="s">
        <v>729</v>
      </c>
      <c r="F206" s="5"/>
      <c r="G206" s="5" t="s">
        <v>811</v>
      </c>
      <c r="H206" s="2"/>
      <c r="I206" s="165">
        <v>43228</v>
      </c>
      <c r="J206" s="5" t="s">
        <v>581</v>
      </c>
      <c r="K206" s="5" t="s">
        <v>1229</v>
      </c>
      <c r="L206" s="5" t="s">
        <v>1231</v>
      </c>
      <c r="M206" s="5" t="str">
        <f>CONCATENATE(K206," ",L206)</f>
        <v>ASCAZ HOSPITALARIA</v>
      </c>
      <c r="N206" s="5"/>
      <c r="O206" s="5"/>
      <c r="P206" s="90" t="s">
        <v>154</v>
      </c>
      <c r="Q206" s="87" t="s">
        <v>273</v>
      </c>
      <c r="R206" s="87" t="s">
        <v>264</v>
      </c>
      <c r="S206" s="87" t="s">
        <v>1146</v>
      </c>
      <c r="T206" s="5" t="s">
        <v>2</v>
      </c>
      <c r="U206" s="5" t="s">
        <v>272</v>
      </c>
      <c r="V206" s="5" t="s">
        <v>665</v>
      </c>
      <c r="W206" s="2">
        <v>26528</v>
      </c>
      <c r="X206" s="7">
        <f ca="1">YEAR($X$1)-YEAR(W206)</f>
        <v>46</v>
      </c>
      <c r="Y206" s="5" t="s">
        <v>1</v>
      </c>
      <c r="Z206" s="87" t="s">
        <v>271</v>
      </c>
      <c r="AA206" s="5">
        <v>2</v>
      </c>
      <c r="AB206" s="5" t="s">
        <v>270</v>
      </c>
      <c r="AC206" s="5" t="s">
        <v>0</v>
      </c>
      <c r="AD206" s="5" t="s">
        <v>31</v>
      </c>
      <c r="AE206" s="5">
        <v>33208</v>
      </c>
      <c r="AF206" s="5">
        <v>670687086</v>
      </c>
      <c r="AG206" s="88" t="s">
        <v>1494</v>
      </c>
      <c r="AH206" s="105" t="s">
        <v>1490</v>
      </c>
      <c r="AI206" s="105" t="s">
        <v>268</v>
      </c>
      <c r="AJ206" s="105" t="s">
        <v>1491</v>
      </c>
      <c r="AK206" s="105" t="s">
        <v>1492</v>
      </c>
      <c r="AL206" s="105" t="s">
        <v>1493</v>
      </c>
      <c r="AM206" s="84"/>
      <c r="AN206" s="8"/>
      <c r="AO206" s="89">
        <v>10</v>
      </c>
      <c r="AQ206" s="116" t="str">
        <f>CONCATENATE("NS",C205,"AZ")</f>
        <v>NS0071AZ</v>
      </c>
      <c r="AR206" s="9" t="str">
        <f>CONCATENATE(Q206," ",R206," ",S206)</f>
        <v>DELFIN RIESGO GONZÁLEZ</v>
      </c>
      <c r="AS206" s="9"/>
      <c r="AT206" s="162" t="str">
        <f t="shared" si="5"/>
        <v>NS0071AZ-DELFIN RIESGO GONZÁLEZ</v>
      </c>
      <c r="AU206" s="9" t="str">
        <f>U206</f>
        <v>10892023M</v>
      </c>
      <c r="AV206" s="116"/>
      <c r="AW206" s="9" t="str">
        <f>CONCATENATE(AH206,AI206,AJ206,AK206,AL206)</f>
        <v>ES1300307170400000135271</v>
      </c>
      <c r="AZ206" s="159">
        <v>43228</v>
      </c>
    </row>
    <row r="207" spans="1:52" ht="15" customHeight="1" x14ac:dyDescent="0.25">
      <c r="A207" s="72">
        <v>205</v>
      </c>
      <c r="B207" s="80"/>
      <c r="C207" s="157" t="s">
        <v>1717</v>
      </c>
      <c r="D207" s="5" t="s">
        <v>738</v>
      </c>
      <c r="E207" s="5" t="s">
        <v>729</v>
      </c>
      <c r="F207" s="5"/>
      <c r="G207" s="5" t="s">
        <v>811</v>
      </c>
      <c r="H207" s="2"/>
      <c r="I207" s="165"/>
      <c r="J207" s="5" t="s">
        <v>581</v>
      </c>
      <c r="K207" s="5" t="s">
        <v>1229</v>
      </c>
      <c r="L207" s="5" t="s">
        <v>1231</v>
      </c>
      <c r="M207" s="5" t="str">
        <f>CONCATENATE(K207," ",L207)</f>
        <v>ASCAZ HOSPITALARIA</v>
      </c>
      <c r="N207" s="5"/>
      <c r="O207" s="5"/>
      <c r="P207" s="5" t="s">
        <v>43</v>
      </c>
      <c r="Q207" s="87" t="s">
        <v>267</v>
      </c>
      <c r="R207" s="87" t="s">
        <v>263</v>
      </c>
      <c r="S207" s="87" t="s">
        <v>1149</v>
      </c>
      <c r="T207" s="5" t="s">
        <v>2</v>
      </c>
      <c r="U207" s="5" t="s">
        <v>266</v>
      </c>
      <c r="V207" s="5" t="s">
        <v>646</v>
      </c>
      <c r="W207" s="2">
        <v>26897</v>
      </c>
      <c r="X207" s="7">
        <f ca="1">YEAR($X$1)-YEAR(W207)</f>
        <v>45</v>
      </c>
      <c r="Y207" s="5"/>
      <c r="Z207" s="87"/>
      <c r="AA207" s="5"/>
      <c r="AB207" s="5"/>
      <c r="AC207" s="5"/>
      <c r="AD207" s="5"/>
      <c r="AE207" s="5"/>
      <c r="AF207" s="5">
        <v>667305891</v>
      </c>
      <c r="AG207" s="88" t="s">
        <v>1021</v>
      </c>
      <c r="AH207" s="105"/>
      <c r="AI207" s="105"/>
      <c r="AJ207" s="105"/>
      <c r="AK207" s="105"/>
      <c r="AL207" s="105"/>
      <c r="AM207" s="84"/>
      <c r="AN207" s="8"/>
      <c r="AO207" s="89">
        <v>10</v>
      </c>
      <c r="AR207" s="9"/>
      <c r="AS207" s="9"/>
      <c r="AT207" s="162" t="str">
        <f t="shared" si="5"/>
        <v>-</v>
      </c>
      <c r="AU207" s="9"/>
      <c r="AV207" s="116"/>
    </row>
    <row r="208" spans="1:52" ht="15" customHeight="1" x14ac:dyDescent="0.25">
      <c r="A208" s="72">
        <v>206</v>
      </c>
      <c r="B208" s="80"/>
      <c r="C208" s="157" t="s">
        <v>1717</v>
      </c>
      <c r="D208" s="5" t="s">
        <v>740</v>
      </c>
      <c r="E208" s="5" t="s">
        <v>729</v>
      </c>
      <c r="F208" s="5"/>
      <c r="G208" s="5" t="s">
        <v>811</v>
      </c>
      <c r="H208" s="2"/>
      <c r="I208" s="165"/>
      <c r="J208" s="5" t="s">
        <v>581</v>
      </c>
      <c r="K208" s="5" t="s">
        <v>1229</v>
      </c>
      <c r="L208" s="5" t="s">
        <v>1231</v>
      </c>
      <c r="M208" s="5" t="str">
        <f>CONCATENATE(K208," ",L208)</f>
        <v>ASCAZ HOSPITALARIA</v>
      </c>
      <c r="N208" s="5"/>
      <c r="O208" s="5"/>
      <c r="P208" s="90" t="s">
        <v>815</v>
      </c>
      <c r="Q208" s="87" t="s">
        <v>265</v>
      </c>
      <c r="R208" s="87" t="s">
        <v>264</v>
      </c>
      <c r="S208" s="87" t="s">
        <v>263</v>
      </c>
      <c r="T208" s="5" t="s">
        <v>2</v>
      </c>
      <c r="U208" s="5" t="s">
        <v>262</v>
      </c>
      <c r="V208" s="5" t="s">
        <v>646</v>
      </c>
      <c r="W208" s="2">
        <v>37021</v>
      </c>
      <c r="X208" s="7">
        <f ca="1">YEAR($X$1)-YEAR(W208)</f>
        <v>17</v>
      </c>
      <c r="Y208" s="5"/>
      <c r="Z208" s="87"/>
      <c r="AA208" s="5"/>
      <c r="AB208" s="5"/>
      <c r="AC208" s="5"/>
      <c r="AD208" s="5"/>
      <c r="AE208" s="5"/>
      <c r="AF208" s="5"/>
      <c r="AG208" s="88"/>
      <c r="AH208" s="105"/>
      <c r="AI208" s="105"/>
      <c r="AJ208" s="105"/>
      <c r="AK208" s="105"/>
      <c r="AL208" s="105"/>
      <c r="AM208" s="84"/>
      <c r="AN208" s="8"/>
      <c r="AO208" s="89">
        <v>10</v>
      </c>
      <c r="AR208" s="9"/>
      <c r="AS208" s="9"/>
      <c r="AT208" s="162" t="str">
        <f t="shared" si="5"/>
        <v>-</v>
      </c>
      <c r="AU208" s="9"/>
      <c r="AV208" s="116"/>
    </row>
    <row r="209" spans="1:52" ht="15" customHeight="1" x14ac:dyDescent="0.25">
      <c r="A209" s="72">
        <v>207</v>
      </c>
      <c r="B209" s="80"/>
      <c r="C209" s="156" t="s">
        <v>1633</v>
      </c>
      <c r="D209" s="81"/>
      <c r="E209" s="6"/>
      <c r="F209" s="6"/>
      <c r="G209" s="6"/>
      <c r="H209" s="4"/>
      <c r="I209" s="166"/>
      <c r="J209" s="6"/>
      <c r="K209" s="6"/>
      <c r="L209" s="6"/>
      <c r="M209" s="91"/>
      <c r="N209" s="91"/>
      <c r="O209" s="91"/>
      <c r="P209" s="6"/>
      <c r="Q209" s="92"/>
      <c r="R209" s="92"/>
      <c r="S209" s="92"/>
      <c r="T209" s="6"/>
      <c r="U209" s="6"/>
      <c r="V209" s="6"/>
      <c r="W209" s="4"/>
      <c r="X209" s="6"/>
      <c r="Y209" s="6"/>
      <c r="Z209" s="92"/>
      <c r="AA209" s="6"/>
      <c r="AB209" s="6"/>
      <c r="AC209" s="6"/>
      <c r="AD209" s="6"/>
      <c r="AE209" s="6"/>
      <c r="AF209" s="6"/>
      <c r="AG209" s="93"/>
      <c r="AH209" s="110"/>
      <c r="AI209" s="110"/>
      <c r="AJ209" s="110"/>
      <c r="AK209" s="110"/>
      <c r="AL209" s="110"/>
      <c r="AM209" s="84"/>
      <c r="AN209" s="85">
        <v>30</v>
      </c>
      <c r="AO209" s="85"/>
      <c r="AP209" s="117" t="str">
        <f>C209</f>
        <v>0072</v>
      </c>
      <c r="AR209" s="9"/>
      <c r="AS209" s="9"/>
      <c r="AT209" s="162" t="str">
        <f t="shared" si="5"/>
        <v>-</v>
      </c>
      <c r="AU209" s="9"/>
      <c r="AV209" s="116"/>
    </row>
    <row r="210" spans="1:52" ht="15" customHeight="1" x14ac:dyDescent="0.25">
      <c r="A210" s="72">
        <v>208</v>
      </c>
      <c r="B210" s="80"/>
      <c r="C210" s="157" t="s">
        <v>1717</v>
      </c>
      <c r="D210" s="5" t="s">
        <v>741</v>
      </c>
      <c r="E210" s="5" t="s">
        <v>729</v>
      </c>
      <c r="F210" s="5" t="s">
        <v>733</v>
      </c>
      <c r="G210" s="5" t="s">
        <v>811</v>
      </c>
      <c r="H210" s="2">
        <v>42257</v>
      </c>
      <c r="I210" s="165">
        <v>43117</v>
      </c>
      <c r="J210" s="5" t="s">
        <v>581</v>
      </c>
      <c r="K210" s="5" t="s">
        <v>1229</v>
      </c>
      <c r="L210" s="5" t="s">
        <v>1231</v>
      </c>
      <c r="M210" s="5" t="str">
        <f>CONCATENATE(K210," ",L210)</f>
        <v>ASCAZ HOSPITALARIA</v>
      </c>
      <c r="N210" s="5"/>
      <c r="O210" s="5"/>
      <c r="P210" s="90" t="s">
        <v>154</v>
      </c>
      <c r="Q210" s="87" t="s">
        <v>1022</v>
      </c>
      <c r="R210" s="87" t="s">
        <v>987</v>
      </c>
      <c r="S210" s="87" t="s">
        <v>297</v>
      </c>
      <c r="T210" s="5" t="s">
        <v>2</v>
      </c>
      <c r="U210" s="5" t="s">
        <v>1023</v>
      </c>
      <c r="V210" s="5" t="s">
        <v>646</v>
      </c>
      <c r="W210" s="2">
        <v>32098</v>
      </c>
      <c r="X210" s="7">
        <f ca="1">YEAR($X$1)-YEAR(W210)</f>
        <v>31</v>
      </c>
      <c r="Y210" s="5" t="s">
        <v>1</v>
      </c>
      <c r="Z210" s="87" t="s">
        <v>1024</v>
      </c>
      <c r="AA210" s="5">
        <v>3</v>
      </c>
      <c r="AB210" s="5" t="s">
        <v>1025</v>
      </c>
      <c r="AC210" s="5" t="s">
        <v>0</v>
      </c>
      <c r="AD210" s="5" t="s">
        <v>31</v>
      </c>
      <c r="AE210" s="5">
        <v>33210</v>
      </c>
      <c r="AF210" s="5">
        <v>638191778</v>
      </c>
      <c r="AG210" s="88" t="s">
        <v>1026</v>
      </c>
      <c r="AH210" s="105" t="s">
        <v>261</v>
      </c>
      <c r="AI210" s="105">
        <v>1465</v>
      </c>
      <c r="AJ210" s="105" t="s">
        <v>260</v>
      </c>
      <c r="AK210" s="105">
        <v>82</v>
      </c>
      <c r="AL210" s="105">
        <v>1800086718</v>
      </c>
      <c r="AM210" s="84"/>
      <c r="AN210" s="8"/>
      <c r="AO210" s="89">
        <v>10</v>
      </c>
      <c r="AQ210" s="116" t="str">
        <f>CONCATENATE("NS",C209,"AZ")</f>
        <v>NS0072AZ</v>
      </c>
      <c r="AR210" s="9" t="str">
        <f>CONCATENATE(Q210," ",R210," ",S210)</f>
        <v>NAYARA MALNERO SUÁREZ</v>
      </c>
      <c r="AS210" s="9"/>
      <c r="AT210" s="162" t="str">
        <f t="shared" si="5"/>
        <v>NS0072AZ-NAYARA MALNERO SUÁREZ</v>
      </c>
      <c r="AU210" s="9" t="str">
        <f>U210</f>
        <v>53647653S</v>
      </c>
      <c r="AV210" s="116"/>
      <c r="AW210" s="9" t="str">
        <f>CONCATENATE(AH210,AI210,AJ210,AK210,AL210)</f>
        <v>ES2314650330821800086718</v>
      </c>
      <c r="AZ210" s="159">
        <v>43117</v>
      </c>
    </row>
    <row r="211" spans="1:52" ht="15" customHeight="1" x14ac:dyDescent="0.25">
      <c r="A211" s="72">
        <v>209</v>
      </c>
      <c r="B211" s="80"/>
      <c r="C211" s="156" t="s">
        <v>1634</v>
      </c>
      <c r="D211" s="81"/>
      <c r="E211" s="6"/>
      <c r="F211" s="6"/>
      <c r="G211" s="6"/>
      <c r="H211" s="4"/>
      <c r="I211" s="166"/>
      <c r="J211" s="6"/>
      <c r="K211" s="6"/>
      <c r="L211" s="6"/>
      <c r="M211" s="91"/>
      <c r="N211" s="91"/>
      <c r="O211" s="91"/>
      <c r="P211" s="6"/>
      <c r="Q211" s="92"/>
      <c r="R211" s="92"/>
      <c r="S211" s="92"/>
      <c r="T211" s="6"/>
      <c r="U211" s="6"/>
      <c r="V211" s="6"/>
      <c r="W211" s="4"/>
      <c r="X211" s="6"/>
      <c r="Y211" s="6"/>
      <c r="Z211" s="92"/>
      <c r="AA211" s="6"/>
      <c r="AB211" s="6"/>
      <c r="AC211" s="6"/>
      <c r="AD211" s="6"/>
      <c r="AE211" s="6"/>
      <c r="AF211" s="6"/>
      <c r="AG211" s="93"/>
      <c r="AH211" s="110"/>
      <c r="AI211" s="110"/>
      <c r="AJ211" s="110"/>
      <c r="AK211" s="110"/>
      <c r="AL211" s="110"/>
      <c r="AM211" s="84"/>
      <c r="AN211" s="85">
        <v>0</v>
      </c>
      <c r="AO211" s="85"/>
      <c r="AP211" s="117" t="str">
        <f>C211</f>
        <v>0073</v>
      </c>
      <c r="AR211" s="9"/>
      <c r="AS211" s="9"/>
      <c r="AT211" s="162" t="str">
        <f t="shared" si="5"/>
        <v>-</v>
      </c>
      <c r="AU211" s="9"/>
      <c r="AV211" s="116"/>
    </row>
    <row r="212" spans="1:52" ht="15" customHeight="1" x14ac:dyDescent="0.25">
      <c r="A212" s="72">
        <v>210</v>
      </c>
      <c r="B212" s="80"/>
      <c r="C212" s="157" t="s">
        <v>1717</v>
      </c>
      <c r="D212" s="5" t="s">
        <v>742</v>
      </c>
      <c r="E212" s="5" t="s">
        <v>729</v>
      </c>
      <c r="F212" s="5" t="s">
        <v>731</v>
      </c>
      <c r="G212" s="5" t="s">
        <v>810</v>
      </c>
      <c r="H212" s="2"/>
      <c r="I212" s="165">
        <v>43132</v>
      </c>
      <c r="J212" s="5" t="s">
        <v>581</v>
      </c>
      <c r="K212" s="5" t="s">
        <v>1229</v>
      </c>
      <c r="L212" s="5" t="s">
        <v>1231</v>
      </c>
      <c r="M212" s="5" t="str">
        <f>CONCATENATE(K212," ",L212)</f>
        <v>ASCAZ HOSPITALARIA</v>
      </c>
      <c r="N212" s="5"/>
      <c r="O212" s="5"/>
      <c r="P212" s="90" t="s">
        <v>154</v>
      </c>
      <c r="Q212" s="87" t="s">
        <v>844</v>
      </c>
      <c r="R212" s="87" t="s">
        <v>9</v>
      </c>
      <c r="S212" s="87" t="s">
        <v>63</v>
      </c>
      <c r="T212" s="5" t="s">
        <v>2</v>
      </c>
      <c r="U212" s="5" t="s">
        <v>259</v>
      </c>
      <c r="V212" s="5" t="s">
        <v>665</v>
      </c>
      <c r="W212" s="2">
        <v>19234</v>
      </c>
      <c r="X212" s="7">
        <f ca="1">YEAR($X$1)-YEAR(W212)</f>
        <v>66</v>
      </c>
      <c r="Y212" s="5" t="s">
        <v>1</v>
      </c>
      <c r="Z212" s="87" t="s">
        <v>845</v>
      </c>
      <c r="AA212" s="5">
        <v>33</v>
      </c>
      <c r="AB212" s="5" t="s">
        <v>258</v>
      </c>
      <c r="AC212" s="5" t="s">
        <v>0</v>
      </c>
      <c r="AD212" s="5" t="s">
        <v>31</v>
      </c>
      <c r="AE212" s="5">
        <v>33207</v>
      </c>
      <c r="AF212" s="5">
        <v>985347839</v>
      </c>
      <c r="AG212" s="88" t="s">
        <v>1027</v>
      </c>
      <c r="AH212" s="105" t="s">
        <v>257</v>
      </c>
      <c r="AI212" s="105" t="s">
        <v>17</v>
      </c>
      <c r="AJ212" s="105">
        <v>1336</v>
      </c>
      <c r="AK212" s="105">
        <v>24</v>
      </c>
      <c r="AL212" s="105">
        <v>2590234046</v>
      </c>
      <c r="AM212" s="84"/>
      <c r="AN212" s="8"/>
      <c r="AO212" s="89">
        <v>10</v>
      </c>
      <c r="AQ212" s="116" t="str">
        <f>CONCATENATE("NS",C211,"AZ")</f>
        <v>NS0073AZ</v>
      </c>
      <c r="AR212" s="9" t="str">
        <f>CONCATENATE(Q212," ",R212," ",S212)</f>
        <v>JOSÉ CARLOS OTERO FERNÁNDEZ</v>
      </c>
      <c r="AS212" s="9"/>
      <c r="AT212" s="162" t="str">
        <f t="shared" si="5"/>
        <v>NS0073AZ-JOSÉ CARLOS OTERO FERNÁNDEZ</v>
      </c>
      <c r="AU212" s="9" t="str">
        <f>U212</f>
        <v>10545709W</v>
      </c>
      <c r="AV212" s="116"/>
      <c r="AW212" s="9" t="str">
        <f>CONCATENATE(AH212,AI212,AJ212,AK212,AL212)</f>
        <v>ES1800491336242590234046</v>
      </c>
      <c r="AZ212" s="159">
        <v>43132</v>
      </c>
    </row>
    <row r="213" spans="1:52" ht="15" customHeight="1" x14ac:dyDescent="0.25">
      <c r="A213" s="72">
        <v>211</v>
      </c>
      <c r="B213" s="80"/>
      <c r="C213" s="157" t="s">
        <v>1717</v>
      </c>
      <c r="D213" s="5" t="s">
        <v>743</v>
      </c>
      <c r="E213" s="5" t="s">
        <v>729</v>
      </c>
      <c r="F213" s="5" t="s">
        <v>731</v>
      </c>
      <c r="G213" s="5" t="s">
        <v>810</v>
      </c>
      <c r="H213" s="2"/>
      <c r="I213" s="165"/>
      <c r="J213" s="5" t="s">
        <v>581</v>
      </c>
      <c r="K213" s="5" t="s">
        <v>1229</v>
      </c>
      <c r="L213" s="5" t="s">
        <v>1231</v>
      </c>
      <c r="M213" s="5" t="str">
        <f>CONCATENATE(K213," ",L213)</f>
        <v>ASCAZ HOSPITALARIA</v>
      </c>
      <c r="N213" s="5"/>
      <c r="O213" s="5"/>
      <c r="P213" s="5" t="s">
        <v>43</v>
      </c>
      <c r="Q213" s="87" t="s">
        <v>1138</v>
      </c>
      <c r="R213" s="87" t="s">
        <v>63</v>
      </c>
      <c r="S213" s="87" t="s">
        <v>913</v>
      </c>
      <c r="T213" s="5" t="s">
        <v>2</v>
      </c>
      <c r="U213" s="5" t="s">
        <v>256</v>
      </c>
      <c r="V213" s="5" t="s">
        <v>646</v>
      </c>
      <c r="W213" s="2">
        <v>20708</v>
      </c>
      <c r="X213" s="7">
        <f ca="1">YEAR($X$1)-YEAR(W213)</f>
        <v>62</v>
      </c>
      <c r="Y213" s="5"/>
      <c r="Z213" s="87"/>
      <c r="AA213" s="5"/>
      <c r="AB213" s="5"/>
      <c r="AC213" s="5"/>
      <c r="AD213" s="5"/>
      <c r="AE213" s="5"/>
      <c r="AF213" s="5"/>
      <c r="AG213" s="88"/>
      <c r="AH213" s="105"/>
      <c r="AI213" s="105"/>
      <c r="AJ213" s="105"/>
      <c r="AK213" s="105"/>
      <c r="AL213" s="105"/>
      <c r="AM213" s="84"/>
      <c r="AN213" s="8"/>
      <c r="AO213" s="89">
        <v>10</v>
      </c>
      <c r="AR213" s="9"/>
      <c r="AS213" s="9"/>
      <c r="AT213" s="162" t="str">
        <f t="shared" si="5"/>
        <v>-</v>
      </c>
      <c r="AU213" s="9"/>
      <c r="AV213" s="116"/>
    </row>
    <row r="214" spans="1:52" ht="15" customHeight="1" x14ac:dyDescent="0.25">
      <c r="A214" s="72">
        <v>212</v>
      </c>
      <c r="B214" s="80"/>
      <c r="C214" s="157" t="s">
        <v>1717</v>
      </c>
      <c r="D214" s="5" t="s">
        <v>744</v>
      </c>
      <c r="E214" s="5" t="s">
        <v>729</v>
      </c>
      <c r="F214" s="5" t="s">
        <v>731</v>
      </c>
      <c r="G214" s="5" t="s">
        <v>810</v>
      </c>
      <c r="H214" s="2"/>
      <c r="I214" s="165"/>
      <c r="J214" s="5" t="s">
        <v>581</v>
      </c>
      <c r="K214" s="5" t="s">
        <v>1229</v>
      </c>
      <c r="L214" s="5" t="s">
        <v>1231</v>
      </c>
      <c r="M214" s="5" t="str">
        <f>CONCATENATE(K214," ",L214)</f>
        <v>ASCAZ HOSPITALARIA</v>
      </c>
      <c r="N214" s="5"/>
      <c r="O214" s="5"/>
      <c r="P214" s="90" t="s">
        <v>815</v>
      </c>
      <c r="Q214" s="87" t="s">
        <v>475</v>
      </c>
      <c r="R214" s="87" t="s">
        <v>9</v>
      </c>
      <c r="S214" s="87" t="s">
        <v>63</v>
      </c>
      <c r="T214" s="5" t="s">
        <v>2</v>
      </c>
      <c r="U214" s="5" t="s">
        <v>255</v>
      </c>
      <c r="V214" s="5" t="s">
        <v>665</v>
      </c>
      <c r="W214" s="2">
        <v>30724</v>
      </c>
      <c r="X214" s="7">
        <f ca="1">YEAR($X$1)-YEAR(W214)</f>
        <v>34</v>
      </c>
      <c r="Y214" s="5"/>
      <c r="Z214" s="87"/>
      <c r="AA214" s="5"/>
      <c r="AB214" s="5"/>
      <c r="AC214" s="5"/>
      <c r="AD214" s="5"/>
      <c r="AE214" s="5"/>
      <c r="AF214" s="5"/>
      <c r="AG214" s="88"/>
      <c r="AH214" s="105"/>
      <c r="AI214" s="105"/>
      <c r="AJ214" s="105"/>
      <c r="AK214" s="105"/>
      <c r="AL214" s="105"/>
      <c r="AM214" s="84"/>
      <c r="AN214" s="8"/>
      <c r="AO214" s="89">
        <v>10</v>
      </c>
      <c r="AR214" s="9"/>
      <c r="AS214" s="9"/>
      <c r="AT214" s="162" t="str">
        <f t="shared" si="5"/>
        <v>-</v>
      </c>
      <c r="AU214" s="9"/>
      <c r="AV214" s="116"/>
    </row>
    <row r="215" spans="1:52" ht="15" customHeight="1" x14ac:dyDescent="0.25">
      <c r="A215" s="72">
        <v>213</v>
      </c>
      <c r="B215" s="80"/>
      <c r="C215" s="156" t="s">
        <v>1635</v>
      </c>
      <c r="D215" s="81"/>
      <c r="E215" s="6"/>
      <c r="F215" s="6"/>
      <c r="G215" s="6"/>
      <c r="H215" s="4"/>
      <c r="I215" s="166"/>
      <c r="J215" s="6"/>
      <c r="K215" s="6"/>
      <c r="L215" s="6"/>
      <c r="M215" s="91"/>
      <c r="N215" s="91"/>
      <c r="O215" s="91"/>
      <c r="P215" s="6"/>
      <c r="Q215" s="92"/>
      <c r="R215" s="92"/>
      <c r="S215" s="92"/>
      <c r="T215" s="6"/>
      <c r="U215" s="6"/>
      <c r="V215" s="6"/>
      <c r="W215" s="4"/>
      <c r="X215" s="6"/>
      <c r="Y215" s="6"/>
      <c r="Z215" s="92"/>
      <c r="AA215" s="6"/>
      <c r="AB215" s="6"/>
      <c r="AC215" s="6"/>
      <c r="AD215" s="6"/>
      <c r="AE215" s="6"/>
      <c r="AF215" s="6"/>
      <c r="AG215" s="93"/>
      <c r="AH215" s="110"/>
      <c r="AI215" s="110"/>
      <c r="AJ215" s="110"/>
      <c r="AK215" s="110"/>
      <c r="AL215" s="110"/>
      <c r="AM215" s="84"/>
      <c r="AN215" s="85">
        <v>0</v>
      </c>
      <c r="AO215" s="85"/>
      <c r="AP215" s="117" t="str">
        <f>C215</f>
        <v>0074</v>
      </c>
      <c r="AR215" s="9"/>
      <c r="AS215" s="9"/>
      <c r="AT215" s="162" t="str">
        <f t="shared" si="5"/>
        <v>-</v>
      </c>
      <c r="AU215" s="9"/>
      <c r="AV215" s="116"/>
    </row>
    <row r="216" spans="1:52" ht="15" customHeight="1" x14ac:dyDescent="0.25">
      <c r="A216" s="72">
        <v>214</v>
      </c>
      <c r="B216" s="80"/>
      <c r="C216" s="157" t="s">
        <v>1717</v>
      </c>
      <c r="D216" s="5" t="s">
        <v>745</v>
      </c>
      <c r="E216" s="5" t="s">
        <v>729</v>
      </c>
      <c r="F216" s="5" t="s">
        <v>1192</v>
      </c>
      <c r="G216" s="5" t="s">
        <v>810</v>
      </c>
      <c r="H216" s="2"/>
      <c r="I216" s="165">
        <v>43106</v>
      </c>
      <c r="J216" s="5" t="s">
        <v>581</v>
      </c>
      <c r="K216" s="5" t="s">
        <v>1229</v>
      </c>
      <c r="L216" s="5" t="s">
        <v>1231</v>
      </c>
      <c r="M216" s="5" t="str">
        <f>CONCATENATE(K216," ",L216)</f>
        <v>ASCAZ HOSPITALARIA</v>
      </c>
      <c r="N216" s="5"/>
      <c r="O216" s="5"/>
      <c r="P216" s="90" t="s">
        <v>3</v>
      </c>
      <c r="Q216" s="87" t="s">
        <v>249</v>
      </c>
      <c r="R216" s="87" t="s">
        <v>254</v>
      </c>
      <c r="S216" s="87" t="s">
        <v>228</v>
      </c>
      <c r="T216" s="5" t="s">
        <v>2</v>
      </c>
      <c r="U216" s="5" t="s">
        <v>253</v>
      </c>
      <c r="V216" s="5" t="s">
        <v>665</v>
      </c>
      <c r="W216" s="2">
        <v>29044</v>
      </c>
      <c r="X216" s="7">
        <f ca="1">YEAR($X$1)-YEAR(W216)</f>
        <v>39</v>
      </c>
      <c r="Y216" s="5" t="s">
        <v>1</v>
      </c>
      <c r="Z216" s="87" t="s">
        <v>252</v>
      </c>
      <c r="AA216" s="5">
        <v>16</v>
      </c>
      <c r="AB216" s="5" t="s">
        <v>251</v>
      </c>
      <c r="AC216" s="5" t="s">
        <v>0</v>
      </c>
      <c r="AD216" s="5" t="s">
        <v>31</v>
      </c>
      <c r="AE216" s="5">
        <v>33203</v>
      </c>
      <c r="AF216" s="5">
        <v>685964904</v>
      </c>
      <c r="AG216" s="88" t="s">
        <v>1028</v>
      </c>
      <c r="AH216" s="143" t="s">
        <v>97</v>
      </c>
      <c r="AI216" s="105" t="s">
        <v>28</v>
      </c>
      <c r="AJ216" s="105">
        <v>2805</v>
      </c>
      <c r="AK216" s="105">
        <v>46</v>
      </c>
      <c r="AL216" s="105" t="s">
        <v>250</v>
      </c>
      <c r="AM216" s="84"/>
      <c r="AN216" s="8"/>
      <c r="AO216" s="89">
        <v>10</v>
      </c>
      <c r="AQ216" s="116" t="str">
        <f>CONCATENATE("NS",C215,"AZ")</f>
        <v>NS0074AZ</v>
      </c>
      <c r="AR216" s="9" t="str">
        <f>CONCATENATE(Q216," ",R216," ",S216)</f>
        <v>CARLOS ANDRES SIERRA</v>
      </c>
      <c r="AS216" s="9"/>
      <c r="AT216" s="162" t="str">
        <f t="shared" si="5"/>
        <v>NS0074AZ-CARLOS ANDRES SIERRA</v>
      </c>
      <c r="AU216" s="9" t="str">
        <f>U216</f>
        <v>53536737M</v>
      </c>
      <c r="AV216" s="116"/>
      <c r="AW216" s="9" t="str">
        <f>CONCATENATE(AH216,AI216,AJ216,AK216,AL216)</f>
        <v>ES7801822805460201559627</v>
      </c>
      <c r="AZ216" s="159">
        <v>43106</v>
      </c>
    </row>
    <row r="217" spans="1:52" ht="15" customHeight="1" x14ac:dyDescent="0.25">
      <c r="A217" s="72">
        <v>215</v>
      </c>
      <c r="B217" s="80"/>
      <c r="C217" s="157" t="s">
        <v>1717</v>
      </c>
      <c r="D217" s="5" t="s">
        <v>746</v>
      </c>
      <c r="E217" s="5" t="s">
        <v>729</v>
      </c>
      <c r="F217" s="5" t="s">
        <v>1192</v>
      </c>
      <c r="G217" s="5" t="s">
        <v>810</v>
      </c>
      <c r="H217" s="2"/>
      <c r="I217" s="165"/>
      <c r="J217" s="5" t="s">
        <v>581</v>
      </c>
      <c r="K217" s="5" t="s">
        <v>1229</v>
      </c>
      <c r="L217" s="5" t="s">
        <v>1231</v>
      </c>
      <c r="M217" s="5" t="str">
        <f>CONCATENATE(K217," ",L217)</f>
        <v>ASCAZ HOSPITALARIA</v>
      </c>
      <c r="N217" s="5"/>
      <c r="O217" s="5"/>
      <c r="P217" s="90" t="s">
        <v>818</v>
      </c>
      <c r="Q217" s="87" t="s">
        <v>249</v>
      </c>
      <c r="R217" s="87" t="s">
        <v>248</v>
      </c>
      <c r="S217" s="87" t="s">
        <v>63</v>
      </c>
      <c r="T217" s="5" t="s">
        <v>2</v>
      </c>
      <c r="U217" s="5" t="s">
        <v>247</v>
      </c>
      <c r="V217" s="5" t="s">
        <v>665</v>
      </c>
      <c r="W217" s="2">
        <v>16060</v>
      </c>
      <c r="X217" s="7">
        <f ca="1">YEAR($X$1)-YEAR(W217)</f>
        <v>75</v>
      </c>
      <c r="Y217" s="5"/>
      <c r="Z217" s="87"/>
      <c r="AA217" s="5"/>
      <c r="AB217" s="5"/>
      <c r="AC217" s="5"/>
      <c r="AD217" s="5"/>
      <c r="AE217" s="5"/>
      <c r="AF217" s="5"/>
      <c r="AG217" s="88"/>
      <c r="AH217" s="105"/>
      <c r="AI217" s="105"/>
      <c r="AJ217" s="105"/>
      <c r="AK217" s="105"/>
      <c r="AL217" s="105"/>
      <c r="AM217" s="84"/>
      <c r="AN217" s="8"/>
      <c r="AO217" s="89">
        <v>10</v>
      </c>
      <c r="AR217" s="9"/>
      <c r="AS217" s="9"/>
      <c r="AT217" s="162" t="str">
        <f t="shared" si="5"/>
        <v>-</v>
      </c>
      <c r="AU217" s="9"/>
      <c r="AV217" s="116"/>
    </row>
    <row r="218" spans="1:52" ht="15" customHeight="1" x14ac:dyDescent="0.25">
      <c r="A218" s="72">
        <v>216</v>
      </c>
      <c r="B218" s="80"/>
      <c r="C218" s="157" t="s">
        <v>1717</v>
      </c>
      <c r="D218" s="5" t="s">
        <v>747</v>
      </c>
      <c r="E218" s="5" t="s">
        <v>729</v>
      </c>
      <c r="F218" s="5" t="s">
        <v>1192</v>
      </c>
      <c r="G218" s="5" t="s">
        <v>810</v>
      </c>
      <c r="H218" s="2"/>
      <c r="I218" s="165"/>
      <c r="J218" s="5" t="s">
        <v>581</v>
      </c>
      <c r="K218" s="5" t="s">
        <v>1229</v>
      </c>
      <c r="L218" s="5" t="s">
        <v>1231</v>
      </c>
      <c r="M218" s="5" t="str">
        <f>CONCATENATE(K218," ",L218)</f>
        <v>ASCAZ HOSPITALARIA</v>
      </c>
      <c r="N218" s="5"/>
      <c r="O218" s="5"/>
      <c r="P218" s="90" t="s">
        <v>818</v>
      </c>
      <c r="Q218" s="87" t="s">
        <v>1141</v>
      </c>
      <c r="R218" s="87" t="s">
        <v>228</v>
      </c>
      <c r="S218" s="87" t="s">
        <v>246</v>
      </c>
      <c r="T218" s="5" t="s">
        <v>2</v>
      </c>
      <c r="U218" s="5" t="s">
        <v>245</v>
      </c>
      <c r="V218" s="5" t="s">
        <v>646</v>
      </c>
      <c r="W218" s="2">
        <v>18881</v>
      </c>
      <c r="X218" s="7">
        <f ca="1">YEAR($X$1)-YEAR(W218)</f>
        <v>67</v>
      </c>
      <c r="Y218" s="5"/>
      <c r="Z218" s="87"/>
      <c r="AA218" s="5"/>
      <c r="AB218" s="5"/>
      <c r="AC218" s="5"/>
      <c r="AD218" s="5"/>
      <c r="AE218" s="5"/>
      <c r="AF218" s="5"/>
      <c r="AG218" s="88"/>
      <c r="AH218" s="105"/>
      <c r="AI218" s="105"/>
      <c r="AJ218" s="105"/>
      <c r="AK218" s="105"/>
      <c r="AL218" s="105"/>
      <c r="AM218" s="84"/>
      <c r="AN218" s="8"/>
      <c r="AO218" s="89">
        <v>10</v>
      </c>
      <c r="AR218" s="9"/>
      <c r="AS218" s="9"/>
      <c r="AT218" s="162" t="str">
        <f t="shared" si="5"/>
        <v>-</v>
      </c>
      <c r="AU218" s="9"/>
      <c r="AV218" s="116"/>
    </row>
    <row r="219" spans="1:52" ht="15" customHeight="1" x14ac:dyDescent="0.25">
      <c r="A219" s="72">
        <v>217</v>
      </c>
      <c r="B219" s="80"/>
      <c r="C219" s="156" t="s">
        <v>386</v>
      </c>
      <c r="D219" s="81"/>
      <c r="E219" s="6"/>
      <c r="F219" s="6"/>
      <c r="G219" s="6"/>
      <c r="H219" s="4"/>
      <c r="I219" s="166"/>
      <c r="J219" s="6"/>
      <c r="K219" s="6"/>
      <c r="L219" s="6"/>
      <c r="M219" s="91"/>
      <c r="N219" s="91"/>
      <c r="O219" s="91"/>
      <c r="P219" s="6"/>
      <c r="Q219" s="92"/>
      <c r="R219" s="92"/>
      <c r="S219" s="92"/>
      <c r="T219" s="6"/>
      <c r="U219" s="6"/>
      <c r="V219" s="6"/>
      <c r="W219" s="4"/>
      <c r="X219" s="6"/>
      <c r="Y219" s="6"/>
      <c r="Z219" s="92"/>
      <c r="AA219" s="6"/>
      <c r="AB219" s="6"/>
      <c r="AC219" s="6"/>
      <c r="AD219" s="6"/>
      <c r="AE219" s="6"/>
      <c r="AF219" s="6"/>
      <c r="AG219" s="93"/>
      <c r="AH219" s="110"/>
      <c r="AI219" s="110"/>
      <c r="AJ219" s="110"/>
      <c r="AK219" s="110"/>
      <c r="AL219" s="110"/>
      <c r="AM219" s="84"/>
      <c r="AN219" s="85">
        <v>30</v>
      </c>
      <c r="AO219" s="85"/>
      <c r="AP219" s="117" t="str">
        <f>C219</f>
        <v>0075</v>
      </c>
      <c r="AR219" s="9"/>
      <c r="AS219" s="9"/>
      <c r="AT219" s="162" t="str">
        <f t="shared" si="5"/>
        <v>-</v>
      </c>
      <c r="AU219" s="9"/>
      <c r="AV219" s="116"/>
    </row>
    <row r="220" spans="1:52" ht="15" customHeight="1" x14ac:dyDescent="0.25">
      <c r="A220" s="72">
        <v>218</v>
      </c>
      <c r="B220" s="80"/>
      <c r="C220" s="157" t="s">
        <v>1717</v>
      </c>
      <c r="D220" s="5" t="s">
        <v>748</v>
      </c>
      <c r="E220" s="5" t="s">
        <v>729</v>
      </c>
      <c r="F220" s="5"/>
      <c r="G220" s="5" t="s">
        <v>811</v>
      </c>
      <c r="H220" s="2"/>
      <c r="I220" s="165">
        <v>43110</v>
      </c>
      <c r="J220" s="5" t="s">
        <v>581</v>
      </c>
      <c r="K220" s="5" t="s">
        <v>1229</v>
      </c>
      <c r="L220" s="5" t="s">
        <v>1231</v>
      </c>
      <c r="M220" s="5" t="str">
        <f>CONCATENATE(K220," ",L220)</f>
        <v>ASCAZ HOSPITALARIA</v>
      </c>
      <c r="N220" s="5"/>
      <c r="O220" s="5"/>
      <c r="P220" s="90" t="s">
        <v>154</v>
      </c>
      <c r="Q220" s="87" t="s">
        <v>229</v>
      </c>
      <c r="R220" s="87" t="s">
        <v>233</v>
      </c>
      <c r="S220" s="87" t="s">
        <v>1029</v>
      </c>
      <c r="T220" s="5" t="s">
        <v>2</v>
      </c>
      <c r="U220" s="5" t="s">
        <v>1030</v>
      </c>
      <c r="V220" s="5" t="s">
        <v>665</v>
      </c>
      <c r="W220" s="2">
        <v>29235</v>
      </c>
      <c r="X220" s="7">
        <f ca="1">YEAR($X$1)-YEAR(W220)</f>
        <v>38</v>
      </c>
      <c r="Y220" s="5" t="s">
        <v>1</v>
      </c>
      <c r="Z220" s="87" t="s">
        <v>1031</v>
      </c>
      <c r="AA220" s="5">
        <v>6</v>
      </c>
      <c r="AB220" s="5" t="s">
        <v>244</v>
      </c>
      <c r="AC220" s="5" t="s">
        <v>0</v>
      </c>
      <c r="AD220" s="5" t="s">
        <v>7</v>
      </c>
      <c r="AE220" s="5">
        <v>33011</v>
      </c>
      <c r="AF220" s="5">
        <v>615218434</v>
      </c>
      <c r="AG220" s="88" t="s">
        <v>1032</v>
      </c>
      <c r="AH220" s="105" t="s">
        <v>315</v>
      </c>
      <c r="AI220" s="105">
        <v>2100</v>
      </c>
      <c r="AJ220" s="105">
        <v>5640</v>
      </c>
      <c r="AK220" s="105">
        <v>60</v>
      </c>
      <c r="AL220" s="105" t="s">
        <v>243</v>
      </c>
      <c r="AM220" s="84"/>
      <c r="AN220" s="8"/>
      <c r="AO220" s="89">
        <v>10</v>
      </c>
      <c r="AQ220" s="116" t="str">
        <f>CONCATENATE("NS",C219,"AZ")</f>
        <v>NS0075AZ</v>
      </c>
      <c r="AR220" s="9" t="str">
        <f>CONCATENATE(Q220," ",R220," ",S220)</f>
        <v>JORGE MARCOS VILLAR</v>
      </c>
      <c r="AS220" s="9"/>
      <c r="AT220" s="162" t="str">
        <f t="shared" si="5"/>
        <v>NS0075AZ-JORGE MARCOS VILLAR</v>
      </c>
      <c r="AU220" s="9" t="str">
        <f>U220</f>
        <v>71646736B</v>
      </c>
      <c r="AV220" s="116"/>
      <c r="AW220" s="9" t="str">
        <f>CONCATENATE(AH220,AI220,AJ220,AK220,AL220)</f>
        <v>ES3321005640600100137009</v>
      </c>
      <c r="AZ220" s="159">
        <v>43110</v>
      </c>
    </row>
    <row r="221" spans="1:52" ht="15" customHeight="1" x14ac:dyDescent="0.25">
      <c r="A221" s="72">
        <v>219</v>
      </c>
      <c r="B221" s="80"/>
      <c r="C221" s="156" t="s">
        <v>5</v>
      </c>
      <c r="D221" s="81"/>
      <c r="E221" s="6"/>
      <c r="F221" s="6"/>
      <c r="G221" s="6"/>
      <c r="H221" s="4"/>
      <c r="I221" s="166"/>
      <c r="J221" s="6"/>
      <c r="K221" s="6"/>
      <c r="L221" s="6"/>
      <c r="M221" s="91"/>
      <c r="N221" s="91"/>
      <c r="O221" s="91"/>
      <c r="P221" s="6"/>
      <c r="Q221" s="92"/>
      <c r="R221" s="92"/>
      <c r="S221" s="92"/>
      <c r="T221" s="6"/>
      <c r="U221" s="6"/>
      <c r="V221" s="6"/>
      <c r="W221" s="4"/>
      <c r="X221" s="6"/>
      <c r="Y221" s="6"/>
      <c r="Z221" s="92"/>
      <c r="AA221" s="6"/>
      <c r="AB221" s="6"/>
      <c r="AC221" s="6"/>
      <c r="AD221" s="6"/>
      <c r="AE221" s="6"/>
      <c r="AF221" s="6"/>
      <c r="AG221" s="93"/>
      <c r="AH221" s="110"/>
      <c r="AI221" s="110"/>
      <c r="AJ221" s="110"/>
      <c r="AK221" s="110"/>
      <c r="AL221" s="110"/>
      <c r="AM221" s="84"/>
      <c r="AN221" s="85">
        <v>30</v>
      </c>
      <c r="AO221" s="85"/>
      <c r="AP221" s="117" t="str">
        <f>C221</f>
        <v>0076</v>
      </c>
      <c r="AR221" s="9"/>
      <c r="AS221" s="9"/>
      <c r="AT221" s="162" t="str">
        <f t="shared" si="5"/>
        <v>-</v>
      </c>
      <c r="AU221" s="9"/>
      <c r="AV221" s="116"/>
    </row>
    <row r="222" spans="1:52" ht="15" customHeight="1" x14ac:dyDescent="0.25">
      <c r="A222" s="72">
        <v>220</v>
      </c>
      <c r="B222" s="80"/>
      <c r="C222" s="157" t="s">
        <v>1717</v>
      </c>
      <c r="D222" s="5" t="s">
        <v>749</v>
      </c>
      <c r="E222" s="5" t="s">
        <v>729</v>
      </c>
      <c r="F222" s="5"/>
      <c r="G222" s="5" t="s">
        <v>811</v>
      </c>
      <c r="H222" s="2"/>
      <c r="I222" s="165">
        <v>43102</v>
      </c>
      <c r="J222" s="5" t="s">
        <v>581</v>
      </c>
      <c r="K222" s="5" t="s">
        <v>1229</v>
      </c>
      <c r="L222" s="5" t="s">
        <v>1231</v>
      </c>
      <c r="M222" s="5" t="str">
        <f>CONCATENATE(K222," ",L222)</f>
        <v>ASCAZ HOSPITALARIA</v>
      </c>
      <c r="N222" s="5"/>
      <c r="O222" s="5"/>
      <c r="P222" s="90" t="s">
        <v>154</v>
      </c>
      <c r="Q222" s="87" t="s">
        <v>95</v>
      </c>
      <c r="R222" s="87" t="s">
        <v>233</v>
      </c>
      <c r="S222" s="87" t="s">
        <v>63</v>
      </c>
      <c r="T222" s="5" t="s">
        <v>2</v>
      </c>
      <c r="U222" s="5" t="s">
        <v>242</v>
      </c>
      <c r="V222" s="5" t="s">
        <v>646</v>
      </c>
      <c r="W222" s="2">
        <v>27934</v>
      </c>
      <c r="X222" s="7">
        <f ca="1">YEAR($X$1)-YEAR(W222)</f>
        <v>42</v>
      </c>
      <c r="Y222" s="5" t="s">
        <v>241</v>
      </c>
      <c r="Z222" s="87" t="s">
        <v>240</v>
      </c>
      <c r="AA222" s="5">
        <v>52</v>
      </c>
      <c r="AB222" s="5" t="s">
        <v>239</v>
      </c>
      <c r="AC222" s="5" t="s">
        <v>0</v>
      </c>
      <c r="AD222" s="5" t="s">
        <v>7</v>
      </c>
      <c r="AE222" s="5">
        <v>33012</v>
      </c>
      <c r="AF222" s="5">
        <v>691687936</v>
      </c>
      <c r="AG222" s="88" t="s">
        <v>238</v>
      </c>
      <c r="AH222" s="105" t="s">
        <v>237</v>
      </c>
      <c r="AI222" s="105">
        <v>2048</v>
      </c>
      <c r="AJ222" s="105" t="s">
        <v>236</v>
      </c>
      <c r="AK222" s="105">
        <v>30</v>
      </c>
      <c r="AL222" s="105">
        <v>3000251808</v>
      </c>
      <c r="AM222" s="84"/>
      <c r="AN222" s="8"/>
      <c r="AO222" s="89">
        <v>10</v>
      </c>
      <c r="AQ222" s="116" t="str">
        <f>CONCATENATE("NS",C221,"AZ")</f>
        <v>NS0076AZ</v>
      </c>
      <c r="AR222" s="9" t="str">
        <f>CONCATENATE(Q222," ",R222," ",S222)</f>
        <v>MARTA MARCOS FERNÁNDEZ</v>
      </c>
      <c r="AS222" s="9"/>
      <c r="AT222" s="162" t="str">
        <f t="shared" si="5"/>
        <v>NS0076AZ-MARTA MARCOS FERNÁNDEZ</v>
      </c>
      <c r="AU222" s="9" t="str">
        <f>U222</f>
        <v>09429950L</v>
      </c>
      <c r="AV222" s="116"/>
      <c r="AW222" s="9" t="str">
        <f>CONCATENATE(AH222,AI222,AJ222,AK222,AL222)</f>
        <v>ES7420480051303000251808</v>
      </c>
      <c r="AZ222" s="159">
        <v>43102</v>
      </c>
    </row>
    <row r="223" spans="1:52" ht="15" customHeight="1" x14ac:dyDescent="0.25">
      <c r="A223" s="72">
        <v>221</v>
      </c>
      <c r="B223" s="80"/>
      <c r="C223" s="157" t="s">
        <v>1717</v>
      </c>
      <c r="D223" s="5" t="s">
        <v>750</v>
      </c>
      <c r="E223" s="5" t="s">
        <v>729</v>
      </c>
      <c r="F223" s="5"/>
      <c r="G223" s="5" t="s">
        <v>811</v>
      </c>
      <c r="H223" s="2"/>
      <c r="I223" s="165"/>
      <c r="J223" s="5" t="s">
        <v>581</v>
      </c>
      <c r="K223" s="5" t="s">
        <v>1229</v>
      </c>
      <c r="L223" s="5" t="s">
        <v>1231</v>
      </c>
      <c r="M223" s="5" t="str">
        <f>CONCATENATE(K223," ",L223)</f>
        <v>ASCAZ HOSPITALARIA</v>
      </c>
      <c r="N223" s="5"/>
      <c r="O223" s="5"/>
      <c r="P223" s="5" t="s">
        <v>43</v>
      </c>
      <c r="Q223" s="87" t="s">
        <v>1127</v>
      </c>
      <c r="R223" s="87" t="s">
        <v>546</v>
      </c>
      <c r="S223" s="87" t="s">
        <v>235</v>
      </c>
      <c r="T223" s="5" t="s">
        <v>2</v>
      </c>
      <c r="U223" s="5" t="s">
        <v>234</v>
      </c>
      <c r="V223" s="5" t="s">
        <v>665</v>
      </c>
      <c r="W223" s="2">
        <v>27002</v>
      </c>
      <c r="X223" s="7">
        <f ca="1">YEAR($X$1)-YEAR(W223)</f>
        <v>45</v>
      </c>
      <c r="Y223" s="5"/>
      <c r="Z223" s="87"/>
      <c r="AA223" s="5"/>
      <c r="AB223" s="5"/>
      <c r="AC223" s="5"/>
      <c r="AD223" s="5"/>
      <c r="AE223" s="5"/>
      <c r="AF223" s="5"/>
      <c r="AG223" s="88"/>
      <c r="AH223" s="105"/>
      <c r="AI223" s="105"/>
      <c r="AJ223" s="105"/>
      <c r="AK223" s="105"/>
      <c r="AL223" s="105"/>
      <c r="AM223" s="84"/>
      <c r="AN223" s="8"/>
      <c r="AO223" s="89">
        <v>10</v>
      </c>
      <c r="AR223" s="9"/>
      <c r="AS223" s="9"/>
      <c r="AT223" s="162" t="str">
        <f t="shared" si="5"/>
        <v>-</v>
      </c>
      <c r="AU223" s="9"/>
      <c r="AV223" s="116"/>
    </row>
    <row r="224" spans="1:52" ht="15" customHeight="1" x14ac:dyDescent="0.25">
      <c r="A224" s="72">
        <v>222</v>
      </c>
      <c r="B224" s="80"/>
      <c r="C224" s="157" t="s">
        <v>1717</v>
      </c>
      <c r="D224" s="5" t="s">
        <v>751</v>
      </c>
      <c r="E224" s="5" t="s">
        <v>729</v>
      </c>
      <c r="F224" s="5"/>
      <c r="G224" s="5" t="s">
        <v>811</v>
      </c>
      <c r="H224" s="2"/>
      <c r="I224" s="165"/>
      <c r="J224" s="5" t="s">
        <v>581</v>
      </c>
      <c r="K224" s="5" t="s">
        <v>1229</v>
      </c>
      <c r="L224" s="5" t="s">
        <v>1231</v>
      </c>
      <c r="M224" s="5" t="str">
        <f>CONCATENATE(K224," ",L224)</f>
        <v>ASCAZ HOSPITALARIA</v>
      </c>
      <c r="N224" s="5"/>
      <c r="O224" s="5"/>
      <c r="P224" s="90" t="s">
        <v>815</v>
      </c>
      <c r="Q224" s="87" t="s">
        <v>397</v>
      </c>
      <c r="R224" s="87" t="s">
        <v>546</v>
      </c>
      <c r="S224" s="87" t="s">
        <v>233</v>
      </c>
      <c r="T224" s="5"/>
      <c r="U224" s="5"/>
      <c r="V224" s="5" t="s">
        <v>646</v>
      </c>
      <c r="W224" s="2">
        <v>42085</v>
      </c>
      <c r="X224" s="7">
        <f ca="1">YEAR($X$1)-YEAR(W224)</f>
        <v>3</v>
      </c>
      <c r="Y224" s="5"/>
      <c r="Z224" s="87"/>
      <c r="AA224" s="5"/>
      <c r="AB224" s="5"/>
      <c r="AC224" s="5"/>
      <c r="AD224" s="5"/>
      <c r="AE224" s="5"/>
      <c r="AF224" s="5"/>
      <c r="AG224" s="88"/>
      <c r="AH224" s="105"/>
      <c r="AI224" s="105"/>
      <c r="AJ224" s="105"/>
      <c r="AK224" s="105"/>
      <c r="AL224" s="105"/>
      <c r="AM224" s="84"/>
      <c r="AN224" s="8"/>
      <c r="AO224" s="89">
        <v>10</v>
      </c>
      <c r="AR224" s="9"/>
      <c r="AS224" s="9"/>
      <c r="AT224" s="162" t="str">
        <f t="shared" si="5"/>
        <v>-</v>
      </c>
      <c r="AU224" s="9"/>
      <c r="AV224" s="116"/>
    </row>
    <row r="225" spans="1:52" ht="15" customHeight="1" x14ac:dyDescent="0.25">
      <c r="A225" s="72">
        <v>223</v>
      </c>
      <c r="B225" s="80"/>
      <c r="C225" s="156" t="s">
        <v>293</v>
      </c>
      <c r="D225" s="81"/>
      <c r="E225" s="6"/>
      <c r="F225" s="6"/>
      <c r="G225" s="6"/>
      <c r="H225" s="4"/>
      <c r="I225" s="166"/>
      <c r="J225" s="6"/>
      <c r="K225" s="6"/>
      <c r="L225" s="6"/>
      <c r="M225" s="91"/>
      <c r="N225" s="91"/>
      <c r="O225" s="91"/>
      <c r="P225" s="6"/>
      <c r="Q225" s="92"/>
      <c r="R225" s="92"/>
      <c r="S225" s="92"/>
      <c r="T225" s="6"/>
      <c r="U225" s="6"/>
      <c r="V225" s="6"/>
      <c r="W225" s="4"/>
      <c r="X225" s="6"/>
      <c r="Y225" s="6"/>
      <c r="Z225" s="92"/>
      <c r="AA225" s="6"/>
      <c r="AB225" s="6"/>
      <c r="AC225" s="6"/>
      <c r="AD225" s="6"/>
      <c r="AE225" s="6"/>
      <c r="AF225" s="6"/>
      <c r="AG225" s="93"/>
      <c r="AH225" s="110"/>
      <c r="AI225" s="110"/>
      <c r="AJ225" s="110"/>
      <c r="AK225" s="110"/>
      <c r="AL225" s="110"/>
      <c r="AM225" s="84"/>
      <c r="AN225" s="85">
        <v>30</v>
      </c>
      <c r="AO225" s="85"/>
      <c r="AP225" s="117" t="str">
        <f>C225</f>
        <v>0077</v>
      </c>
      <c r="AR225" s="9"/>
      <c r="AS225" s="9"/>
      <c r="AT225" s="162" t="str">
        <f t="shared" si="5"/>
        <v>-</v>
      </c>
      <c r="AU225" s="9"/>
      <c r="AV225" s="116"/>
    </row>
    <row r="226" spans="1:52" ht="15" customHeight="1" x14ac:dyDescent="0.25">
      <c r="A226" s="72">
        <v>224</v>
      </c>
      <c r="B226" s="80"/>
      <c r="C226" s="157" t="s">
        <v>1717</v>
      </c>
      <c r="D226" s="5" t="s">
        <v>752</v>
      </c>
      <c r="E226" s="5" t="s">
        <v>729</v>
      </c>
      <c r="F226" s="5" t="s">
        <v>1211</v>
      </c>
      <c r="G226" s="5" t="s">
        <v>811</v>
      </c>
      <c r="H226" s="2"/>
      <c r="I226" s="165">
        <v>43136</v>
      </c>
      <c r="J226" s="5" t="s">
        <v>581</v>
      </c>
      <c r="K226" s="5" t="s">
        <v>1229</v>
      </c>
      <c r="L226" s="5" t="s">
        <v>1231</v>
      </c>
      <c r="M226" s="5" t="str">
        <f>CONCATENATE(K226," ",L226)</f>
        <v>ASCAZ HOSPITALARIA</v>
      </c>
      <c r="N226" s="5"/>
      <c r="O226" s="5"/>
      <c r="P226" s="90" t="s">
        <v>3</v>
      </c>
      <c r="Q226" s="87" t="s">
        <v>528</v>
      </c>
      <c r="R226" s="87" t="s">
        <v>403</v>
      </c>
      <c r="S226" s="87" t="s">
        <v>852</v>
      </c>
      <c r="T226" s="5" t="s">
        <v>2</v>
      </c>
      <c r="U226" s="5" t="s">
        <v>219</v>
      </c>
      <c r="V226" s="5" t="s">
        <v>646</v>
      </c>
      <c r="W226" s="2">
        <v>27834</v>
      </c>
      <c r="X226" s="7">
        <f ca="1">YEAR($X$1)-YEAR(W226)</f>
        <v>42</v>
      </c>
      <c r="Y226" s="5" t="s">
        <v>1</v>
      </c>
      <c r="Z226" s="87" t="s">
        <v>1033</v>
      </c>
      <c r="AA226" s="5">
        <v>6</v>
      </c>
      <c r="AB226" s="5" t="s">
        <v>98</v>
      </c>
      <c r="AC226" s="5" t="s">
        <v>1034</v>
      </c>
      <c r="AD226" s="5" t="s">
        <v>1034</v>
      </c>
      <c r="AE226" s="5">
        <v>24007</v>
      </c>
      <c r="AF226" s="5">
        <v>676274946</v>
      </c>
      <c r="AG226" s="88" t="s">
        <v>1035</v>
      </c>
      <c r="AH226" s="105" t="s">
        <v>50</v>
      </c>
      <c r="AI226" s="105" t="s">
        <v>28</v>
      </c>
      <c r="AJ226" s="105">
        <v>3330</v>
      </c>
      <c r="AK226" s="105">
        <v>72</v>
      </c>
      <c r="AL226" s="105" t="s">
        <v>218</v>
      </c>
      <c r="AM226" s="84"/>
      <c r="AN226" s="8"/>
      <c r="AO226" s="89">
        <v>10</v>
      </c>
      <c r="AQ226" s="116" t="str">
        <f>CONCATENATE("NS",C225,"AZ")</f>
        <v>NS0077AZ</v>
      </c>
      <c r="AR226" s="9" t="str">
        <f>CONCATENATE(Q226," ",R226," ",S226)</f>
        <v>SOFIA BLANCO SANJURJO</v>
      </c>
      <c r="AS226" s="9"/>
      <c r="AT226" s="162" t="str">
        <f t="shared" si="5"/>
        <v>NS0077AZ-SOFIA BLANCO SANJURJO</v>
      </c>
      <c r="AU226" s="9" t="str">
        <f>U226</f>
        <v>09809366G</v>
      </c>
      <c r="AV226" s="116"/>
      <c r="AW226" s="9" t="str">
        <f>CONCATENATE(AH226,AI226,AJ226,AK226,AL226)</f>
        <v>ES0501823330720201689878</v>
      </c>
      <c r="AZ226" s="159">
        <v>43136</v>
      </c>
    </row>
    <row r="227" spans="1:52" ht="15" customHeight="1" x14ac:dyDescent="0.25">
      <c r="A227" s="72">
        <v>225</v>
      </c>
      <c r="B227" s="80"/>
      <c r="C227" s="156" t="s">
        <v>1636</v>
      </c>
      <c r="D227" s="81"/>
      <c r="E227" s="6"/>
      <c r="F227" s="6"/>
      <c r="G227" s="6"/>
      <c r="H227" s="4"/>
      <c r="I227" s="166"/>
      <c r="J227" s="6"/>
      <c r="K227" s="6"/>
      <c r="L227" s="6"/>
      <c r="M227" s="91"/>
      <c r="N227" s="91"/>
      <c r="O227" s="91"/>
      <c r="P227" s="6"/>
      <c r="Q227" s="92"/>
      <c r="R227" s="92"/>
      <c r="S227" s="92"/>
      <c r="T227" s="6"/>
      <c r="U227" s="6"/>
      <c r="V227" s="6"/>
      <c r="W227" s="4"/>
      <c r="X227" s="6"/>
      <c r="Y227" s="6"/>
      <c r="Z227" s="92"/>
      <c r="AA227" s="6"/>
      <c r="AB227" s="6"/>
      <c r="AC227" s="6"/>
      <c r="AD227" s="6"/>
      <c r="AE227" s="6"/>
      <c r="AF227" s="6"/>
      <c r="AG227" s="93"/>
      <c r="AH227" s="110"/>
      <c r="AI227" s="110"/>
      <c r="AJ227" s="110"/>
      <c r="AK227" s="110"/>
      <c r="AL227" s="110"/>
      <c r="AM227" s="84"/>
      <c r="AN227" s="85">
        <v>30</v>
      </c>
      <c r="AO227" s="85"/>
      <c r="AP227" s="117" t="str">
        <f>C227</f>
        <v>0078</v>
      </c>
      <c r="AR227" s="9"/>
      <c r="AS227" s="9"/>
      <c r="AT227" s="162" t="str">
        <f t="shared" si="5"/>
        <v>-</v>
      </c>
      <c r="AU227" s="9"/>
      <c r="AV227" s="116"/>
    </row>
    <row r="228" spans="1:52" ht="15" customHeight="1" x14ac:dyDescent="0.25">
      <c r="A228" s="72">
        <v>226</v>
      </c>
      <c r="B228" s="80"/>
      <c r="C228" s="157" t="s">
        <v>1717</v>
      </c>
      <c r="D228" s="5" t="s">
        <v>753</v>
      </c>
      <c r="E228" s="5" t="s">
        <v>729</v>
      </c>
      <c r="F228" s="5" t="s">
        <v>731</v>
      </c>
      <c r="G228" s="5" t="s">
        <v>811</v>
      </c>
      <c r="H228" s="2"/>
      <c r="I228" s="165">
        <v>43138</v>
      </c>
      <c r="J228" s="5" t="s">
        <v>581</v>
      </c>
      <c r="K228" s="5" t="s">
        <v>1229</v>
      </c>
      <c r="L228" s="5" t="s">
        <v>1231</v>
      </c>
      <c r="M228" s="5" t="str">
        <f>CONCATENATE(K228," ",L228)</f>
        <v>ASCAZ HOSPITALARIA</v>
      </c>
      <c r="N228" s="5"/>
      <c r="O228" s="5"/>
      <c r="P228" s="90" t="s">
        <v>3</v>
      </c>
      <c r="Q228" s="87" t="s">
        <v>1036</v>
      </c>
      <c r="R228" s="87" t="s">
        <v>297</v>
      </c>
      <c r="S228" s="87" t="s">
        <v>132</v>
      </c>
      <c r="T228" s="5" t="s">
        <v>2</v>
      </c>
      <c r="U228" s="5" t="s">
        <v>217</v>
      </c>
      <c r="V228" s="5" t="s">
        <v>665</v>
      </c>
      <c r="W228" s="2">
        <v>17170</v>
      </c>
      <c r="X228" s="7">
        <f ca="1">YEAR($X$1)-YEAR(W228)</f>
        <v>71</v>
      </c>
      <c r="Y228" s="5" t="s">
        <v>1</v>
      </c>
      <c r="Z228" s="87" t="s">
        <v>1037</v>
      </c>
      <c r="AA228" s="5">
        <v>2</v>
      </c>
      <c r="AB228" s="5" t="s">
        <v>216</v>
      </c>
      <c r="AC228" s="5" t="s">
        <v>0</v>
      </c>
      <c r="AD228" s="5" t="s">
        <v>31</v>
      </c>
      <c r="AE228" s="5">
        <v>33208</v>
      </c>
      <c r="AF228" s="5">
        <v>985140258</v>
      </c>
      <c r="AG228" s="88" t="s">
        <v>1316</v>
      </c>
      <c r="AH228" s="105" t="s">
        <v>215</v>
      </c>
      <c r="AI228" s="105">
        <v>2048</v>
      </c>
      <c r="AJ228" s="105" t="s">
        <v>214</v>
      </c>
      <c r="AK228" s="105">
        <v>41</v>
      </c>
      <c r="AL228" s="105">
        <v>3400004358</v>
      </c>
      <c r="AM228" s="84"/>
      <c r="AN228" s="8"/>
      <c r="AO228" s="89">
        <v>10</v>
      </c>
      <c r="AQ228" s="116" t="str">
        <f>CONCATENATE("NS",C227,"AZ")</f>
        <v>NS0078AZ</v>
      </c>
      <c r="AR228" s="9" t="str">
        <f>CONCATENATE(Q228," ",R228," ",S228)</f>
        <v>JOSÉ DANIEL SUÁREZ GARCÍA</v>
      </c>
      <c r="AS228" s="9"/>
      <c r="AT228" s="162" t="str">
        <f t="shared" si="5"/>
        <v>NS0078AZ-JOSÉ DANIEL SUÁREZ GARCÍA</v>
      </c>
      <c r="AU228" s="9" t="str">
        <f>U228</f>
        <v>71594645S</v>
      </c>
      <c r="AV228" s="116"/>
      <c r="AW228" s="9" t="str">
        <f>CONCATENATE(AH228,AI228,AJ228,AK228,AL228)</f>
        <v>ES8620480142413400004358</v>
      </c>
      <c r="AZ228" s="159">
        <v>43138</v>
      </c>
    </row>
    <row r="229" spans="1:52" ht="15" customHeight="1" x14ac:dyDescent="0.25">
      <c r="A229" s="72">
        <v>227</v>
      </c>
      <c r="B229" s="80"/>
      <c r="C229" s="157" t="s">
        <v>1717</v>
      </c>
      <c r="D229" s="5" t="s">
        <v>754</v>
      </c>
      <c r="E229" s="5" t="s">
        <v>729</v>
      </c>
      <c r="F229" s="5" t="s">
        <v>731</v>
      </c>
      <c r="G229" s="5" t="s">
        <v>811</v>
      </c>
      <c r="H229" s="2"/>
      <c r="I229" s="165"/>
      <c r="J229" s="5" t="s">
        <v>581</v>
      </c>
      <c r="K229" s="5" t="s">
        <v>1229</v>
      </c>
      <c r="L229" s="5" t="s">
        <v>1231</v>
      </c>
      <c r="M229" s="5" t="str">
        <f>CONCATENATE(K229," ",L229)</f>
        <v>ASCAZ HOSPITALARIA</v>
      </c>
      <c r="N229" s="5"/>
      <c r="O229" s="5"/>
      <c r="P229" s="5" t="s">
        <v>43</v>
      </c>
      <c r="Q229" s="87" t="s">
        <v>1133</v>
      </c>
      <c r="R229" s="87" t="s">
        <v>174</v>
      </c>
      <c r="S229" s="87" t="s">
        <v>297</v>
      </c>
      <c r="T229" s="5" t="s">
        <v>2</v>
      </c>
      <c r="U229" s="5" t="s">
        <v>213</v>
      </c>
      <c r="V229" s="5" t="s">
        <v>646</v>
      </c>
      <c r="W229" s="2">
        <v>22080</v>
      </c>
      <c r="X229" s="7">
        <f ca="1">YEAR($X$1)-YEAR(W229)</f>
        <v>58</v>
      </c>
      <c r="Y229" s="5"/>
      <c r="Z229" s="87"/>
      <c r="AA229" s="5"/>
      <c r="AB229" s="5"/>
      <c r="AC229" s="5"/>
      <c r="AD229" s="5"/>
      <c r="AE229" s="5"/>
      <c r="AF229" s="5"/>
      <c r="AG229" s="88"/>
      <c r="AH229" s="105"/>
      <c r="AI229" s="105"/>
      <c r="AJ229" s="105"/>
      <c r="AK229" s="105"/>
      <c r="AL229" s="105"/>
      <c r="AM229" s="84"/>
      <c r="AN229" s="8"/>
      <c r="AO229" s="89">
        <v>10</v>
      </c>
      <c r="AR229" s="9"/>
      <c r="AS229" s="9"/>
      <c r="AT229" s="162" t="str">
        <f t="shared" si="5"/>
        <v>-</v>
      </c>
      <c r="AU229" s="9"/>
      <c r="AV229" s="116"/>
    </row>
    <row r="230" spans="1:52" ht="15" customHeight="1" x14ac:dyDescent="0.25">
      <c r="A230" s="72">
        <v>228</v>
      </c>
      <c r="B230" s="80"/>
      <c r="C230" s="156" t="s">
        <v>1637</v>
      </c>
      <c r="D230" s="81"/>
      <c r="E230" s="6"/>
      <c r="F230" s="6"/>
      <c r="G230" s="6"/>
      <c r="H230" s="4"/>
      <c r="I230" s="166"/>
      <c r="J230" s="6"/>
      <c r="K230" s="6"/>
      <c r="L230" s="6"/>
      <c r="M230" s="91"/>
      <c r="N230" s="91"/>
      <c r="O230" s="91"/>
      <c r="P230" s="6"/>
      <c r="Q230" s="92"/>
      <c r="R230" s="92"/>
      <c r="S230" s="92"/>
      <c r="T230" s="6"/>
      <c r="U230" s="6"/>
      <c r="V230" s="6"/>
      <c r="W230" s="4"/>
      <c r="X230" s="6"/>
      <c r="Y230" s="6"/>
      <c r="Z230" s="92"/>
      <c r="AA230" s="6"/>
      <c r="AB230" s="6"/>
      <c r="AC230" s="6"/>
      <c r="AD230" s="6"/>
      <c r="AE230" s="6"/>
      <c r="AF230" s="6"/>
      <c r="AG230" s="93"/>
      <c r="AH230" s="110"/>
      <c r="AI230" s="110"/>
      <c r="AJ230" s="110"/>
      <c r="AK230" s="110"/>
      <c r="AL230" s="110"/>
      <c r="AM230" s="84"/>
      <c r="AN230" s="85">
        <v>30</v>
      </c>
      <c r="AO230" s="85"/>
      <c r="AP230" s="117" t="str">
        <f>C230</f>
        <v>0079</v>
      </c>
      <c r="AR230" s="9"/>
      <c r="AS230" s="9"/>
      <c r="AT230" s="162" t="str">
        <f t="shared" si="5"/>
        <v>-</v>
      </c>
      <c r="AU230" s="9"/>
      <c r="AV230" s="116"/>
    </row>
    <row r="231" spans="1:52" ht="15" customHeight="1" x14ac:dyDescent="0.25">
      <c r="A231" s="72">
        <v>229</v>
      </c>
      <c r="B231" s="80"/>
      <c r="C231" s="157" t="s">
        <v>1717</v>
      </c>
      <c r="D231" s="5" t="s">
        <v>755</v>
      </c>
      <c r="E231" s="5" t="s">
        <v>729</v>
      </c>
      <c r="F231" s="5" t="s">
        <v>733</v>
      </c>
      <c r="G231" s="5" t="s">
        <v>811</v>
      </c>
      <c r="H231" s="2"/>
      <c r="I231" s="165">
        <v>43101</v>
      </c>
      <c r="J231" s="5" t="s">
        <v>581</v>
      </c>
      <c r="K231" s="5" t="s">
        <v>1229</v>
      </c>
      <c r="L231" s="5" t="s">
        <v>1231</v>
      </c>
      <c r="M231" s="5" t="str">
        <f>CONCATENATE(K231," ",L231)</f>
        <v>ASCAZ HOSPITALARIA</v>
      </c>
      <c r="N231" s="5"/>
      <c r="O231" s="5"/>
      <c r="P231" s="90" t="s">
        <v>3</v>
      </c>
      <c r="Q231" s="87" t="s">
        <v>1038</v>
      </c>
      <c r="R231" s="87" t="s">
        <v>546</v>
      </c>
      <c r="S231" s="87" t="s">
        <v>1154</v>
      </c>
      <c r="T231" s="5" t="s">
        <v>2</v>
      </c>
      <c r="U231" s="5" t="s">
        <v>25</v>
      </c>
      <c r="V231" s="5" t="s">
        <v>665</v>
      </c>
      <c r="W231" s="2">
        <v>26856</v>
      </c>
      <c r="X231" s="7">
        <f ca="1">YEAR($X$1)-YEAR(W231)</f>
        <v>45</v>
      </c>
      <c r="Y231" s="5" t="s">
        <v>1</v>
      </c>
      <c r="Z231" s="87" t="s">
        <v>1039</v>
      </c>
      <c r="AA231" s="5">
        <v>8</v>
      </c>
      <c r="AB231" s="5" t="s">
        <v>24</v>
      </c>
      <c r="AC231" s="5" t="s">
        <v>0</v>
      </c>
      <c r="AD231" s="5" t="s">
        <v>31</v>
      </c>
      <c r="AE231" s="5">
        <v>33208</v>
      </c>
      <c r="AF231" s="5">
        <v>647821727</v>
      </c>
      <c r="AG231" s="88" t="s">
        <v>1040</v>
      </c>
      <c r="AH231" s="105" t="s">
        <v>1041</v>
      </c>
      <c r="AI231" s="105">
        <v>3035</v>
      </c>
      <c r="AJ231" s="105" t="s">
        <v>23</v>
      </c>
      <c r="AK231" s="105">
        <v>87</v>
      </c>
      <c r="AL231" s="105">
        <v>3651015694</v>
      </c>
      <c r="AM231" s="84"/>
      <c r="AN231" s="8"/>
      <c r="AO231" s="89">
        <v>10</v>
      </c>
      <c r="AQ231" s="116" t="str">
        <f>CONCATENATE("NS",C230,"AZ")</f>
        <v>NS0079AZ</v>
      </c>
      <c r="AR231" s="9" t="str">
        <f>CONCATENATE(Q231," ",R231," ",S231)</f>
        <v>JOSÉ GABRIEL ÁLVAREZ DÍEZ</v>
      </c>
      <c r="AS231" s="9"/>
      <c r="AT231" s="162" t="str">
        <f t="shared" si="5"/>
        <v>NS0079AZ-JOSÉ GABRIEL ÁLVAREZ DÍEZ</v>
      </c>
      <c r="AU231" s="9" t="str">
        <f>U231</f>
        <v>10865788J</v>
      </c>
      <c r="AV231" s="116"/>
      <c r="AW231" s="9" t="str">
        <f>CONCATENATE(AH231,AI231,AJ231,AK231,AL231)</f>
        <v>ES7130350365873651015694</v>
      </c>
      <c r="AZ231" s="159">
        <v>43101</v>
      </c>
    </row>
    <row r="232" spans="1:52" ht="15" customHeight="1" x14ac:dyDescent="0.25">
      <c r="A232" s="72">
        <v>230</v>
      </c>
      <c r="B232" s="80"/>
      <c r="C232" s="157" t="s">
        <v>1717</v>
      </c>
      <c r="D232" s="5" t="s">
        <v>756</v>
      </c>
      <c r="E232" s="5" t="s">
        <v>729</v>
      </c>
      <c r="F232" s="5" t="s">
        <v>733</v>
      </c>
      <c r="G232" s="5" t="s">
        <v>811</v>
      </c>
      <c r="H232" s="2"/>
      <c r="I232" s="165"/>
      <c r="J232" s="5" t="s">
        <v>581</v>
      </c>
      <c r="K232" s="5" t="s">
        <v>1229</v>
      </c>
      <c r="L232" s="5" t="s">
        <v>1231</v>
      </c>
      <c r="M232" s="5" t="str">
        <f>CONCATENATE(K232," ",L232)</f>
        <v>ASCAZ HOSPITALARIA</v>
      </c>
      <c r="N232" s="5"/>
      <c r="O232" s="5"/>
      <c r="P232" s="5" t="s">
        <v>43</v>
      </c>
      <c r="Q232" s="87" t="s">
        <v>1042</v>
      </c>
      <c r="R232" s="87" t="s">
        <v>1043</v>
      </c>
      <c r="S232" s="87" t="s">
        <v>1044</v>
      </c>
      <c r="T232" s="5" t="s">
        <v>2</v>
      </c>
      <c r="U232" s="5" t="s">
        <v>212</v>
      </c>
      <c r="V232" s="5" t="s">
        <v>646</v>
      </c>
      <c r="W232" s="2">
        <v>27512</v>
      </c>
      <c r="X232" s="7">
        <f ca="1">YEAR($X$1)-YEAR(W232)</f>
        <v>43</v>
      </c>
      <c r="Y232" s="5"/>
      <c r="Z232" s="87"/>
      <c r="AA232" s="5"/>
      <c r="AB232" s="5"/>
      <c r="AC232" s="5"/>
      <c r="AD232" s="5"/>
      <c r="AE232" s="5"/>
      <c r="AF232" s="5"/>
      <c r="AG232" s="88"/>
      <c r="AH232" s="105"/>
      <c r="AI232" s="105"/>
      <c r="AJ232" s="105"/>
      <c r="AK232" s="105"/>
      <c r="AL232" s="105"/>
      <c r="AM232" s="84"/>
      <c r="AN232" s="8"/>
      <c r="AO232" s="89">
        <v>10</v>
      </c>
      <c r="AR232" s="9"/>
      <c r="AS232" s="9"/>
      <c r="AT232" s="162" t="str">
        <f t="shared" si="5"/>
        <v>-</v>
      </c>
      <c r="AU232" s="9"/>
      <c r="AV232" s="116"/>
    </row>
    <row r="233" spans="1:52" ht="15" customHeight="1" x14ac:dyDescent="0.25">
      <c r="A233" s="72">
        <v>231</v>
      </c>
      <c r="B233" s="80"/>
      <c r="C233" s="157" t="s">
        <v>1717</v>
      </c>
      <c r="D233" s="5" t="s">
        <v>757</v>
      </c>
      <c r="E233" s="5" t="s">
        <v>729</v>
      </c>
      <c r="F233" s="5" t="s">
        <v>733</v>
      </c>
      <c r="G233" s="5" t="s">
        <v>811</v>
      </c>
      <c r="H233" s="2"/>
      <c r="I233" s="165"/>
      <c r="J233" s="5" t="s">
        <v>581</v>
      </c>
      <c r="K233" s="5" t="s">
        <v>1229</v>
      </c>
      <c r="L233" s="5" t="s">
        <v>1230</v>
      </c>
      <c r="M233" s="5" t="str">
        <f>CONCATENATE(K233," ",L233)</f>
        <v>ASCAZ AMBULATORIA</v>
      </c>
      <c r="N233" s="5"/>
      <c r="O233" s="5"/>
      <c r="P233" s="90" t="s">
        <v>815</v>
      </c>
      <c r="Q233" s="87" t="s">
        <v>438</v>
      </c>
      <c r="R233" s="87" t="s">
        <v>546</v>
      </c>
      <c r="S233" s="87" t="s">
        <v>1043</v>
      </c>
      <c r="T233" s="5" t="s">
        <v>2</v>
      </c>
      <c r="U233" s="5" t="s">
        <v>1045</v>
      </c>
      <c r="V233" s="5" t="s">
        <v>646</v>
      </c>
      <c r="W233" s="2">
        <v>41241</v>
      </c>
      <c r="X233" s="7">
        <f ca="1">YEAR($X$1)-YEAR(W233)</f>
        <v>6</v>
      </c>
      <c r="Y233" s="5"/>
      <c r="Z233" s="87"/>
      <c r="AA233" s="5"/>
      <c r="AB233" s="5"/>
      <c r="AC233" s="5"/>
      <c r="AD233" s="5"/>
      <c r="AE233" s="5"/>
      <c r="AF233" s="5"/>
      <c r="AG233" s="88"/>
      <c r="AH233" s="105"/>
      <c r="AI233" s="105"/>
      <c r="AJ233" s="105"/>
      <c r="AK233" s="105"/>
      <c r="AL233" s="105"/>
      <c r="AM233" s="84"/>
      <c r="AN233" s="8"/>
      <c r="AO233" s="89">
        <v>10</v>
      </c>
      <c r="AR233" s="9"/>
      <c r="AS233" s="9"/>
      <c r="AT233" s="162" t="str">
        <f t="shared" si="5"/>
        <v>-</v>
      </c>
      <c r="AU233" s="9"/>
      <c r="AV233" s="116"/>
    </row>
    <row r="234" spans="1:52" ht="15" customHeight="1" x14ac:dyDescent="0.25">
      <c r="A234" s="72">
        <v>232</v>
      </c>
      <c r="B234" s="80"/>
      <c r="C234" s="156" t="s">
        <v>1638</v>
      </c>
      <c r="D234" s="81"/>
      <c r="E234" s="6"/>
      <c r="F234" s="6"/>
      <c r="G234" s="6"/>
      <c r="H234" s="4"/>
      <c r="I234" s="166"/>
      <c r="J234" s="6"/>
      <c r="K234" s="6"/>
      <c r="L234" s="6"/>
      <c r="M234" s="91"/>
      <c r="N234" s="91"/>
      <c r="O234" s="91"/>
      <c r="P234" s="6"/>
      <c r="Q234" s="92"/>
      <c r="R234" s="92"/>
      <c r="S234" s="92"/>
      <c r="T234" s="6"/>
      <c r="U234" s="6"/>
      <c r="V234" s="6"/>
      <c r="W234" s="4"/>
      <c r="X234" s="6"/>
      <c r="Y234" s="6"/>
      <c r="Z234" s="92"/>
      <c r="AA234" s="6"/>
      <c r="AB234" s="6"/>
      <c r="AC234" s="6"/>
      <c r="AD234" s="6"/>
      <c r="AE234" s="6"/>
      <c r="AF234" s="6"/>
      <c r="AG234" s="93"/>
      <c r="AH234" s="110"/>
      <c r="AI234" s="110"/>
      <c r="AJ234" s="110"/>
      <c r="AK234" s="110"/>
      <c r="AL234" s="110"/>
      <c r="AM234" s="84"/>
      <c r="AN234" s="85">
        <v>30</v>
      </c>
      <c r="AO234" s="85"/>
      <c r="AP234" s="117" t="str">
        <f>C234</f>
        <v>0080</v>
      </c>
      <c r="AR234" s="9"/>
      <c r="AS234" s="9"/>
      <c r="AT234" s="162" t="str">
        <f t="shared" si="5"/>
        <v>-</v>
      </c>
      <c r="AU234" s="9"/>
      <c r="AV234" s="116"/>
    </row>
    <row r="235" spans="1:52" ht="15" customHeight="1" x14ac:dyDescent="0.25">
      <c r="A235" s="72">
        <v>233</v>
      </c>
      <c r="B235" s="80"/>
      <c r="C235" s="157" t="s">
        <v>1717</v>
      </c>
      <c r="D235" s="5" t="s">
        <v>758</v>
      </c>
      <c r="E235" s="5" t="s">
        <v>729</v>
      </c>
      <c r="F235" s="5" t="s">
        <v>733</v>
      </c>
      <c r="G235" s="5" t="s">
        <v>811</v>
      </c>
      <c r="H235" s="2"/>
      <c r="I235" s="165">
        <v>43101</v>
      </c>
      <c r="J235" s="5" t="s">
        <v>581</v>
      </c>
      <c r="K235" s="5" t="s">
        <v>1229</v>
      </c>
      <c r="L235" s="5" t="s">
        <v>1231</v>
      </c>
      <c r="M235" s="5" t="str">
        <f>CONCATENATE(K235," ",L235)</f>
        <v>ASCAZ HOSPITALARIA</v>
      </c>
      <c r="N235" s="5"/>
      <c r="O235" s="5"/>
      <c r="P235" s="90" t="s">
        <v>3</v>
      </c>
      <c r="Q235" s="87" t="s">
        <v>1124</v>
      </c>
      <c r="R235" s="87" t="s">
        <v>201</v>
      </c>
      <c r="S235" s="87" t="s">
        <v>63</v>
      </c>
      <c r="T235" s="5" t="s">
        <v>2</v>
      </c>
      <c r="U235" s="5" t="s">
        <v>211</v>
      </c>
      <c r="V235" s="5" t="s">
        <v>646</v>
      </c>
      <c r="W235" s="2">
        <v>24829</v>
      </c>
      <c r="X235" s="7">
        <f ca="1">YEAR($X$1)-YEAR(W235)</f>
        <v>51</v>
      </c>
      <c r="Y235" s="5" t="s">
        <v>1</v>
      </c>
      <c r="Z235" s="87" t="s">
        <v>210</v>
      </c>
      <c r="AA235" s="5">
        <v>3</v>
      </c>
      <c r="AB235" s="5" t="s">
        <v>209</v>
      </c>
      <c r="AC235" s="5" t="s">
        <v>0</v>
      </c>
      <c r="AD235" s="5" t="s">
        <v>31</v>
      </c>
      <c r="AE235" s="5">
        <v>33207</v>
      </c>
      <c r="AF235" s="5">
        <v>617405509</v>
      </c>
      <c r="AG235" s="88" t="s">
        <v>1046</v>
      </c>
      <c r="AH235" s="105" t="s">
        <v>208</v>
      </c>
      <c r="AI235" s="105">
        <v>2100</v>
      </c>
      <c r="AJ235" s="105">
        <v>5636</v>
      </c>
      <c r="AK235" s="105">
        <v>61</v>
      </c>
      <c r="AL235" s="105" t="s">
        <v>207</v>
      </c>
      <c r="AM235" s="84"/>
      <c r="AN235" s="8"/>
      <c r="AO235" s="89">
        <v>10</v>
      </c>
      <c r="AQ235" s="116" t="str">
        <f>CONCATENATE("NS",C234,"AZ")</f>
        <v>NS0080AZ</v>
      </c>
      <c r="AR235" s="9" t="str">
        <f>CONCATENATE(Q235," ",R235," ",S235)</f>
        <v>EVA MARÍA SORIANO FERNÁNDEZ</v>
      </c>
      <c r="AS235" s="9"/>
      <c r="AT235" s="162" t="str">
        <f t="shared" si="5"/>
        <v>NS0080AZ-EVA MARÍA SORIANO FERNÁNDEZ</v>
      </c>
      <c r="AU235" s="9" t="str">
        <f>U235</f>
        <v>10857676C</v>
      </c>
      <c r="AV235" s="116"/>
      <c r="AW235" s="9" t="str">
        <f>CONCATENATE(AH235,AI235,AJ235,AK235,AL235)</f>
        <v>ES4721005636610100087632</v>
      </c>
      <c r="AZ235" s="159">
        <v>43101</v>
      </c>
    </row>
    <row r="236" spans="1:52" ht="15" customHeight="1" x14ac:dyDescent="0.25">
      <c r="A236" s="72">
        <v>234</v>
      </c>
      <c r="B236" s="80"/>
      <c r="C236" s="157" t="s">
        <v>1717</v>
      </c>
      <c r="D236" s="5" t="s">
        <v>759</v>
      </c>
      <c r="E236" s="5" t="s">
        <v>729</v>
      </c>
      <c r="F236" s="5" t="s">
        <v>733</v>
      </c>
      <c r="G236" s="5" t="s">
        <v>811</v>
      </c>
      <c r="H236" s="2"/>
      <c r="I236" s="165"/>
      <c r="J236" s="5" t="s">
        <v>581</v>
      </c>
      <c r="K236" s="5" t="s">
        <v>1229</v>
      </c>
      <c r="L236" s="5" t="s">
        <v>1231</v>
      </c>
      <c r="M236" s="5" t="str">
        <f>CONCATENATE(K236," ",L236)</f>
        <v>ASCAZ HOSPITALARIA</v>
      </c>
      <c r="N236" s="5"/>
      <c r="O236" s="5"/>
      <c r="P236" s="5" t="s">
        <v>43</v>
      </c>
      <c r="Q236" s="87" t="s">
        <v>206</v>
      </c>
      <c r="R236" s="87" t="s">
        <v>202</v>
      </c>
      <c r="S236" s="87" t="s">
        <v>205</v>
      </c>
      <c r="T236" s="5" t="s">
        <v>2</v>
      </c>
      <c r="U236" s="5" t="s">
        <v>204</v>
      </c>
      <c r="V236" s="5" t="s">
        <v>665</v>
      </c>
      <c r="W236" s="2">
        <v>24822</v>
      </c>
      <c r="X236" s="7">
        <f ca="1">YEAR($X$1)-YEAR(W236)</f>
        <v>51</v>
      </c>
      <c r="Y236" s="5"/>
      <c r="Z236" s="87"/>
      <c r="AA236" s="5"/>
      <c r="AB236" s="5"/>
      <c r="AC236" s="5"/>
      <c r="AD236" s="5"/>
      <c r="AE236" s="5"/>
      <c r="AF236" s="5"/>
      <c r="AG236" s="88"/>
      <c r="AH236" s="105"/>
      <c r="AI236" s="105"/>
      <c r="AJ236" s="105"/>
      <c r="AK236" s="105"/>
      <c r="AL236" s="105"/>
      <c r="AM236" s="84"/>
      <c r="AN236" s="8"/>
      <c r="AO236" s="89">
        <v>10</v>
      </c>
      <c r="AR236" s="9"/>
      <c r="AS236" s="9"/>
      <c r="AT236" s="162" t="str">
        <f t="shared" si="5"/>
        <v>-</v>
      </c>
      <c r="AU236" s="9"/>
      <c r="AV236" s="116"/>
    </row>
    <row r="237" spans="1:52" ht="15" customHeight="1" x14ac:dyDescent="0.25">
      <c r="A237" s="72">
        <v>235</v>
      </c>
      <c r="B237" s="80"/>
      <c r="C237" s="157" t="s">
        <v>1717</v>
      </c>
      <c r="D237" s="5" t="s">
        <v>760</v>
      </c>
      <c r="E237" s="5" t="s">
        <v>729</v>
      </c>
      <c r="F237" s="5" t="s">
        <v>733</v>
      </c>
      <c r="G237" s="5" t="s">
        <v>811</v>
      </c>
      <c r="H237" s="2"/>
      <c r="I237" s="165"/>
      <c r="J237" s="5" t="s">
        <v>581</v>
      </c>
      <c r="K237" s="5" t="s">
        <v>1229</v>
      </c>
      <c r="L237" s="5" t="s">
        <v>1231</v>
      </c>
      <c r="M237" s="5" t="str">
        <f>CONCATENATE(K237," ",L237)</f>
        <v>ASCAZ HOSPITALARIA</v>
      </c>
      <c r="N237" s="5"/>
      <c r="O237" s="5"/>
      <c r="P237" s="90" t="s">
        <v>815</v>
      </c>
      <c r="Q237" s="87" t="s">
        <v>203</v>
      </c>
      <c r="R237" s="87" t="s">
        <v>202</v>
      </c>
      <c r="S237" s="87" t="s">
        <v>201</v>
      </c>
      <c r="T237" s="5" t="s">
        <v>2</v>
      </c>
      <c r="U237" s="5" t="s">
        <v>200</v>
      </c>
      <c r="V237" s="5" t="s">
        <v>665</v>
      </c>
      <c r="W237" s="2">
        <v>33557</v>
      </c>
      <c r="X237" s="7">
        <f ca="1">YEAR($X$1)-YEAR(W237)</f>
        <v>27</v>
      </c>
      <c r="Y237" s="5"/>
      <c r="Z237" s="87"/>
      <c r="AA237" s="5"/>
      <c r="AB237" s="5"/>
      <c r="AC237" s="5"/>
      <c r="AD237" s="5"/>
      <c r="AE237" s="5"/>
      <c r="AF237" s="5"/>
      <c r="AG237" s="88"/>
      <c r="AH237" s="105"/>
      <c r="AI237" s="105"/>
      <c r="AJ237" s="105"/>
      <c r="AK237" s="105"/>
      <c r="AL237" s="105"/>
      <c r="AM237" s="84"/>
      <c r="AN237" s="8"/>
      <c r="AO237" s="89">
        <v>10</v>
      </c>
      <c r="AR237" s="9"/>
      <c r="AS237" s="9"/>
      <c r="AT237" s="162" t="str">
        <f t="shared" si="5"/>
        <v>-</v>
      </c>
      <c r="AU237" s="9"/>
      <c r="AV237" s="116"/>
    </row>
    <row r="238" spans="1:52" ht="15" customHeight="1" x14ac:dyDescent="0.25">
      <c r="A238" s="72">
        <v>236</v>
      </c>
      <c r="B238" s="80"/>
      <c r="C238" s="156" t="s">
        <v>13</v>
      </c>
      <c r="D238" s="81"/>
      <c r="E238" s="6"/>
      <c r="F238" s="6"/>
      <c r="G238" s="6"/>
      <c r="H238" s="4"/>
      <c r="I238" s="166"/>
      <c r="J238" s="6"/>
      <c r="K238" s="6"/>
      <c r="L238" s="6"/>
      <c r="M238" s="91"/>
      <c r="N238" s="91"/>
      <c r="O238" s="91"/>
      <c r="P238" s="6"/>
      <c r="Q238" s="92"/>
      <c r="R238" s="92"/>
      <c r="S238" s="92"/>
      <c r="T238" s="6"/>
      <c r="U238" s="6"/>
      <c r="V238" s="6"/>
      <c r="W238" s="4"/>
      <c r="X238" s="6"/>
      <c r="Y238" s="6"/>
      <c r="Z238" s="92"/>
      <c r="AA238" s="6"/>
      <c r="AB238" s="6"/>
      <c r="AC238" s="6"/>
      <c r="AD238" s="6"/>
      <c r="AE238" s="6"/>
      <c r="AF238" s="6"/>
      <c r="AG238" s="93"/>
      <c r="AH238" s="110"/>
      <c r="AI238" s="110"/>
      <c r="AJ238" s="110"/>
      <c r="AK238" s="110"/>
      <c r="AL238" s="110"/>
      <c r="AM238" s="84"/>
      <c r="AN238" s="85">
        <v>30</v>
      </c>
      <c r="AO238" s="85"/>
      <c r="AP238" s="117" t="str">
        <f>C238</f>
        <v>0081</v>
      </c>
      <c r="AR238" s="9"/>
      <c r="AS238" s="9"/>
      <c r="AT238" s="162" t="str">
        <f t="shared" si="5"/>
        <v>-</v>
      </c>
      <c r="AU238" s="9"/>
      <c r="AV238" s="116"/>
    </row>
    <row r="239" spans="1:52" ht="15" customHeight="1" x14ac:dyDescent="0.25">
      <c r="A239" s="72">
        <v>237</v>
      </c>
      <c r="B239" s="80"/>
      <c r="C239" s="157" t="s">
        <v>1717</v>
      </c>
      <c r="D239" s="5" t="s">
        <v>761</v>
      </c>
      <c r="E239" s="5" t="s">
        <v>729</v>
      </c>
      <c r="F239" s="5" t="s">
        <v>736</v>
      </c>
      <c r="G239" s="5" t="s">
        <v>811</v>
      </c>
      <c r="H239" s="2"/>
      <c r="I239" s="165">
        <v>43109</v>
      </c>
      <c r="J239" s="5" t="s">
        <v>581</v>
      </c>
      <c r="K239" s="5" t="s">
        <v>1229</v>
      </c>
      <c r="L239" s="5" t="s">
        <v>1231</v>
      </c>
      <c r="M239" s="5" t="str">
        <f>CONCATENATE(K239," ",L239)</f>
        <v>ASCAZ HOSPITALARIA</v>
      </c>
      <c r="N239" s="5"/>
      <c r="O239" s="5"/>
      <c r="P239" s="90" t="s">
        <v>3</v>
      </c>
      <c r="Q239" s="87" t="s">
        <v>1047</v>
      </c>
      <c r="R239" s="87" t="s">
        <v>132</v>
      </c>
      <c r="S239" s="87" t="s">
        <v>1048</v>
      </c>
      <c r="T239" s="5" t="s">
        <v>2</v>
      </c>
      <c r="U239" s="5" t="s">
        <v>1049</v>
      </c>
      <c r="V239" s="5" t="s">
        <v>646</v>
      </c>
      <c r="W239" s="2">
        <v>28478</v>
      </c>
      <c r="X239" s="7">
        <f ca="1">YEAR($X$1)-YEAR(W239)</f>
        <v>41</v>
      </c>
      <c r="Y239" s="5" t="s">
        <v>1</v>
      </c>
      <c r="Z239" s="87" t="s">
        <v>1050</v>
      </c>
      <c r="AA239" s="5">
        <v>11</v>
      </c>
      <c r="AB239" s="5" t="s">
        <v>199</v>
      </c>
      <c r="AC239" s="5" t="s">
        <v>0</v>
      </c>
      <c r="AD239" s="5" t="s">
        <v>31</v>
      </c>
      <c r="AE239" s="5">
        <v>33211</v>
      </c>
      <c r="AF239" s="5">
        <v>617581334</v>
      </c>
      <c r="AG239" s="88" t="s">
        <v>1051</v>
      </c>
      <c r="AH239" s="105" t="s">
        <v>14</v>
      </c>
      <c r="AI239" s="105" t="s">
        <v>13</v>
      </c>
      <c r="AJ239" s="105" t="s">
        <v>1170</v>
      </c>
      <c r="AK239" s="105" t="s">
        <v>1171</v>
      </c>
      <c r="AL239" s="105" t="s">
        <v>1172</v>
      </c>
      <c r="AM239" s="84"/>
      <c r="AN239" s="8"/>
      <c r="AO239" s="89">
        <v>10</v>
      </c>
      <c r="AQ239" s="116" t="str">
        <f>CONCATENATE("NS",C238,"AZ")</f>
        <v>NS0081AZ</v>
      </c>
      <c r="AR239" s="9" t="str">
        <f>CONCATENATE(Q239," ",R239," ",S239)</f>
        <v>ALEJANDRA GARCÍA TRAVIESA</v>
      </c>
      <c r="AS239" s="9"/>
      <c r="AT239" s="162" t="str">
        <f t="shared" si="5"/>
        <v>NS0081AZ-ALEJANDRA GARCÍA TRAVIESA</v>
      </c>
      <c r="AU239" s="9" t="str">
        <f>U239</f>
        <v>71641207W</v>
      </c>
      <c r="AV239" s="116"/>
      <c r="AW239" s="9" t="str">
        <f>CONCATENATE(AH239,AI239,AJ239,AK239,AL239)</f>
        <v>ES3000815665250001109015</v>
      </c>
      <c r="AZ239" s="159">
        <v>43109</v>
      </c>
    </row>
    <row r="240" spans="1:52" ht="15" customHeight="1" x14ac:dyDescent="0.25">
      <c r="A240" s="72">
        <v>238</v>
      </c>
      <c r="B240" s="80"/>
      <c r="C240" s="156" t="s">
        <v>1639</v>
      </c>
      <c r="D240" s="81"/>
      <c r="E240" s="6"/>
      <c r="F240" s="6"/>
      <c r="G240" s="6"/>
      <c r="H240" s="4"/>
      <c r="I240" s="166"/>
      <c r="J240" s="6"/>
      <c r="K240" s="6"/>
      <c r="L240" s="6"/>
      <c r="M240" s="91"/>
      <c r="N240" s="91"/>
      <c r="O240" s="91"/>
      <c r="P240" s="6"/>
      <c r="Q240" s="92"/>
      <c r="R240" s="92"/>
      <c r="S240" s="92"/>
      <c r="T240" s="6"/>
      <c r="U240" s="6"/>
      <c r="V240" s="6"/>
      <c r="W240" s="4"/>
      <c r="X240" s="6"/>
      <c r="Y240" s="6"/>
      <c r="Z240" s="92"/>
      <c r="AA240" s="6"/>
      <c r="AB240" s="6"/>
      <c r="AC240" s="6"/>
      <c r="AD240" s="6"/>
      <c r="AE240" s="6"/>
      <c r="AF240" s="6"/>
      <c r="AG240" s="93"/>
      <c r="AH240" s="110"/>
      <c r="AI240" s="110"/>
      <c r="AJ240" s="110"/>
      <c r="AK240" s="110"/>
      <c r="AL240" s="110"/>
      <c r="AM240" s="84"/>
      <c r="AN240" s="85">
        <v>30</v>
      </c>
      <c r="AO240" s="85"/>
      <c r="AP240" s="117" t="str">
        <f>C240</f>
        <v>0082</v>
      </c>
      <c r="AR240" s="9"/>
      <c r="AS240" s="9"/>
      <c r="AT240" s="162" t="str">
        <f t="shared" si="5"/>
        <v>-</v>
      </c>
      <c r="AU240" s="9"/>
      <c r="AV240" s="116"/>
    </row>
    <row r="241" spans="1:52" ht="15" customHeight="1" x14ac:dyDescent="0.25">
      <c r="A241" s="72">
        <v>239</v>
      </c>
      <c r="B241" s="80"/>
      <c r="C241" s="157" t="s">
        <v>1717</v>
      </c>
      <c r="D241" s="5" t="s">
        <v>762</v>
      </c>
      <c r="E241" s="5" t="s">
        <v>729</v>
      </c>
      <c r="F241" s="5"/>
      <c r="G241" s="5" t="s">
        <v>811</v>
      </c>
      <c r="H241" s="2"/>
      <c r="I241" s="165">
        <v>43102</v>
      </c>
      <c r="J241" s="5" t="s">
        <v>581</v>
      </c>
      <c r="K241" s="5" t="s">
        <v>1229</v>
      </c>
      <c r="L241" s="5" t="s">
        <v>1231</v>
      </c>
      <c r="M241" s="5" t="str">
        <f>CONCATENATE(K241," ",L241)</f>
        <v>ASCAZ HOSPITALARIA</v>
      </c>
      <c r="N241" s="5"/>
      <c r="O241" s="5"/>
      <c r="P241" s="90" t="s">
        <v>154</v>
      </c>
      <c r="Q241" s="87" t="s">
        <v>197</v>
      </c>
      <c r="R241" s="87" t="s">
        <v>196</v>
      </c>
      <c r="S241" s="87" t="s">
        <v>195</v>
      </c>
      <c r="T241" s="5" t="s">
        <v>2</v>
      </c>
      <c r="U241" s="5" t="s">
        <v>1052</v>
      </c>
      <c r="V241" s="5" t="s">
        <v>665</v>
      </c>
      <c r="W241" s="2">
        <v>25132</v>
      </c>
      <c r="X241" s="7">
        <f ca="1">YEAR($X$1)-YEAR(W241)</f>
        <v>50</v>
      </c>
      <c r="Y241" s="5" t="s">
        <v>1</v>
      </c>
      <c r="Z241" s="87" t="s">
        <v>194</v>
      </c>
      <c r="AA241" s="5">
        <v>5</v>
      </c>
      <c r="AB241" s="5" t="s">
        <v>1053</v>
      </c>
      <c r="AC241" s="5" t="s">
        <v>0</v>
      </c>
      <c r="AD241" s="5" t="s">
        <v>193</v>
      </c>
      <c r="AE241" s="5">
        <v>33630</v>
      </c>
      <c r="AF241" s="5">
        <v>639394558</v>
      </c>
      <c r="AG241" s="88" t="s">
        <v>1054</v>
      </c>
      <c r="AH241" s="105" t="s">
        <v>192</v>
      </c>
      <c r="AI241" s="105">
        <v>3059</v>
      </c>
      <c r="AJ241" s="105" t="s">
        <v>191</v>
      </c>
      <c r="AK241" s="105">
        <v>14</v>
      </c>
      <c r="AL241" s="105">
        <v>2379667427</v>
      </c>
      <c r="AM241" s="84"/>
      <c r="AN241" s="8"/>
      <c r="AO241" s="89">
        <v>10</v>
      </c>
      <c r="AQ241" s="116" t="str">
        <f>CONCATENATE("NS",C240,"AZ")</f>
        <v>NS0082AZ</v>
      </c>
      <c r="AR241" s="9" t="str">
        <f>CONCATENATE(Q241," ",R241," ",S241)</f>
        <v>FRANCISCO JOSÉ BARROS PALACIOS</v>
      </c>
      <c r="AS241" s="9"/>
      <c r="AT241" s="162" t="str">
        <f t="shared" si="5"/>
        <v>NS0082AZ-FRANCISCO JOSÉ BARROS PALACIOS</v>
      </c>
      <c r="AU241" s="9" t="str">
        <f>U241</f>
        <v>11071222B</v>
      </c>
      <c r="AV241" s="116"/>
      <c r="AW241" s="9" t="str">
        <f>CONCATENATE(AH241,AI241,AJ241,AK241,AL241)</f>
        <v>ES1130590031142379667427</v>
      </c>
      <c r="AZ241" s="159">
        <v>43102</v>
      </c>
    </row>
    <row r="242" spans="1:52" ht="15" customHeight="1" x14ac:dyDescent="0.25">
      <c r="A242" s="72">
        <v>240</v>
      </c>
      <c r="B242" s="80"/>
      <c r="C242" s="157" t="s">
        <v>1717</v>
      </c>
      <c r="D242" s="5" t="s">
        <v>763</v>
      </c>
      <c r="E242" s="5" t="s">
        <v>729</v>
      </c>
      <c r="F242" s="5"/>
      <c r="G242" s="5" t="s">
        <v>811</v>
      </c>
      <c r="H242" s="2"/>
      <c r="I242" s="165"/>
      <c r="J242" s="5" t="s">
        <v>581</v>
      </c>
      <c r="K242" s="5" t="s">
        <v>1229</v>
      </c>
      <c r="L242" s="5" t="s">
        <v>1231</v>
      </c>
      <c r="M242" s="5" t="str">
        <f>CONCATENATE(K242," ",L242)</f>
        <v>ASCAZ HOSPITALARIA</v>
      </c>
      <c r="N242" s="5"/>
      <c r="O242" s="5"/>
      <c r="P242" s="5" t="s">
        <v>43</v>
      </c>
      <c r="Q242" s="87" t="s">
        <v>190</v>
      </c>
      <c r="R242" s="87" t="s">
        <v>63</v>
      </c>
      <c r="S242" s="87" t="s">
        <v>189</v>
      </c>
      <c r="T242" s="5" t="s">
        <v>2</v>
      </c>
      <c r="U242" s="5" t="s">
        <v>188</v>
      </c>
      <c r="V242" s="5" t="s">
        <v>646</v>
      </c>
      <c r="W242" s="2">
        <v>24789</v>
      </c>
      <c r="X242" s="7">
        <f ca="1">YEAR($X$1)-YEAR(W242)</f>
        <v>51</v>
      </c>
      <c r="Y242" s="5"/>
      <c r="Z242" s="87"/>
      <c r="AA242" s="5"/>
      <c r="AB242" s="5"/>
      <c r="AC242" s="5"/>
      <c r="AD242" s="5"/>
      <c r="AE242" s="5"/>
      <c r="AF242" s="5"/>
      <c r="AG242" s="88"/>
      <c r="AH242" s="105"/>
      <c r="AI242" s="105"/>
      <c r="AJ242" s="105"/>
      <c r="AK242" s="105"/>
      <c r="AL242" s="105"/>
      <c r="AM242" s="84"/>
      <c r="AN242" s="8"/>
      <c r="AO242" s="89">
        <v>10</v>
      </c>
      <c r="AR242" s="9"/>
      <c r="AS242" s="9"/>
      <c r="AT242" s="162" t="str">
        <f t="shared" si="5"/>
        <v>-</v>
      </c>
      <c r="AU242" s="9"/>
      <c r="AV242" s="116"/>
    </row>
    <row r="243" spans="1:52" ht="15" customHeight="1" x14ac:dyDescent="0.25">
      <c r="A243" s="72">
        <v>241</v>
      </c>
      <c r="B243" s="80"/>
      <c r="C243" s="156" t="s">
        <v>1640</v>
      </c>
      <c r="D243" s="81"/>
      <c r="E243" s="6"/>
      <c r="F243" s="6"/>
      <c r="G243" s="6"/>
      <c r="H243" s="4"/>
      <c r="I243" s="166"/>
      <c r="J243" s="6"/>
      <c r="K243" s="6"/>
      <c r="L243" s="6"/>
      <c r="M243" s="91"/>
      <c r="N243" s="91"/>
      <c r="O243" s="91"/>
      <c r="P243" s="6"/>
      <c r="Q243" s="92"/>
      <c r="R243" s="92"/>
      <c r="S243" s="92"/>
      <c r="T243" s="6"/>
      <c r="U243" s="6"/>
      <c r="V243" s="6"/>
      <c r="W243" s="4"/>
      <c r="X243" s="6"/>
      <c r="Y243" s="6"/>
      <c r="Z243" s="92"/>
      <c r="AA243" s="6"/>
      <c r="AB243" s="6"/>
      <c r="AC243" s="6"/>
      <c r="AD243" s="6"/>
      <c r="AE243" s="6"/>
      <c r="AF243" s="6"/>
      <c r="AG243" s="93"/>
      <c r="AH243" s="110"/>
      <c r="AI243" s="110"/>
      <c r="AJ243" s="110"/>
      <c r="AK243" s="110"/>
      <c r="AL243" s="110"/>
      <c r="AM243" s="84"/>
      <c r="AN243" s="85">
        <v>30</v>
      </c>
      <c r="AO243" s="85"/>
      <c r="AP243" s="117" t="str">
        <f>C243</f>
        <v>0083</v>
      </c>
      <c r="AR243" s="9"/>
      <c r="AS243" s="9"/>
      <c r="AT243" s="162" t="str">
        <f t="shared" si="5"/>
        <v>-</v>
      </c>
      <c r="AU243" s="9"/>
      <c r="AV243" s="116"/>
    </row>
    <row r="244" spans="1:52" ht="15" customHeight="1" x14ac:dyDescent="0.25">
      <c r="A244" s="72">
        <v>242</v>
      </c>
      <c r="B244" s="80"/>
      <c r="C244" s="157" t="s">
        <v>1717</v>
      </c>
      <c r="D244" s="5" t="s">
        <v>764</v>
      </c>
      <c r="E244" s="5" t="s">
        <v>729</v>
      </c>
      <c r="F244" s="5"/>
      <c r="G244" s="5" t="s">
        <v>811</v>
      </c>
      <c r="H244" s="2"/>
      <c r="I244" s="165">
        <v>43102</v>
      </c>
      <c r="J244" s="5" t="s">
        <v>581</v>
      </c>
      <c r="K244" s="5" t="s">
        <v>1229</v>
      </c>
      <c r="L244" s="5" t="s">
        <v>1231</v>
      </c>
      <c r="M244" s="5" t="str">
        <f>CONCATENATE(K244," ",L244)</f>
        <v>ASCAZ HOSPITALARIA</v>
      </c>
      <c r="N244" s="5"/>
      <c r="O244" s="5"/>
      <c r="P244" s="90" t="s">
        <v>3</v>
      </c>
      <c r="Q244" s="87" t="s">
        <v>101</v>
      </c>
      <c r="R244" s="87" t="s">
        <v>1146</v>
      </c>
      <c r="S244" s="87" t="s">
        <v>1158</v>
      </c>
      <c r="T244" s="5" t="s">
        <v>2</v>
      </c>
      <c r="U244" s="5" t="s">
        <v>178</v>
      </c>
      <c r="V244" s="5" t="s">
        <v>646</v>
      </c>
      <c r="W244" s="2">
        <v>26243</v>
      </c>
      <c r="X244" s="7">
        <f ca="1">YEAR($X$1)-YEAR(W244)</f>
        <v>47</v>
      </c>
      <c r="Y244" s="5" t="s">
        <v>1</v>
      </c>
      <c r="Z244" s="87" t="s">
        <v>177</v>
      </c>
      <c r="AA244" s="5">
        <v>10</v>
      </c>
      <c r="AB244" s="5" t="s">
        <v>176</v>
      </c>
      <c r="AC244" s="5" t="s">
        <v>0</v>
      </c>
      <c r="AD244" s="5" t="s">
        <v>7</v>
      </c>
      <c r="AE244" s="5">
        <v>33008</v>
      </c>
      <c r="AF244" s="5">
        <v>691687934</v>
      </c>
      <c r="AG244" s="88" t="s">
        <v>1055</v>
      </c>
      <c r="AH244" s="105" t="s">
        <v>6</v>
      </c>
      <c r="AI244" s="105">
        <v>2048</v>
      </c>
      <c r="AJ244" s="105" t="s">
        <v>5</v>
      </c>
      <c r="AK244" s="105" t="s">
        <v>4</v>
      </c>
      <c r="AL244" s="105">
        <v>3000047252</v>
      </c>
      <c r="AM244" s="84"/>
      <c r="AN244" s="8"/>
      <c r="AO244" s="89">
        <v>10</v>
      </c>
      <c r="AQ244" s="116" t="str">
        <f>CONCATENATE("NS",C243,"AZ")</f>
        <v>NS0083AZ</v>
      </c>
      <c r="AR244" s="9" t="str">
        <f>CONCATENATE(Q244," ",R244," ",S244)</f>
        <v>CARMEN GONZÁLEZ LÓPEZ</v>
      </c>
      <c r="AS244" s="9"/>
      <c r="AT244" s="162" t="str">
        <f t="shared" si="5"/>
        <v>NS0083AZ-CARMEN GONZÁLEZ LÓPEZ</v>
      </c>
      <c r="AU244" s="9" t="str">
        <f>U244</f>
        <v>9414719Z</v>
      </c>
      <c r="AV244" s="116"/>
      <c r="AW244" s="9" t="str">
        <f>CONCATENATE(AH244,AI244,AJ244,AK244,AL244)</f>
        <v>ES7720480076073000047252</v>
      </c>
      <c r="AZ244" s="159">
        <v>43102</v>
      </c>
    </row>
    <row r="245" spans="1:52" ht="15" customHeight="1" x14ac:dyDescent="0.25">
      <c r="A245" s="72">
        <v>243</v>
      </c>
      <c r="B245" s="80"/>
      <c r="C245" s="156" t="s">
        <v>1641</v>
      </c>
      <c r="D245" s="81"/>
      <c r="E245" s="6"/>
      <c r="F245" s="6"/>
      <c r="G245" s="6"/>
      <c r="H245" s="4"/>
      <c r="I245" s="166"/>
      <c r="J245" s="6"/>
      <c r="K245" s="6"/>
      <c r="L245" s="6"/>
      <c r="M245" s="91"/>
      <c r="N245" s="91"/>
      <c r="O245" s="91"/>
      <c r="P245" s="6"/>
      <c r="Q245" s="92"/>
      <c r="R245" s="92"/>
      <c r="S245" s="92"/>
      <c r="T245" s="6"/>
      <c r="U245" s="6"/>
      <c r="V245" s="6"/>
      <c r="W245" s="4"/>
      <c r="X245" s="6"/>
      <c r="Y245" s="6"/>
      <c r="Z245" s="92"/>
      <c r="AA245" s="6"/>
      <c r="AB245" s="6"/>
      <c r="AC245" s="6"/>
      <c r="AD245" s="6"/>
      <c r="AE245" s="6"/>
      <c r="AF245" s="6"/>
      <c r="AG245" s="93"/>
      <c r="AH245" s="110"/>
      <c r="AI245" s="110"/>
      <c r="AJ245" s="110"/>
      <c r="AK245" s="110"/>
      <c r="AL245" s="110"/>
      <c r="AM245" s="84"/>
      <c r="AN245" s="85">
        <v>30</v>
      </c>
      <c r="AO245" s="85"/>
      <c r="AP245" s="117" t="str">
        <f>C245</f>
        <v>0084</v>
      </c>
      <c r="AR245" s="9"/>
      <c r="AS245" s="9"/>
      <c r="AT245" s="162" t="str">
        <f t="shared" si="5"/>
        <v>-</v>
      </c>
      <c r="AU245" s="9"/>
      <c r="AV245" s="116"/>
    </row>
    <row r="246" spans="1:52" ht="15" customHeight="1" x14ac:dyDescent="0.25">
      <c r="A246" s="72">
        <v>244</v>
      </c>
      <c r="B246" s="80"/>
      <c r="C246" s="157" t="s">
        <v>1717</v>
      </c>
      <c r="D246" s="5" t="s">
        <v>765</v>
      </c>
      <c r="E246" s="5" t="s">
        <v>729</v>
      </c>
      <c r="F246" s="5"/>
      <c r="G246" s="5" t="s">
        <v>811</v>
      </c>
      <c r="H246" s="2"/>
      <c r="I246" s="165">
        <v>43118</v>
      </c>
      <c r="J246" s="5" t="s">
        <v>581</v>
      </c>
      <c r="K246" s="5" t="s">
        <v>1229</v>
      </c>
      <c r="L246" s="5" t="s">
        <v>1231</v>
      </c>
      <c r="M246" s="5" t="str">
        <f>CONCATENATE(K246," ",L246)</f>
        <v>ASCAZ HOSPITALARIA</v>
      </c>
      <c r="N246" s="5"/>
      <c r="O246" s="5"/>
      <c r="P246" s="90" t="s">
        <v>3</v>
      </c>
      <c r="Q246" s="87" t="s">
        <v>175</v>
      </c>
      <c r="R246" s="87" t="s">
        <v>174</v>
      </c>
      <c r="S246" s="87" t="s">
        <v>173</v>
      </c>
      <c r="T246" s="5" t="s">
        <v>2</v>
      </c>
      <c r="U246" s="5" t="s">
        <v>172</v>
      </c>
      <c r="V246" s="5" t="s">
        <v>646</v>
      </c>
      <c r="W246" s="2">
        <v>29329</v>
      </c>
      <c r="X246" s="7">
        <f ca="1">YEAR($X$1)-YEAR(W246)</f>
        <v>38</v>
      </c>
      <c r="Y246" s="5" t="s">
        <v>171</v>
      </c>
      <c r="Z246" s="87" t="s">
        <v>170</v>
      </c>
      <c r="AA246" s="5">
        <v>21</v>
      </c>
      <c r="AB246" s="5" t="s">
        <v>169</v>
      </c>
      <c r="AC246" s="5" t="s">
        <v>0</v>
      </c>
      <c r="AD246" s="5" t="s">
        <v>31</v>
      </c>
      <c r="AE246" s="5">
        <v>33204</v>
      </c>
      <c r="AF246" s="5">
        <v>608171127</v>
      </c>
      <c r="AG246" s="88" t="s">
        <v>1056</v>
      </c>
      <c r="AH246" s="105" t="s">
        <v>58</v>
      </c>
      <c r="AI246" s="105">
        <v>2048</v>
      </c>
      <c r="AJ246" s="105" t="s">
        <v>168</v>
      </c>
      <c r="AK246" s="105">
        <v>30</v>
      </c>
      <c r="AL246" s="105">
        <v>3404001272</v>
      </c>
      <c r="AM246" s="84"/>
      <c r="AN246" s="8"/>
      <c r="AO246" s="89">
        <v>10</v>
      </c>
      <c r="AQ246" s="116" t="str">
        <f>CONCATENATE("NS",C245,"AZ")</f>
        <v>NS0084AZ</v>
      </c>
      <c r="AR246" s="9" t="str">
        <f>CONCATENATE(Q246," ",R246," ",S246)</f>
        <v>RAQUEL MENÉNDEZ ROJO</v>
      </c>
      <c r="AS246" s="9"/>
      <c r="AT246" s="162" t="str">
        <f t="shared" si="5"/>
        <v>NS0084AZ-RAQUEL MENÉNDEZ ROJO</v>
      </c>
      <c r="AU246" s="9" t="str">
        <f>U246</f>
        <v>53540850R</v>
      </c>
      <c r="AV246" s="116"/>
      <c r="AW246" s="9" t="str">
        <f>CONCATENATE(AH246,AI246,AJ246,AK246,AL246)</f>
        <v>ES8520480106303404001272</v>
      </c>
      <c r="AZ246" s="159">
        <v>43118</v>
      </c>
    </row>
    <row r="247" spans="1:52" ht="15" customHeight="1" x14ac:dyDescent="0.25">
      <c r="A247" s="72">
        <v>245</v>
      </c>
      <c r="B247" s="80"/>
      <c r="C247" s="156" t="s">
        <v>1642</v>
      </c>
      <c r="D247" s="81"/>
      <c r="E247" s="6"/>
      <c r="F247" s="6"/>
      <c r="G247" s="6"/>
      <c r="H247" s="4"/>
      <c r="I247" s="166"/>
      <c r="J247" s="6"/>
      <c r="K247" s="6"/>
      <c r="L247" s="6"/>
      <c r="M247" s="91"/>
      <c r="N247" s="91"/>
      <c r="O247" s="91"/>
      <c r="P247" s="6"/>
      <c r="Q247" s="92"/>
      <c r="R247" s="92"/>
      <c r="S247" s="92"/>
      <c r="T247" s="6"/>
      <c r="U247" s="6"/>
      <c r="V247" s="6"/>
      <c r="W247" s="4"/>
      <c r="X247" s="6"/>
      <c r="Y247" s="6"/>
      <c r="Z247" s="92"/>
      <c r="AA247" s="6"/>
      <c r="AB247" s="6"/>
      <c r="AC247" s="6"/>
      <c r="AD247" s="6"/>
      <c r="AE247" s="6"/>
      <c r="AF247" s="6"/>
      <c r="AG247" s="93"/>
      <c r="AH247" s="110"/>
      <c r="AI247" s="110"/>
      <c r="AJ247" s="110"/>
      <c r="AK247" s="110"/>
      <c r="AL247" s="110"/>
      <c r="AM247" s="84"/>
      <c r="AN247" s="85">
        <v>30</v>
      </c>
      <c r="AO247" s="85"/>
      <c r="AP247" s="117" t="str">
        <f>C247</f>
        <v>0085</v>
      </c>
      <c r="AR247" s="9"/>
      <c r="AS247" s="9"/>
      <c r="AT247" s="162" t="str">
        <f t="shared" si="5"/>
        <v>-</v>
      </c>
      <c r="AU247" s="9"/>
      <c r="AV247" s="116"/>
    </row>
    <row r="248" spans="1:52" ht="15" customHeight="1" x14ac:dyDescent="0.25">
      <c r="A248" s="72">
        <v>246</v>
      </c>
      <c r="B248" s="80"/>
      <c r="C248" s="157" t="s">
        <v>1717</v>
      </c>
      <c r="D248" s="5" t="s">
        <v>766</v>
      </c>
      <c r="E248" s="5" t="s">
        <v>729</v>
      </c>
      <c r="F248" s="5" t="s">
        <v>1312</v>
      </c>
      <c r="G248" s="5" t="s">
        <v>811</v>
      </c>
      <c r="H248" s="2"/>
      <c r="I248" s="165">
        <v>43102</v>
      </c>
      <c r="J248" s="5" t="s">
        <v>581</v>
      </c>
      <c r="K248" s="5" t="s">
        <v>1229</v>
      </c>
      <c r="L248" s="5" t="s">
        <v>1231</v>
      </c>
      <c r="M248" s="5" t="str">
        <f>CONCATENATE(K248," ",L248)</f>
        <v>ASCAZ HOSPITALARIA</v>
      </c>
      <c r="N248" s="5"/>
      <c r="O248" s="5"/>
      <c r="P248" s="90" t="s">
        <v>3</v>
      </c>
      <c r="Q248" s="87" t="s">
        <v>1133</v>
      </c>
      <c r="R248" s="87" t="s">
        <v>167</v>
      </c>
      <c r="S248" s="87" t="s">
        <v>1158</v>
      </c>
      <c r="T248" s="5" t="s">
        <v>2</v>
      </c>
      <c r="U248" s="5" t="s">
        <v>166</v>
      </c>
      <c r="V248" s="5" t="s">
        <v>646</v>
      </c>
      <c r="W248" s="2">
        <v>26458</v>
      </c>
      <c r="X248" s="7">
        <f ca="1">YEAR($X$1)-YEAR(W248)</f>
        <v>46</v>
      </c>
      <c r="Y248" s="5" t="s">
        <v>165</v>
      </c>
      <c r="Z248" s="87" t="s">
        <v>164</v>
      </c>
      <c r="AA248" s="5">
        <v>18</v>
      </c>
      <c r="AB248" s="5"/>
      <c r="AC248" s="5" t="s">
        <v>0</v>
      </c>
      <c r="AD248" s="5" t="s">
        <v>163</v>
      </c>
      <c r="AE248" s="5">
        <v>33592</v>
      </c>
      <c r="AF248" s="5" t="s">
        <v>162</v>
      </c>
      <c r="AG248" s="153" t="s">
        <v>1057</v>
      </c>
      <c r="AH248" s="105" t="s">
        <v>161</v>
      </c>
      <c r="AI248" s="105">
        <v>3059</v>
      </c>
      <c r="AJ248" s="105" t="s">
        <v>44</v>
      </c>
      <c r="AK248" s="105">
        <v>93</v>
      </c>
      <c r="AL248" s="105">
        <v>1542269319</v>
      </c>
      <c r="AM248" s="84"/>
      <c r="AN248" s="8"/>
      <c r="AO248" s="89">
        <v>10</v>
      </c>
      <c r="AQ248" s="116" t="str">
        <f>CONCATENATE("NS",C247,"AZ")</f>
        <v>NS0085AZ</v>
      </c>
      <c r="AR248" s="9" t="str">
        <f>CONCATENATE(Q248," ",R248," ",S248)</f>
        <v>MARÍA TERESA RUISANCHEZ LÓPEZ</v>
      </c>
      <c r="AS248" s="9"/>
      <c r="AT248" s="162" t="str">
        <f t="shared" si="5"/>
        <v>NS0085AZ-MARÍA TERESA RUISANCHEZ LÓPEZ</v>
      </c>
      <c r="AU248" s="9" t="str">
        <f>U248</f>
        <v>9399703V</v>
      </c>
      <c r="AV248" s="116"/>
      <c r="AW248" s="9" t="str">
        <f>CONCATENATE(AH248,AI248,AJ248,AK248,AL248)</f>
        <v>ES3130590003931542269319</v>
      </c>
      <c r="AZ248" s="159">
        <v>43102</v>
      </c>
    </row>
    <row r="249" spans="1:52" ht="15" customHeight="1" x14ac:dyDescent="0.25">
      <c r="A249" s="72">
        <v>247</v>
      </c>
      <c r="B249" s="80"/>
      <c r="C249" s="156" t="s">
        <v>1643</v>
      </c>
      <c r="D249" s="81"/>
      <c r="E249" s="6"/>
      <c r="F249" s="6"/>
      <c r="G249" s="6"/>
      <c r="H249" s="4"/>
      <c r="I249" s="166"/>
      <c r="J249" s="6"/>
      <c r="K249" s="6"/>
      <c r="L249" s="6"/>
      <c r="M249" s="91"/>
      <c r="N249" s="91"/>
      <c r="O249" s="91"/>
      <c r="P249" s="6"/>
      <c r="Q249" s="92"/>
      <c r="R249" s="92"/>
      <c r="S249" s="92"/>
      <c r="T249" s="6"/>
      <c r="U249" s="6"/>
      <c r="V249" s="6"/>
      <c r="W249" s="4"/>
      <c r="X249" s="6"/>
      <c r="Y249" s="6"/>
      <c r="Z249" s="92"/>
      <c r="AA249" s="6"/>
      <c r="AB249" s="6"/>
      <c r="AC249" s="6"/>
      <c r="AD249" s="6"/>
      <c r="AE249" s="6"/>
      <c r="AF249" s="6"/>
      <c r="AG249" s="93"/>
      <c r="AH249" s="110"/>
      <c r="AI249" s="110"/>
      <c r="AJ249" s="110"/>
      <c r="AK249" s="110"/>
      <c r="AL249" s="110"/>
      <c r="AM249" s="84"/>
      <c r="AN249" s="85">
        <v>30</v>
      </c>
      <c r="AO249" s="85"/>
      <c r="AP249" s="117" t="str">
        <f>C249</f>
        <v>0086</v>
      </c>
      <c r="AR249" s="9"/>
      <c r="AS249" s="9"/>
      <c r="AT249" s="162" t="str">
        <f t="shared" si="5"/>
        <v>-</v>
      </c>
      <c r="AU249" s="9"/>
      <c r="AV249" s="116"/>
    </row>
    <row r="250" spans="1:52" ht="15" customHeight="1" x14ac:dyDescent="0.25">
      <c r="A250" s="72">
        <v>248</v>
      </c>
      <c r="B250" s="80"/>
      <c r="C250" s="157" t="s">
        <v>1717</v>
      </c>
      <c r="D250" s="5" t="s">
        <v>767</v>
      </c>
      <c r="E250" s="5" t="s">
        <v>729</v>
      </c>
      <c r="F250" s="5"/>
      <c r="G250" s="5" t="s">
        <v>811</v>
      </c>
      <c r="H250" s="2"/>
      <c r="I250" s="165">
        <v>43102</v>
      </c>
      <c r="J250" s="5" t="s">
        <v>581</v>
      </c>
      <c r="K250" s="5" t="s">
        <v>1229</v>
      </c>
      <c r="L250" s="5" t="s">
        <v>1231</v>
      </c>
      <c r="M250" s="5" t="str">
        <f>CONCATENATE(K250," ",L250)</f>
        <v>ASCAZ HOSPITALARIA</v>
      </c>
      <c r="N250" s="5"/>
      <c r="O250" s="5"/>
      <c r="P250" s="90" t="s">
        <v>3</v>
      </c>
      <c r="Q250" s="87" t="s">
        <v>1134</v>
      </c>
      <c r="R250" s="87" t="s">
        <v>1147</v>
      </c>
      <c r="S250" s="87" t="s">
        <v>160</v>
      </c>
      <c r="T250" s="5" t="s">
        <v>2</v>
      </c>
      <c r="U250" s="5" t="s">
        <v>159</v>
      </c>
      <c r="V250" s="5" t="s">
        <v>646</v>
      </c>
      <c r="W250" s="2">
        <v>25037</v>
      </c>
      <c r="X250" s="7">
        <f ca="1">YEAR($X$1)-YEAR(W250)</f>
        <v>50</v>
      </c>
      <c r="Y250" s="5" t="s">
        <v>1</v>
      </c>
      <c r="Z250" s="87" t="s">
        <v>158</v>
      </c>
      <c r="AA250" s="5">
        <v>15</v>
      </c>
      <c r="AB250" s="5" t="s">
        <v>157</v>
      </c>
      <c r="AC250" s="5" t="s">
        <v>0</v>
      </c>
      <c r="AD250" s="5" t="s">
        <v>7</v>
      </c>
      <c r="AE250" s="5">
        <v>33010</v>
      </c>
      <c r="AF250" s="5">
        <v>654842421</v>
      </c>
      <c r="AG250" s="88" t="s">
        <v>1058</v>
      </c>
      <c r="AH250" s="105" t="s">
        <v>156</v>
      </c>
      <c r="AI250" s="105" t="s">
        <v>17</v>
      </c>
      <c r="AJ250" s="105">
        <v>5697</v>
      </c>
      <c r="AK250" s="105">
        <v>95</v>
      </c>
      <c r="AL250" s="105">
        <v>2895007633</v>
      </c>
      <c r="AM250" s="84"/>
      <c r="AN250" s="8"/>
      <c r="AO250" s="89">
        <v>10</v>
      </c>
      <c r="AQ250" s="116" t="str">
        <f>CONCATENATE("NS",C249,"AZ")</f>
        <v>NS0086AZ</v>
      </c>
      <c r="AR250" s="9" t="str">
        <f>CONCATENATE(Q250," ",R250," ",S250)</f>
        <v>ROSA MARÍA GUTIÉRREZ SECADES</v>
      </c>
      <c r="AS250" s="9"/>
      <c r="AT250" s="162" t="str">
        <f t="shared" si="5"/>
        <v>NS0086AZ-ROSA MARÍA GUTIÉRREZ SECADES</v>
      </c>
      <c r="AU250" s="9" t="str">
        <f>U250</f>
        <v>11420374T</v>
      </c>
      <c r="AV250" s="116"/>
      <c r="AW250" s="9" t="str">
        <f>CONCATENATE(AH250,AI250,AJ250,AK250,AL250)</f>
        <v>ES4200495697952895007633</v>
      </c>
      <c r="AZ250" s="159">
        <v>43102</v>
      </c>
    </row>
    <row r="251" spans="1:52" ht="15" customHeight="1" x14ac:dyDescent="0.25">
      <c r="A251" s="72">
        <v>249</v>
      </c>
      <c r="B251" s="80"/>
      <c r="C251" s="156" t="s">
        <v>1644</v>
      </c>
      <c r="D251" s="81"/>
      <c r="E251" s="6"/>
      <c r="F251" s="6"/>
      <c r="G251" s="6"/>
      <c r="H251" s="4"/>
      <c r="I251" s="166"/>
      <c r="J251" s="6"/>
      <c r="K251" s="6"/>
      <c r="L251" s="6"/>
      <c r="M251" s="91"/>
      <c r="N251" s="91"/>
      <c r="O251" s="91"/>
      <c r="P251" s="6"/>
      <c r="Q251" s="92"/>
      <c r="R251" s="92"/>
      <c r="S251" s="92"/>
      <c r="T251" s="6"/>
      <c r="U251" s="6"/>
      <c r="V251" s="6"/>
      <c r="W251" s="4"/>
      <c r="X251" s="6"/>
      <c r="Y251" s="6"/>
      <c r="Z251" s="92"/>
      <c r="AA251" s="6"/>
      <c r="AB251" s="6"/>
      <c r="AC251" s="6"/>
      <c r="AD251" s="6"/>
      <c r="AE251" s="6"/>
      <c r="AF251" s="6"/>
      <c r="AG251" s="93"/>
      <c r="AH251" s="110"/>
      <c r="AI251" s="110"/>
      <c r="AJ251" s="110"/>
      <c r="AK251" s="110"/>
      <c r="AL251" s="110"/>
      <c r="AM251" s="84"/>
      <c r="AN251" s="85">
        <v>30</v>
      </c>
      <c r="AO251" s="85"/>
      <c r="AP251" s="117" t="str">
        <f>C251</f>
        <v>0087</v>
      </c>
      <c r="AR251" s="9"/>
      <c r="AS251" s="9"/>
      <c r="AT251" s="162" t="str">
        <f t="shared" si="5"/>
        <v>-</v>
      </c>
      <c r="AU251" s="9"/>
      <c r="AV251" s="116"/>
    </row>
    <row r="252" spans="1:52" ht="15" customHeight="1" x14ac:dyDescent="0.25">
      <c r="A252" s="72">
        <v>250</v>
      </c>
      <c r="B252" s="80"/>
      <c r="C252" s="157" t="s">
        <v>1717</v>
      </c>
      <c r="D252" s="5" t="s">
        <v>768</v>
      </c>
      <c r="E252" s="5" t="s">
        <v>729</v>
      </c>
      <c r="F252" s="5" t="s">
        <v>1192</v>
      </c>
      <c r="G252" s="5" t="s">
        <v>811</v>
      </c>
      <c r="H252" s="2"/>
      <c r="I252" s="165">
        <v>43131</v>
      </c>
      <c r="J252" s="5" t="s">
        <v>581</v>
      </c>
      <c r="K252" s="5" t="s">
        <v>1229</v>
      </c>
      <c r="L252" s="5" t="s">
        <v>1231</v>
      </c>
      <c r="M252" s="5" t="str">
        <f>CONCATENATE(K252," ",L252)</f>
        <v>ASCAZ HOSPITALARIA</v>
      </c>
      <c r="N252" s="5"/>
      <c r="O252" s="5"/>
      <c r="P252" s="90" t="s">
        <v>3</v>
      </c>
      <c r="Q252" s="87" t="s">
        <v>1059</v>
      </c>
      <c r="R252" s="87" t="s">
        <v>297</v>
      </c>
      <c r="S252" s="87" t="s">
        <v>228</v>
      </c>
      <c r="T252" s="5" t="s">
        <v>2</v>
      </c>
      <c r="U252" s="5" t="s">
        <v>16</v>
      </c>
      <c r="V252" s="5" t="s">
        <v>665</v>
      </c>
      <c r="W252" s="2">
        <v>28185</v>
      </c>
      <c r="X252" s="7">
        <f ca="1">YEAR($X$1)-YEAR(W252)</f>
        <v>41</v>
      </c>
      <c r="Y252" s="5" t="s">
        <v>1</v>
      </c>
      <c r="Z252" s="87" t="s">
        <v>993</v>
      </c>
      <c r="AA252" s="5">
        <v>71</v>
      </c>
      <c r="AB252" s="5" t="s">
        <v>15</v>
      </c>
      <c r="AC252" s="5" t="s">
        <v>0</v>
      </c>
      <c r="AD252" s="5" t="s">
        <v>31</v>
      </c>
      <c r="AE252" s="5">
        <v>33203</v>
      </c>
      <c r="AF252" s="5">
        <v>615955970</v>
      </c>
      <c r="AG252" s="88" t="s">
        <v>1060</v>
      </c>
      <c r="AH252" s="105" t="s">
        <v>14</v>
      </c>
      <c r="AI252" s="105" t="s">
        <v>13</v>
      </c>
      <c r="AJ252" s="105">
        <v>5652</v>
      </c>
      <c r="AK252" s="105">
        <v>18</v>
      </c>
      <c r="AL252" s="105" t="s">
        <v>12</v>
      </c>
      <c r="AM252" s="84"/>
      <c r="AN252" s="8"/>
      <c r="AO252" s="89">
        <v>10</v>
      </c>
      <c r="AQ252" s="116" t="str">
        <f>CONCATENATE("NS",C251,"AZ")</f>
        <v>NS0087AZ</v>
      </c>
      <c r="AR252" s="9" t="str">
        <f>CONCATENATE(Q252," ",R252," ",S252)</f>
        <v>ROBERTO SUÁREZ SIERRA</v>
      </c>
      <c r="AS252" s="9"/>
      <c r="AT252" s="162" t="str">
        <f t="shared" si="5"/>
        <v>NS0087AZ-ROBERTO SUÁREZ SIERRA</v>
      </c>
      <c r="AU252" s="9" t="str">
        <f>U252</f>
        <v>71701721A</v>
      </c>
      <c r="AV252" s="116"/>
      <c r="AW252" s="9" t="str">
        <f>CONCATENATE(AH252,AI252,AJ252,AK252,AL252)</f>
        <v>ES3000815652180006233936</v>
      </c>
      <c r="AZ252" s="159">
        <v>43131</v>
      </c>
    </row>
    <row r="253" spans="1:52" ht="15" customHeight="1" x14ac:dyDescent="0.25">
      <c r="A253" s="72">
        <v>251</v>
      </c>
      <c r="B253" s="80"/>
      <c r="C253" s="157" t="s">
        <v>1717</v>
      </c>
      <c r="D253" s="5" t="s">
        <v>769</v>
      </c>
      <c r="E253" s="5" t="s">
        <v>729</v>
      </c>
      <c r="F253" s="5" t="s">
        <v>1192</v>
      </c>
      <c r="G253" s="5" t="s">
        <v>811</v>
      </c>
      <c r="H253" s="2"/>
      <c r="I253" s="165"/>
      <c r="J253" s="5" t="s">
        <v>581</v>
      </c>
      <c r="K253" s="5" t="s">
        <v>1229</v>
      </c>
      <c r="L253" s="5" t="s">
        <v>1231</v>
      </c>
      <c r="M253" s="5" t="str">
        <f>CONCATENATE(K253," ",L253)</f>
        <v>ASCAZ HOSPITALARIA</v>
      </c>
      <c r="N253" s="5"/>
      <c r="O253" s="5"/>
      <c r="P253" s="5" t="s">
        <v>43</v>
      </c>
      <c r="Q253" s="87" t="s">
        <v>1061</v>
      </c>
      <c r="R253" s="87" t="s">
        <v>1062</v>
      </c>
      <c r="S253" s="87" t="s">
        <v>1063</v>
      </c>
      <c r="T253" s="5" t="s">
        <v>2</v>
      </c>
      <c r="U253" s="5" t="s">
        <v>155</v>
      </c>
      <c r="V253" s="5" t="s">
        <v>646</v>
      </c>
      <c r="W253" s="2">
        <v>28345</v>
      </c>
      <c r="X253" s="7">
        <f ca="1">YEAR($X$1)-YEAR(W253)</f>
        <v>41</v>
      </c>
      <c r="Y253" s="5"/>
      <c r="Z253" s="87"/>
      <c r="AA253" s="5"/>
      <c r="AB253" s="5"/>
      <c r="AC253" s="5"/>
      <c r="AD253" s="5"/>
      <c r="AE253" s="5"/>
      <c r="AF253" s="5"/>
      <c r="AG253" s="88"/>
      <c r="AH253" s="105"/>
      <c r="AI253" s="105"/>
      <c r="AJ253" s="105"/>
      <c r="AK253" s="105"/>
      <c r="AL253" s="105"/>
      <c r="AM253" s="84"/>
      <c r="AN253" s="8"/>
      <c r="AO253" s="89">
        <v>10</v>
      </c>
      <c r="AR253" s="9"/>
      <c r="AS253" s="9"/>
      <c r="AT253" s="162" t="str">
        <f t="shared" si="5"/>
        <v>-</v>
      </c>
      <c r="AU253" s="9"/>
      <c r="AV253" s="116"/>
    </row>
    <row r="254" spans="1:52" ht="15" customHeight="1" x14ac:dyDescent="0.25">
      <c r="A254" s="72">
        <v>252</v>
      </c>
      <c r="B254" s="80"/>
      <c r="C254" s="157" t="s">
        <v>1717</v>
      </c>
      <c r="D254" s="5" t="s">
        <v>771</v>
      </c>
      <c r="E254" s="5" t="s">
        <v>729</v>
      </c>
      <c r="F254" s="5" t="s">
        <v>1192</v>
      </c>
      <c r="G254" s="5" t="s">
        <v>811</v>
      </c>
      <c r="H254" s="2"/>
      <c r="I254" s="165"/>
      <c r="J254" s="5" t="s">
        <v>581</v>
      </c>
      <c r="K254" s="5" t="s">
        <v>1229</v>
      </c>
      <c r="L254" s="5" t="s">
        <v>1230</v>
      </c>
      <c r="M254" s="5" t="str">
        <f>CONCATENATE(K254," ",L254)</f>
        <v>ASCAZ AMBULATORIA</v>
      </c>
      <c r="N254" s="5"/>
      <c r="O254" s="5"/>
      <c r="P254" s="90" t="s">
        <v>815</v>
      </c>
      <c r="Q254" s="87" t="s">
        <v>1064</v>
      </c>
      <c r="R254" s="87" t="s">
        <v>297</v>
      </c>
      <c r="S254" s="87" t="s">
        <v>1062</v>
      </c>
      <c r="T254" s="5"/>
      <c r="U254" s="5"/>
      <c r="V254" s="5" t="s">
        <v>665</v>
      </c>
      <c r="W254" s="2">
        <v>42109</v>
      </c>
      <c r="X254" s="7">
        <f ca="1">YEAR($X$1)-YEAR(W254)</f>
        <v>3</v>
      </c>
      <c r="Y254" s="5"/>
      <c r="Z254" s="87"/>
      <c r="AA254" s="5"/>
      <c r="AB254" s="5"/>
      <c r="AC254" s="5"/>
      <c r="AD254" s="5"/>
      <c r="AE254" s="5"/>
      <c r="AF254" s="5"/>
      <c r="AG254" s="88"/>
      <c r="AH254" s="105"/>
      <c r="AI254" s="105"/>
      <c r="AJ254" s="105"/>
      <c r="AK254" s="105"/>
      <c r="AL254" s="105"/>
      <c r="AM254" s="84"/>
      <c r="AN254" s="8"/>
      <c r="AO254" s="89">
        <v>10</v>
      </c>
      <c r="AR254" s="9"/>
      <c r="AS254" s="9"/>
      <c r="AT254" s="162" t="str">
        <f t="shared" si="5"/>
        <v>-</v>
      </c>
      <c r="AU254" s="9"/>
      <c r="AV254" s="116"/>
    </row>
    <row r="255" spans="1:52" ht="15" customHeight="1" x14ac:dyDescent="0.25">
      <c r="A255" s="72">
        <v>253</v>
      </c>
      <c r="B255" s="80"/>
      <c r="C255" s="156" t="s">
        <v>1645</v>
      </c>
      <c r="D255" s="81"/>
      <c r="E255" s="6"/>
      <c r="F255" s="6"/>
      <c r="G255" s="6"/>
      <c r="H255" s="4"/>
      <c r="I255" s="166"/>
      <c r="J255" s="6"/>
      <c r="K255" s="6"/>
      <c r="L255" s="6"/>
      <c r="M255" s="91"/>
      <c r="N255" s="91"/>
      <c r="O255" s="91"/>
      <c r="P255" s="6"/>
      <c r="Q255" s="92"/>
      <c r="R255" s="92"/>
      <c r="S255" s="92"/>
      <c r="T255" s="6"/>
      <c r="U255" s="6"/>
      <c r="V255" s="6"/>
      <c r="W255" s="4"/>
      <c r="X255" s="6"/>
      <c r="Y255" s="6"/>
      <c r="Z255" s="92"/>
      <c r="AA255" s="6"/>
      <c r="AB255" s="6"/>
      <c r="AC255" s="6"/>
      <c r="AD255" s="6"/>
      <c r="AE255" s="6"/>
      <c r="AF255" s="6"/>
      <c r="AG255" s="93"/>
      <c r="AH255" s="110"/>
      <c r="AI255" s="110"/>
      <c r="AJ255" s="110"/>
      <c r="AK255" s="110"/>
      <c r="AL255" s="110"/>
      <c r="AM255" s="84"/>
      <c r="AN255" s="85">
        <v>30</v>
      </c>
      <c r="AO255" s="85"/>
      <c r="AP255" s="117" t="str">
        <f>C255</f>
        <v>0088</v>
      </c>
      <c r="AR255" s="9"/>
      <c r="AS255" s="9"/>
      <c r="AT255" s="162" t="str">
        <f t="shared" si="5"/>
        <v>-</v>
      </c>
      <c r="AU255" s="9"/>
      <c r="AV255" s="116"/>
    </row>
    <row r="256" spans="1:52" ht="15" customHeight="1" x14ac:dyDescent="0.25">
      <c r="A256" s="72">
        <v>254</v>
      </c>
      <c r="B256" s="80"/>
      <c r="C256" s="157" t="s">
        <v>1717</v>
      </c>
      <c r="D256" s="5" t="s">
        <v>770</v>
      </c>
      <c r="E256" s="5" t="s">
        <v>729</v>
      </c>
      <c r="F256" s="5"/>
      <c r="G256" s="5" t="s">
        <v>811</v>
      </c>
      <c r="H256" s="2"/>
      <c r="I256" s="165">
        <v>43097</v>
      </c>
      <c r="J256" s="5" t="s">
        <v>581</v>
      </c>
      <c r="K256" s="5" t="s">
        <v>1229</v>
      </c>
      <c r="L256" s="5" t="s">
        <v>1231</v>
      </c>
      <c r="M256" s="5" t="str">
        <f>CONCATENATE(K256," ",L256)</f>
        <v>ASCAZ HOSPITALARIA</v>
      </c>
      <c r="N256" s="5"/>
      <c r="O256" s="5"/>
      <c r="P256" s="90" t="s">
        <v>154</v>
      </c>
      <c r="Q256" s="87" t="s">
        <v>153</v>
      </c>
      <c r="R256" s="87" t="s">
        <v>22</v>
      </c>
      <c r="S256" s="87" t="s">
        <v>1146</v>
      </c>
      <c r="T256" s="5" t="s">
        <v>2</v>
      </c>
      <c r="U256" s="5" t="s">
        <v>152</v>
      </c>
      <c r="V256" s="5" t="s">
        <v>665</v>
      </c>
      <c r="W256" s="2">
        <v>30595</v>
      </c>
      <c r="X256" s="7">
        <f ca="1">YEAR($X$1)-YEAR(W256)</f>
        <v>35</v>
      </c>
      <c r="Y256" s="5" t="s">
        <v>1</v>
      </c>
      <c r="Z256" s="87" t="s">
        <v>151</v>
      </c>
      <c r="AA256" s="5">
        <v>50</v>
      </c>
      <c r="AB256" s="5" t="s">
        <v>150</v>
      </c>
      <c r="AC256" s="5" t="s">
        <v>0</v>
      </c>
      <c r="AD256" s="5" t="s">
        <v>7</v>
      </c>
      <c r="AE256" s="5">
        <v>33010</v>
      </c>
      <c r="AF256" s="5">
        <v>619069726</v>
      </c>
      <c r="AG256" s="88" t="s">
        <v>149</v>
      </c>
      <c r="AH256" s="105" t="s">
        <v>103</v>
      </c>
      <c r="AI256" s="105" t="s">
        <v>28</v>
      </c>
      <c r="AJ256" s="105" t="s">
        <v>148</v>
      </c>
      <c r="AK256" s="105">
        <v>39</v>
      </c>
      <c r="AL256" s="105" t="s">
        <v>147</v>
      </c>
      <c r="AM256" s="84"/>
      <c r="AN256" s="8"/>
      <c r="AO256" s="89">
        <v>10</v>
      </c>
      <c r="AQ256" s="116" t="str">
        <f>CONCATENATE("NS",C255,"AZ")</f>
        <v>NS0088AZ</v>
      </c>
      <c r="AR256" s="9" t="str">
        <f>CONCATENATE(Q256," ",R256," ",S256)</f>
        <v>ANGEL SANTIAGO GONZÁLEZ</v>
      </c>
      <c r="AS256" s="9"/>
      <c r="AT256" s="162" t="str">
        <f t="shared" si="5"/>
        <v>NS0088AZ-ANGEL SANTIAGO GONZÁLEZ</v>
      </c>
      <c r="AU256" s="9" t="str">
        <f>U256</f>
        <v>72065905M</v>
      </c>
      <c r="AV256" s="116"/>
      <c r="AW256" s="9" t="str">
        <f>CONCATENATE(AH256,AI256,AJ256,AK256,AL256)</f>
        <v>ES9001820681390201601546</v>
      </c>
      <c r="AZ256" s="159">
        <v>43097</v>
      </c>
    </row>
    <row r="257" spans="1:52" ht="15" customHeight="1" x14ac:dyDescent="0.25">
      <c r="A257" s="72">
        <v>255</v>
      </c>
      <c r="B257" s="80"/>
      <c r="C257" s="156" t="s">
        <v>1646</v>
      </c>
      <c r="D257" s="81"/>
      <c r="E257" s="6"/>
      <c r="F257" s="6"/>
      <c r="G257" s="6"/>
      <c r="H257" s="4"/>
      <c r="I257" s="166"/>
      <c r="J257" s="6"/>
      <c r="K257" s="6"/>
      <c r="L257" s="6"/>
      <c r="M257" s="91"/>
      <c r="N257" s="91"/>
      <c r="O257" s="91"/>
      <c r="P257" s="6"/>
      <c r="Q257" s="92"/>
      <c r="R257" s="92"/>
      <c r="S257" s="92"/>
      <c r="T257" s="6"/>
      <c r="U257" s="6"/>
      <c r="V257" s="6"/>
      <c r="W257" s="4"/>
      <c r="X257" s="6"/>
      <c r="Y257" s="6"/>
      <c r="Z257" s="92"/>
      <c r="AA257" s="6"/>
      <c r="AB257" s="6"/>
      <c r="AC257" s="6"/>
      <c r="AD257" s="6"/>
      <c r="AE257" s="6"/>
      <c r="AF257" s="6"/>
      <c r="AG257" s="93"/>
      <c r="AH257" s="110"/>
      <c r="AI257" s="110"/>
      <c r="AJ257" s="110"/>
      <c r="AK257" s="110"/>
      <c r="AL257" s="110"/>
      <c r="AM257" s="84"/>
      <c r="AN257" s="85">
        <v>30</v>
      </c>
      <c r="AO257" s="85"/>
      <c r="AP257" s="117" t="str">
        <f>C257</f>
        <v>0089</v>
      </c>
      <c r="AR257" s="9"/>
      <c r="AS257" s="9"/>
      <c r="AT257" s="162" t="str">
        <f t="shared" si="5"/>
        <v>-</v>
      </c>
      <c r="AU257" s="9"/>
      <c r="AV257" s="116"/>
    </row>
    <row r="258" spans="1:52" ht="15" customHeight="1" x14ac:dyDescent="0.25">
      <c r="A258" s="72">
        <v>256</v>
      </c>
      <c r="B258" s="80"/>
      <c r="C258" s="157" t="s">
        <v>1717</v>
      </c>
      <c r="D258" s="5" t="s">
        <v>772</v>
      </c>
      <c r="E258" s="5" t="s">
        <v>729</v>
      </c>
      <c r="F258" s="5" t="s">
        <v>732</v>
      </c>
      <c r="G258" s="5" t="s">
        <v>811</v>
      </c>
      <c r="H258" s="2"/>
      <c r="I258" s="165">
        <v>43146</v>
      </c>
      <c r="J258" s="5" t="s">
        <v>581</v>
      </c>
      <c r="K258" s="5" t="s">
        <v>1229</v>
      </c>
      <c r="L258" s="5" t="s">
        <v>1231</v>
      </c>
      <c r="M258" s="5" t="str">
        <f>CONCATENATE(K258," ",L258)</f>
        <v>ASCAZ HOSPITALARIA</v>
      </c>
      <c r="N258" s="5"/>
      <c r="O258" s="5"/>
      <c r="P258" s="90" t="s">
        <v>3</v>
      </c>
      <c r="Q258" s="87" t="s">
        <v>1124</v>
      </c>
      <c r="R258" s="87" t="s">
        <v>146</v>
      </c>
      <c r="S258" s="87" t="s">
        <v>291</v>
      </c>
      <c r="T258" s="5" t="s">
        <v>2</v>
      </c>
      <c r="U258" s="5" t="s">
        <v>145</v>
      </c>
      <c r="V258" s="5" t="s">
        <v>646</v>
      </c>
      <c r="W258" s="2">
        <v>31084</v>
      </c>
      <c r="X258" s="7">
        <f ca="1">YEAR($X$1)-YEAR(W258)</f>
        <v>33</v>
      </c>
      <c r="Y258" s="5" t="s">
        <v>1</v>
      </c>
      <c r="Z258" s="87" t="s">
        <v>144</v>
      </c>
      <c r="AA258" s="5">
        <v>23</v>
      </c>
      <c r="AB258" s="5" t="s">
        <v>143</v>
      </c>
      <c r="AC258" s="5" t="s">
        <v>0</v>
      </c>
      <c r="AD258" s="5" t="s">
        <v>7</v>
      </c>
      <c r="AE258" s="5">
        <v>33012</v>
      </c>
      <c r="AF258" s="5">
        <v>699019008</v>
      </c>
      <c r="AG258" s="88" t="s">
        <v>142</v>
      </c>
      <c r="AH258" s="105" t="s">
        <v>141</v>
      </c>
      <c r="AI258" s="105">
        <v>1465</v>
      </c>
      <c r="AJ258" s="105" t="s">
        <v>140</v>
      </c>
      <c r="AK258" s="105">
        <v>17</v>
      </c>
      <c r="AL258" s="105">
        <v>1714953913</v>
      </c>
      <c r="AM258" s="84"/>
      <c r="AN258" s="8"/>
      <c r="AO258" s="89">
        <v>10</v>
      </c>
      <c r="AQ258" s="116" t="str">
        <f>CONCATENATE("NS",C257,"AZ")</f>
        <v>NS0089AZ</v>
      </c>
      <c r="AR258" s="9" t="str">
        <f>CONCATENATE(Q258," ",R258," ",S258)</f>
        <v>EVA MARÍA ALBA RODRÍGUEZ</v>
      </c>
      <c r="AS258" s="9"/>
      <c r="AT258" s="162" t="str">
        <f t="shared" si="5"/>
        <v>NS0089AZ-EVA MARÍA ALBA RODRÍGUEZ</v>
      </c>
      <c r="AU258" s="9" t="str">
        <f>U258</f>
        <v>71664232G</v>
      </c>
      <c r="AV258" s="116"/>
      <c r="AW258" s="9" t="str">
        <f>CONCATENATE(AH258,AI258,AJ258,AK258,AL258)</f>
        <v>ES4014650360171714953913</v>
      </c>
      <c r="AZ258" s="159">
        <v>43146</v>
      </c>
    </row>
    <row r="259" spans="1:52" ht="15" customHeight="1" x14ac:dyDescent="0.25">
      <c r="A259" s="72">
        <v>257</v>
      </c>
      <c r="B259" s="80"/>
      <c r="C259" s="156" t="s">
        <v>1647</v>
      </c>
      <c r="D259" s="81"/>
      <c r="E259" s="6"/>
      <c r="F259" s="6"/>
      <c r="G259" s="6"/>
      <c r="H259" s="4"/>
      <c r="I259" s="166"/>
      <c r="J259" s="6"/>
      <c r="K259" s="6"/>
      <c r="L259" s="6"/>
      <c r="M259" s="91"/>
      <c r="N259" s="91"/>
      <c r="O259" s="91"/>
      <c r="P259" s="6"/>
      <c r="Q259" s="92"/>
      <c r="R259" s="92"/>
      <c r="S259" s="92"/>
      <c r="T259" s="6"/>
      <c r="U259" s="6"/>
      <c r="V259" s="6"/>
      <c r="W259" s="4"/>
      <c r="X259" s="6"/>
      <c r="Y259" s="6"/>
      <c r="Z259" s="92"/>
      <c r="AA259" s="6"/>
      <c r="AB259" s="6"/>
      <c r="AC259" s="6"/>
      <c r="AD259" s="6"/>
      <c r="AE259" s="6"/>
      <c r="AF259" s="6"/>
      <c r="AG259" s="93"/>
      <c r="AH259" s="110"/>
      <c r="AI259" s="110"/>
      <c r="AJ259" s="110"/>
      <c r="AK259" s="110"/>
      <c r="AL259" s="110"/>
      <c r="AM259" s="84"/>
      <c r="AN259" s="85">
        <v>30</v>
      </c>
      <c r="AO259" s="85"/>
      <c r="AP259" s="117" t="str">
        <f>C259</f>
        <v>0090</v>
      </c>
      <c r="AR259" s="9"/>
      <c r="AS259" s="9"/>
      <c r="AT259" s="162" t="str">
        <f t="shared" si="5"/>
        <v>-</v>
      </c>
      <c r="AU259" s="9"/>
      <c r="AV259" s="116"/>
    </row>
    <row r="260" spans="1:52" ht="15" customHeight="1" x14ac:dyDescent="0.25">
      <c r="A260" s="72">
        <v>258</v>
      </c>
      <c r="B260" s="80"/>
      <c r="C260" s="157" t="s">
        <v>1717</v>
      </c>
      <c r="D260" s="5" t="s">
        <v>773</v>
      </c>
      <c r="E260" s="5" t="s">
        <v>729</v>
      </c>
      <c r="F260" s="5" t="s">
        <v>733</v>
      </c>
      <c r="G260" s="5" t="s">
        <v>811</v>
      </c>
      <c r="H260" s="2"/>
      <c r="I260" s="165">
        <v>43132</v>
      </c>
      <c r="J260" s="5" t="s">
        <v>581</v>
      </c>
      <c r="K260" s="5" t="s">
        <v>1229</v>
      </c>
      <c r="L260" s="5" t="s">
        <v>1231</v>
      </c>
      <c r="M260" s="5" t="str">
        <f>CONCATENATE(K260," ",L260)</f>
        <v>ASCAZ HOSPITALARIA</v>
      </c>
      <c r="N260" s="5"/>
      <c r="O260" s="5"/>
      <c r="P260" s="90" t="s">
        <v>3</v>
      </c>
      <c r="Q260" s="87" t="s">
        <v>139</v>
      </c>
      <c r="R260" s="87" t="s">
        <v>546</v>
      </c>
      <c r="S260" s="87" t="s">
        <v>396</v>
      </c>
      <c r="T260" s="5" t="s">
        <v>2</v>
      </c>
      <c r="U260" s="5" t="s">
        <v>138</v>
      </c>
      <c r="V260" s="5" t="s">
        <v>646</v>
      </c>
      <c r="W260" s="2">
        <v>27828</v>
      </c>
      <c r="X260" s="7">
        <f ca="1">YEAR($X$1)-YEAR(W260)</f>
        <v>42</v>
      </c>
      <c r="Y260" s="5" t="s">
        <v>1</v>
      </c>
      <c r="Z260" s="87" t="s">
        <v>137</v>
      </c>
      <c r="AA260" s="5">
        <v>75</v>
      </c>
      <c r="AB260" s="5" t="s">
        <v>136</v>
      </c>
      <c r="AC260" s="5" t="s">
        <v>0</v>
      </c>
      <c r="AD260" s="5" t="s">
        <v>31</v>
      </c>
      <c r="AE260" s="5">
        <v>33211</v>
      </c>
      <c r="AF260" s="5">
        <v>660813545</v>
      </c>
      <c r="AG260" s="88" t="s">
        <v>1315</v>
      </c>
      <c r="AH260" s="105" t="s">
        <v>135</v>
      </c>
      <c r="AI260" s="105">
        <v>2048</v>
      </c>
      <c r="AJ260" s="105" t="s">
        <v>134</v>
      </c>
      <c r="AK260" s="105">
        <v>73</v>
      </c>
      <c r="AL260" s="105">
        <v>3400015039</v>
      </c>
      <c r="AM260" s="84"/>
      <c r="AN260" s="8"/>
      <c r="AO260" s="89">
        <v>10</v>
      </c>
      <c r="AQ260" s="116" t="str">
        <f>CONCATENATE("NS",C259,"AZ")</f>
        <v>NS0090AZ</v>
      </c>
      <c r="AR260" s="9" t="str">
        <f>CONCATENATE(Q260," ",R260," ",S260)</f>
        <v>SONIA ÁLVAREZ DÍAZ</v>
      </c>
      <c r="AS260" s="9"/>
      <c r="AT260" s="162" t="str">
        <f t="shared" si="5"/>
        <v>NS0090AZ-SONIA ÁLVAREZ DÍAZ</v>
      </c>
      <c r="AU260" s="9" t="str">
        <f>U260</f>
        <v>11437169M</v>
      </c>
      <c r="AV260" s="116"/>
      <c r="AW260" s="9" t="str">
        <f>CONCATENATE(AH260,AI260,AJ260,AK260,AL260)</f>
        <v>ES2420480092733400015039</v>
      </c>
      <c r="AZ260" s="159">
        <v>43132</v>
      </c>
    </row>
    <row r="261" spans="1:52" ht="15" customHeight="1" x14ac:dyDescent="0.25">
      <c r="A261" s="72">
        <v>259</v>
      </c>
      <c r="B261" s="80"/>
      <c r="C261" s="156" t="s">
        <v>1648</v>
      </c>
      <c r="D261" s="81"/>
      <c r="E261" s="6"/>
      <c r="F261" s="6"/>
      <c r="G261" s="6"/>
      <c r="H261" s="4"/>
      <c r="I261" s="166"/>
      <c r="J261" s="6"/>
      <c r="K261" s="6"/>
      <c r="L261" s="6"/>
      <c r="M261" s="91"/>
      <c r="N261" s="91"/>
      <c r="O261" s="91"/>
      <c r="P261" s="6"/>
      <c r="Q261" s="92"/>
      <c r="R261" s="92"/>
      <c r="S261" s="92"/>
      <c r="T261" s="6"/>
      <c r="U261" s="6"/>
      <c r="V261" s="6"/>
      <c r="W261" s="4"/>
      <c r="X261" s="6"/>
      <c r="Y261" s="6"/>
      <c r="Z261" s="92"/>
      <c r="AA261" s="6"/>
      <c r="AB261" s="6"/>
      <c r="AC261" s="6"/>
      <c r="AD261" s="6"/>
      <c r="AE261" s="6"/>
      <c r="AF261" s="6"/>
      <c r="AG261" s="93"/>
      <c r="AH261" s="110"/>
      <c r="AI261" s="110"/>
      <c r="AJ261" s="110"/>
      <c r="AK261" s="110"/>
      <c r="AL261" s="110"/>
      <c r="AM261" s="84"/>
      <c r="AN261" s="85">
        <v>30</v>
      </c>
      <c r="AO261" s="85"/>
      <c r="AP261" s="117" t="str">
        <f>C261</f>
        <v>0091</v>
      </c>
      <c r="AR261" s="9"/>
      <c r="AS261" s="9"/>
      <c r="AT261" s="162" t="str">
        <f t="shared" ref="AT261:AT324" si="6">CONCATENATE(AQ261,"-",AR261,)</f>
        <v>-</v>
      </c>
      <c r="AU261" s="9"/>
      <c r="AV261" s="116"/>
    </row>
    <row r="262" spans="1:52" ht="15" customHeight="1" x14ac:dyDescent="0.25">
      <c r="A262" s="72">
        <v>260</v>
      </c>
      <c r="B262" s="80"/>
      <c r="C262" s="157" t="s">
        <v>1717</v>
      </c>
      <c r="D262" s="5" t="s">
        <v>774</v>
      </c>
      <c r="E262" s="5" t="s">
        <v>729</v>
      </c>
      <c r="F262" s="5"/>
      <c r="G262" s="5" t="s">
        <v>811</v>
      </c>
      <c r="H262" s="2"/>
      <c r="I262" s="165">
        <v>43100</v>
      </c>
      <c r="J262" s="5" t="s">
        <v>581</v>
      </c>
      <c r="K262" s="5" t="s">
        <v>1229</v>
      </c>
      <c r="L262" s="5" t="s">
        <v>1231</v>
      </c>
      <c r="M262" s="5" t="str">
        <f>CONCATENATE(K262," ",L262)</f>
        <v>ASCAZ HOSPITALARIA</v>
      </c>
      <c r="N262" s="5"/>
      <c r="O262" s="5"/>
      <c r="P262" s="90" t="s">
        <v>3</v>
      </c>
      <c r="Q262" s="87" t="s">
        <v>133</v>
      </c>
      <c r="R262" s="87" t="s">
        <v>132</v>
      </c>
      <c r="S262" s="87" t="s">
        <v>1152</v>
      </c>
      <c r="T262" s="5" t="s">
        <v>2</v>
      </c>
      <c r="U262" s="5" t="s">
        <v>131</v>
      </c>
      <c r="V262" s="5" t="s">
        <v>665</v>
      </c>
      <c r="W262" s="2">
        <v>25919</v>
      </c>
      <c r="X262" s="7">
        <f ca="1">YEAR($X$1)-YEAR(W262)</f>
        <v>48</v>
      </c>
      <c r="Y262" s="5" t="s">
        <v>130</v>
      </c>
      <c r="Z262" s="87" t="s">
        <v>129</v>
      </c>
      <c r="AA262" s="5">
        <v>2</v>
      </c>
      <c r="AB262" s="5" t="s">
        <v>128</v>
      </c>
      <c r="AC262" s="5" t="s">
        <v>0</v>
      </c>
      <c r="AD262" s="5" t="s">
        <v>7</v>
      </c>
      <c r="AE262" s="5">
        <v>33001</v>
      </c>
      <c r="AF262" s="5">
        <v>660113642</v>
      </c>
      <c r="AG262" s="88" t="s">
        <v>1065</v>
      </c>
      <c r="AH262" s="105" t="s">
        <v>127</v>
      </c>
      <c r="AI262" s="105">
        <v>2048</v>
      </c>
      <c r="AJ262" s="105" t="s">
        <v>126</v>
      </c>
      <c r="AK262" s="105">
        <v>55</v>
      </c>
      <c r="AL262" s="105">
        <v>3000002704</v>
      </c>
      <c r="AM262" s="84"/>
      <c r="AN262" s="8"/>
      <c r="AO262" s="89">
        <v>10</v>
      </c>
      <c r="AQ262" s="116" t="str">
        <f>CONCATENATE("NS",C261,"AZ")</f>
        <v>NS0091AZ</v>
      </c>
      <c r="AR262" s="9" t="str">
        <f>CONCATENATE(Q262," ",R262," ",S262)</f>
        <v>ALVARO GARCÍA PÉREZ</v>
      </c>
      <c r="AS262" s="9"/>
      <c r="AT262" s="162" t="str">
        <f t="shared" si="6"/>
        <v>NS0091AZ-ALVARO GARCÍA PÉREZ</v>
      </c>
      <c r="AU262" s="9" t="str">
        <f>U262</f>
        <v>9409269S</v>
      </c>
      <c r="AV262" s="116"/>
      <c r="AW262" s="9" t="str">
        <f>CONCATENATE(AH262,AI262,AJ262,AK262,AL262)</f>
        <v>ES3820480189553000002704</v>
      </c>
      <c r="AZ262" s="159">
        <v>43100</v>
      </c>
    </row>
    <row r="263" spans="1:52" ht="15" customHeight="1" x14ac:dyDescent="0.25">
      <c r="A263" s="72">
        <v>261</v>
      </c>
      <c r="B263" s="80"/>
      <c r="C263" s="156" t="s">
        <v>134</v>
      </c>
      <c r="D263" s="81"/>
      <c r="E263" s="6"/>
      <c r="F263" s="6"/>
      <c r="G263" s="6"/>
      <c r="H263" s="4"/>
      <c r="I263" s="166"/>
      <c r="J263" s="6"/>
      <c r="K263" s="6"/>
      <c r="L263" s="6"/>
      <c r="M263" s="91"/>
      <c r="N263" s="91"/>
      <c r="O263" s="91"/>
      <c r="P263" s="6"/>
      <c r="Q263" s="92"/>
      <c r="R263" s="92"/>
      <c r="S263" s="92"/>
      <c r="T263" s="6"/>
      <c r="U263" s="6"/>
      <c r="V263" s="6"/>
      <c r="W263" s="4"/>
      <c r="X263" s="6"/>
      <c r="Y263" s="6"/>
      <c r="Z263" s="92"/>
      <c r="AA263" s="6"/>
      <c r="AB263" s="6"/>
      <c r="AC263" s="6"/>
      <c r="AD263" s="6"/>
      <c r="AE263" s="6"/>
      <c r="AF263" s="6"/>
      <c r="AG263" s="93"/>
      <c r="AH263" s="110"/>
      <c r="AI263" s="110"/>
      <c r="AJ263" s="110"/>
      <c r="AK263" s="110"/>
      <c r="AL263" s="110"/>
      <c r="AM263" s="84"/>
      <c r="AN263" s="85">
        <v>30</v>
      </c>
      <c r="AO263" s="85"/>
      <c r="AP263" s="117" t="str">
        <f>C263</f>
        <v>0092</v>
      </c>
      <c r="AR263" s="9"/>
      <c r="AS263" s="9"/>
      <c r="AT263" s="162" t="str">
        <f t="shared" si="6"/>
        <v>-</v>
      </c>
      <c r="AU263" s="9"/>
      <c r="AV263" s="116"/>
    </row>
    <row r="264" spans="1:52" ht="15" customHeight="1" x14ac:dyDescent="0.25">
      <c r="A264" s="72">
        <v>262</v>
      </c>
      <c r="B264" s="80"/>
      <c r="C264" s="157" t="s">
        <v>1717</v>
      </c>
      <c r="D264" s="5" t="s">
        <v>775</v>
      </c>
      <c r="E264" s="5" t="s">
        <v>729</v>
      </c>
      <c r="F264" s="5" t="s">
        <v>1353</v>
      </c>
      <c r="G264" s="5" t="s">
        <v>811</v>
      </c>
      <c r="H264" s="2"/>
      <c r="I264" s="165">
        <v>43147</v>
      </c>
      <c r="J264" s="5" t="s">
        <v>581</v>
      </c>
      <c r="K264" s="5" t="s">
        <v>1229</v>
      </c>
      <c r="L264" s="5" t="s">
        <v>1231</v>
      </c>
      <c r="M264" s="5" t="str">
        <f>CONCATENATE(K264," ",L264)</f>
        <v>ASCAZ HOSPITALARIA</v>
      </c>
      <c r="N264" s="5"/>
      <c r="O264" s="5"/>
      <c r="P264" s="90" t="s">
        <v>3</v>
      </c>
      <c r="Q264" s="87" t="s">
        <v>1066</v>
      </c>
      <c r="R264" s="87" t="s">
        <v>297</v>
      </c>
      <c r="S264" s="87" t="s">
        <v>63</v>
      </c>
      <c r="T264" s="5" t="s">
        <v>2</v>
      </c>
      <c r="U264" s="5" t="s">
        <v>125</v>
      </c>
      <c r="V264" s="5" t="s">
        <v>646</v>
      </c>
      <c r="W264" s="2">
        <v>22935</v>
      </c>
      <c r="X264" s="7">
        <f ca="1">YEAR($X$1)-YEAR(W264)</f>
        <v>56</v>
      </c>
      <c r="Y264" s="5" t="s">
        <v>130</v>
      </c>
      <c r="Z264" s="87" t="s">
        <v>1067</v>
      </c>
      <c r="AA264" s="5">
        <v>2</v>
      </c>
      <c r="AB264" s="5" t="s">
        <v>124</v>
      </c>
      <c r="AC264" s="5" t="s">
        <v>0</v>
      </c>
      <c r="AD264" s="5" t="s">
        <v>7</v>
      </c>
      <c r="AE264" s="5">
        <v>33013</v>
      </c>
      <c r="AF264" s="5">
        <v>686471099</v>
      </c>
      <c r="AG264" s="88" t="s">
        <v>1068</v>
      </c>
      <c r="AH264" s="105" t="s">
        <v>276</v>
      </c>
      <c r="AI264" s="105" t="s">
        <v>17</v>
      </c>
      <c r="AJ264" s="105">
        <v>1311</v>
      </c>
      <c r="AK264" s="105">
        <v>55</v>
      </c>
      <c r="AL264" s="105">
        <v>2190004149</v>
      </c>
      <c r="AM264" s="84"/>
      <c r="AN264" s="8"/>
      <c r="AO264" s="89">
        <v>10</v>
      </c>
      <c r="AQ264" s="116" t="str">
        <f>CONCATENATE("NS",C263,"AZ")</f>
        <v>NS0092AZ</v>
      </c>
      <c r="AR264" s="9" t="str">
        <f>CONCATENATE(Q264," ",R264," ",S264)</f>
        <v>ROSARIO SUÁREZ FERNÁNDEZ</v>
      </c>
      <c r="AS264" s="9"/>
      <c r="AT264" s="162" t="str">
        <f t="shared" si="6"/>
        <v>NS0092AZ-ROSARIO SUÁREZ FERNÁNDEZ</v>
      </c>
      <c r="AU264" s="9" t="str">
        <f>U264</f>
        <v>71627940Y</v>
      </c>
      <c r="AV264" s="116"/>
      <c r="AW264" s="9" t="str">
        <f>CONCATENATE(AH264,AI264,AJ264,AK264,AL264)</f>
        <v>ES4300491311552190004149</v>
      </c>
      <c r="AZ264" s="159">
        <v>43147</v>
      </c>
    </row>
    <row r="265" spans="1:52" ht="15" customHeight="1" x14ac:dyDescent="0.25">
      <c r="A265" s="72">
        <v>263</v>
      </c>
      <c r="B265" s="80"/>
      <c r="C265" s="156" t="s">
        <v>1649</v>
      </c>
      <c r="D265" s="81"/>
      <c r="E265" s="6"/>
      <c r="F265" s="6"/>
      <c r="G265" s="6"/>
      <c r="H265" s="4"/>
      <c r="I265" s="166"/>
      <c r="J265" s="6"/>
      <c r="K265" s="6"/>
      <c r="L265" s="6"/>
      <c r="M265" s="91"/>
      <c r="N265" s="91"/>
      <c r="O265" s="91"/>
      <c r="P265" s="6"/>
      <c r="Q265" s="92"/>
      <c r="R265" s="92"/>
      <c r="S265" s="92"/>
      <c r="T265" s="6"/>
      <c r="U265" s="6"/>
      <c r="V265" s="6"/>
      <c r="W265" s="4"/>
      <c r="X265" s="6"/>
      <c r="Y265" s="6"/>
      <c r="Z265" s="92"/>
      <c r="AA265" s="6"/>
      <c r="AB265" s="6"/>
      <c r="AC265" s="6"/>
      <c r="AD265" s="6"/>
      <c r="AE265" s="6"/>
      <c r="AF265" s="6"/>
      <c r="AG265" s="93"/>
      <c r="AH265" s="110"/>
      <c r="AI265" s="110"/>
      <c r="AJ265" s="110"/>
      <c r="AK265" s="110"/>
      <c r="AL265" s="110"/>
      <c r="AM265" s="84"/>
      <c r="AN265" s="85">
        <v>30</v>
      </c>
      <c r="AO265" s="85"/>
      <c r="AP265" s="117" t="str">
        <f>C265</f>
        <v>0093</v>
      </c>
      <c r="AR265" s="9"/>
      <c r="AS265" s="9"/>
      <c r="AT265" s="162" t="str">
        <f t="shared" si="6"/>
        <v>-</v>
      </c>
      <c r="AU265" s="9"/>
      <c r="AV265" s="116"/>
    </row>
    <row r="266" spans="1:52" ht="15" customHeight="1" x14ac:dyDescent="0.25">
      <c r="A266" s="72">
        <v>264</v>
      </c>
      <c r="B266" s="80"/>
      <c r="C266" s="157" t="s">
        <v>1717</v>
      </c>
      <c r="D266" s="5" t="s">
        <v>776</v>
      </c>
      <c r="E266" s="5" t="s">
        <v>729</v>
      </c>
      <c r="F266" s="5" t="s">
        <v>580</v>
      </c>
      <c r="G266" s="5" t="s">
        <v>811</v>
      </c>
      <c r="H266" s="2"/>
      <c r="I266" s="165">
        <v>43101</v>
      </c>
      <c r="J266" s="5" t="s">
        <v>581</v>
      </c>
      <c r="K266" s="5" t="s">
        <v>1236</v>
      </c>
      <c r="L266" s="5" t="s">
        <v>1231</v>
      </c>
      <c r="M266" s="5" t="str">
        <f>CONCATENATE(K266," ",L266)</f>
        <v>ZITRON-ASCAZ HOSPITALARIA</v>
      </c>
      <c r="N266" s="5"/>
      <c r="O266" s="5"/>
      <c r="P266" s="90" t="s">
        <v>3</v>
      </c>
      <c r="Q266" s="87" t="s">
        <v>1069</v>
      </c>
      <c r="R266" s="87" t="s">
        <v>1070</v>
      </c>
      <c r="S266" s="87" t="s">
        <v>1071</v>
      </c>
      <c r="T266" s="5" t="s">
        <v>2</v>
      </c>
      <c r="U266" s="5" t="s">
        <v>1730</v>
      </c>
      <c r="V266" s="5" t="s">
        <v>665</v>
      </c>
      <c r="W266" s="2">
        <v>30879</v>
      </c>
      <c r="X266" s="7">
        <f ca="1">YEAR($X$1)-YEAR(W266)</f>
        <v>34</v>
      </c>
      <c r="Y266" s="5" t="s">
        <v>1</v>
      </c>
      <c r="Z266" s="87" t="s">
        <v>123</v>
      </c>
      <c r="AA266" s="5">
        <v>12</v>
      </c>
      <c r="AB266" s="5" t="s">
        <v>122</v>
      </c>
      <c r="AC266" s="5" t="s">
        <v>121</v>
      </c>
      <c r="AD266" s="5" t="s">
        <v>121</v>
      </c>
      <c r="AE266" s="5">
        <v>28041</v>
      </c>
      <c r="AF266" s="5">
        <v>690305889</v>
      </c>
      <c r="AG266" s="88" t="s">
        <v>1072</v>
      </c>
      <c r="AH266" s="105" t="s">
        <v>120</v>
      </c>
      <c r="AI266" s="105">
        <v>1465</v>
      </c>
      <c r="AJ266" s="105" t="s">
        <v>77</v>
      </c>
      <c r="AK266" s="105">
        <v>98</v>
      </c>
      <c r="AL266" s="105">
        <v>1725734162</v>
      </c>
      <c r="AM266" s="84"/>
      <c r="AN266" s="8"/>
      <c r="AO266" s="89">
        <v>10</v>
      </c>
      <c r="AQ266" s="116" t="str">
        <f>CONCATENATE("NS",C265,"AZ")</f>
        <v>NS0093AZ</v>
      </c>
      <c r="AR266" s="9" t="str">
        <f>CONCATENATE(Q266," ",R266," ",S266)</f>
        <v>ABEL GIRÓN MARTÍN</v>
      </c>
      <c r="AS266" s="9"/>
      <c r="AT266" s="162" t="str">
        <f t="shared" si="6"/>
        <v>NS0093AZ-ABEL GIRÓN MARTÍN</v>
      </c>
      <c r="AU266" s="9" t="str">
        <f>U266</f>
        <v>02271649P</v>
      </c>
      <c r="AV266" s="116"/>
      <c r="AW266" s="9" t="str">
        <f>CONCATENATE(AH266,AI266,AJ266,AK266,AL266)</f>
        <v>ES3214650100981725734162</v>
      </c>
      <c r="AZ266" s="159">
        <v>43101</v>
      </c>
    </row>
    <row r="267" spans="1:52" ht="15" customHeight="1" x14ac:dyDescent="0.25">
      <c r="A267" s="72">
        <v>265</v>
      </c>
      <c r="B267" s="80"/>
      <c r="C267" s="156" t="s">
        <v>1650</v>
      </c>
      <c r="D267" s="81"/>
      <c r="E267" s="6"/>
      <c r="F267" s="6"/>
      <c r="G267" s="6"/>
      <c r="H267" s="4"/>
      <c r="I267" s="166"/>
      <c r="J267" s="6"/>
      <c r="K267" s="6"/>
      <c r="L267" s="6"/>
      <c r="M267" s="91"/>
      <c r="N267" s="91"/>
      <c r="O267" s="91"/>
      <c r="P267" s="6"/>
      <c r="Q267" s="92"/>
      <c r="R267" s="92"/>
      <c r="S267" s="92"/>
      <c r="T267" s="6"/>
      <c r="U267" s="6"/>
      <c r="V267" s="6"/>
      <c r="W267" s="4"/>
      <c r="X267" s="6"/>
      <c r="Y267" s="6"/>
      <c r="Z267" s="92"/>
      <c r="AA267" s="6"/>
      <c r="AB267" s="6"/>
      <c r="AC267" s="6"/>
      <c r="AD267" s="6"/>
      <c r="AE267" s="6"/>
      <c r="AF267" s="6"/>
      <c r="AG267" s="93"/>
      <c r="AH267" s="110"/>
      <c r="AI267" s="110"/>
      <c r="AJ267" s="110"/>
      <c r="AK267" s="110"/>
      <c r="AL267" s="110"/>
      <c r="AM267" s="84"/>
      <c r="AN267" s="85">
        <v>30</v>
      </c>
      <c r="AO267" s="85"/>
      <c r="AP267" s="117" t="str">
        <f>C267</f>
        <v>0094</v>
      </c>
      <c r="AR267" s="9"/>
      <c r="AS267" s="9"/>
      <c r="AT267" s="162" t="str">
        <f t="shared" si="6"/>
        <v>-</v>
      </c>
      <c r="AU267" s="9"/>
      <c r="AV267" s="116"/>
    </row>
    <row r="268" spans="1:52" ht="15" customHeight="1" x14ac:dyDescent="0.25">
      <c r="A268" s="72">
        <v>266</v>
      </c>
      <c r="B268" s="80"/>
      <c r="C268" s="157" t="s">
        <v>1717</v>
      </c>
      <c r="D268" s="5" t="s">
        <v>777</v>
      </c>
      <c r="E268" s="5" t="s">
        <v>729</v>
      </c>
      <c r="F268" s="5"/>
      <c r="G268" s="5" t="s">
        <v>811</v>
      </c>
      <c r="H268" s="2"/>
      <c r="I268" s="165">
        <v>43142</v>
      </c>
      <c r="J268" s="5" t="s">
        <v>581</v>
      </c>
      <c r="K268" s="5" t="s">
        <v>1229</v>
      </c>
      <c r="L268" s="5" t="s">
        <v>1231</v>
      </c>
      <c r="M268" s="5" t="str">
        <f>CONCATENATE(K268," ",L268)</f>
        <v>ASCAZ HOSPITALARIA</v>
      </c>
      <c r="N268" s="5"/>
      <c r="O268" s="5"/>
      <c r="P268" s="90" t="s">
        <v>3</v>
      </c>
      <c r="Q268" s="87" t="s">
        <v>119</v>
      </c>
      <c r="R268" s="87" t="s">
        <v>118</v>
      </c>
      <c r="S268" s="87" t="s">
        <v>1146</v>
      </c>
      <c r="T268" s="5" t="s">
        <v>2</v>
      </c>
      <c r="U268" s="5" t="s">
        <v>1166</v>
      </c>
      <c r="V268" s="5" t="s">
        <v>665</v>
      </c>
      <c r="W268" s="2">
        <v>26061</v>
      </c>
      <c r="X268" s="7">
        <f ca="1">YEAR($X$1)-YEAR(W268)</f>
        <v>47</v>
      </c>
      <c r="Y268" s="5" t="s">
        <v>117</v>
      </c>
      <c r="Z268" s="87" t="s">
        <v>116</v>
      </c>
      <c r="AA268" s="5">
        <v>34</v>
      </c>
      <c r="AB268" s="5"/>
      <c r="AC268" s="5" t="s">
        <v>0</v>
      </c>
      <c r="AD268" s="5" t="s">
        <v>115</v>
      </c>
      <c r="AE268" s="5">
        <v>33867</v>
      </c>
      <c r="AF268" s="5">
        <v>659932258</v>
      </c>
      <c r="AG268" s="88"/>
      <c r="AH268" s="105" t="s">
        <v>114</v>
      </c>
      <c r="AI268" s="105">
        <v>3059</v>
      </c>
      <c r="AJ268" s="105" t="s">
        <v>113</v>
      </c>
      <c r="AK268" s="105">
        <v>28</v>
      </c>
      <c r="AL268" s="105">
        <v>2753161021</v>
      </c>
      <c r="AM268" s="84"/>
      <c r="AN268" s="8"/>
      <c r="AO268" s="89">
        <v>10</v>
      </c>
      <c r="AQ268" s="116" t="str">
        <f>CONCATENATE("NS",C267,"AZ")</f>
        <v>NS0094AZ</v>
      </c>
      <c r="AR268" s="9" t="str">
        <f>CONCATENATE(Q268," ",R268," ",S268)</f>
        <v>JOAQUIN CAMPO GONZÁLEZ</v>
      </c>
      <c r="AS268" s="9"/>
      <c r="AT268" s="162" t="str">
        <f t="shared" si="6"/>
        <v>NS0094AZ-JOAQUIN CAMPO GONZÁLEZ</v>
      </c>
      <c r="AU268" s="9" t="str">
        <f>U268</f>
        <v>09420008J</v>
      </c>
      <c r="AV268" s="116"/>
      <c r="AW268" s="9" t="str">
        <f>CONCATENATE(AH268,AI268,AJ268,AK268,AL268)</f>
        <v>ES6730590006282753161021</v>
      </c>
      <c r="AZ268" s="159">
        <v>43142</v>
      </c>
    </row>
    <row r="269" spans="1:52" ht="15" customHeight="1" x14ac:dyDescent="0.25">
      <c r="A269" s="72">
        <v>267</v>
      </c>
      <c r="B269" s="80"/>
      <c r="C269" s="157" t="s">
        <v>1717</v>
      </c>
      <c r="D269" s="5" t="s">
        <v>778</v>
      </c>
      <c r="E269" s="5" t="s">
        <v>729</v>
      </c>
      <c r="F269" s="5"/>
      <c r="G269" s="5" t="s">
        <v>811</v>
      </c>
      <c r="H269" s="2"/>
      <c r="I269" s="165"/>
      <c r="J269" s="5" t="s">
        <v>581</v>
      </c>
      <c r="K269" s="5" t="s">
        <v>1229</v>
      </c>
      <c r="L269" s="5" t="s">
        <v>1231</v>
      </c>
      <c r="M269" s="5" t="str">
        <f>CONCATENATE(K269," ",L269)</f>
        <v>ASCAZ HOSPITALARIA</v>
      </c>
      <c r="N269" s="5"/>
      <c r="O269" s="5"/>
      <c r="P269" s="5" t="s">
        <v>43</v>
      </c>
      <c r="Q269" s="87" t="s">
        <v>112</v>
      </c>
      <c r="R269" s="87" t="s">
        <v>291</v>
      </c>
      <c r="S269" s="87" t="s">
        <v>132</v>
      </c>
      <c r="T269" s="5" t="s">
        <v>2</v>
      </c>
      <c r="U269" s="5" t="s">
        <v>1167</v>
      </c>
      <c r="V269" s="5" t="s">
        <v>646</v>
      </c>
      <c r="W269" s="2">
        <v>30107</v>
      </c>
      <c r="X269" s="7">
        <f ca="1">YEAR($X$1)-YEAR(W269)</f>
        <v>36</v>
      </c>
      <c r="Y269" s="5"/>
      <c r="Z269" s="87"/>
      <c r="AA269" s="5"/>
      <c r="AB269" s="5"/>
      <c r="AC269" s="5"/>
      <c r="AD269" s="5"/>
      <c r="AE269" s="5"/>
      <c r="AF269" s="5"/>
      <c r="AG269" s="88"/>
      <c r="AH269" s="105"/>
      <c r="AI269" s="105"/>
      <c r="AJ269" s="105"/>
      <c r="AK269" s="105"/>
      <c r="AL269" s="105"/>
      <c r="AM269" s="84"/>
      <c r="AN269" s="8"/>
      <c r="AO269" s="89">
        <v>10</v>
      </c>
      <c r="AR269" s="9"/>
      <c r="AS269" s="9"/>
      <c r="AT269" s="162" t="str">
        <f t="shared" si="6"/>
        <v>-</v>
      </c>
      <c r="AU269" s="9"/>
      <c r="AV269" s="116"/>
    </row>
    <row r="270" spans="1:52" ht="15" customHeight="1" x14ac:dyDescent="0.25">
      <c r="A270" s="72">
        <v>268</v>
      </c>
      <c r="B270" s="80"/>
      <c r="C270" s="156" t="s">
        <v>1651</v>
      </c>
      <c r="D270" s="81"/>
      <c r="E270" s="6"/>
      <c r="F270" s="6"/>
      <c r="G270" s="6"/>
      <c r="H270" s="4"/>
      <c r="I270" s="166"/>
      <c r="J270" s="6"/>
      <c r="K270" s="6"/>
      <c r="L270" s="6"/>
      <c r="M270" s="91"/>
      <c r="N270" s="91"/>
      <c r="O270" s="91"/>
      <c r="P270" s="6"/>
      <c r="Q270" s="92"/>
      <c r="R270" s="92"/>
      <c r="S270" s="92"/>
      <c r="T270" s="6"/>
      <c r="U270" s="6"/>
      <c r="V270" s="6"/>
      <c r="W270" s="4"/>
      <c r="X270" s="6"/>
      <c r="Y270" s="6"/>
      <c r="Z270" s="92"/>
      <c r="AA270" s="6"/>
      <c r="AB270" s="6"/>
      <c r="AC270" s="6"/>
      <c r="AD270" s="6"/>
      <c r="AE270" s="6"/>
      <c r="AF270" s="6"/>
      <c r="AG270" s="93"/>
      <c r="AH270" s="110"/>
      <c r="AI270" s="110"/>
      <c r="AJ270" s="110"/>
      <c r="AK270" s="110"/>
      <c r="AL270" s="110"/>
      <c r="AM270" s="84"/>
      <c r="AN270" s="85">
        <v>30</v>
      </c>
      <c r="AO270" s="85"/>
      <c r="AP270" s="117" t="str">
        <f>C270</f>
        <v>0095</v>
      </c>
      <c r="AR270" s="9"/>
      <c r="AS270" s="9"/>
      <c r="AT270" s="162" t="str">
        <f t="shared" si="6"/>
        <v>-</v>
      </c>
      <c r="AU270" s="9"/>
      <c r="AV270" s="116"/>
    </row>
    <row r="271" spans="1:52" ht="15" customHeight="1" x14ac:dyDescent="0.25">
      <c r="A271" s="72">
        <v>269</v>
      </c>
      <c r="B271" s="80"/>
      <c r="C271" s="157" t="s">
        <v>1717</v>
      </c>
      <c r="D271" s="5" t="s">
        <v>779</v>
      </c>
      <c r="E271" s="5" t="s">
        <v>729</v>
      </c>
      <c r="F271" s="5"/>
      <c r="G271" s="5" t="s">
        <v>811</v>
      </c>
      <c r="H271" s="2"/>
      <c r="I271" s="165">
        <v>43104</v>
      </c>
      <c r="J271" s="5" t="s">
        <v>581</v>
      </c>
      <c r="K271" s="5" t="s">
        <v>1229</v>
      </c>
      <c r="L271" s="5" t="s">
        <v>1231</v>
      </c>
      <c r="M271" s="5" t="str">
        <f>CONCATENATE(K271," ",L271)</f>
        <v>ASCAZ HOSPITALARIA</v>
      </c>
      <c r="N271" s="5"/>
      <c r="O271" s="5"/>
      <c r="P271" s="90" t="s">
        <v>3</v>
      </c>
      <c r="Q271" s="87" t="s">
        <v>1073</v>
      </c>
      <c r="R271" s="87" t="s">
        <v>1074</v>
      </c>
      <c r="S271" s="87" t="s">
        <v>1075</v>
      </c>
      <c r="T271" s="5" t="s">
        <v>2</v>
      </c>
      <c r="U271" s="5" t="s">
        <v>1076</v>
      </c>
      <c r="V271" s="5" t="s">
        <v>646</v>
      </c>
      <c r="W271" s="2">
        <v>28344</v>
      </c>
      <c r="X271" s="7">
        <f ca="1">YEAR($X$1)-YEAR(W271)</f>
        <v>41</v>
      </c>
      <c r="Y271" s="5" t="s">
        <v>1214</v>
      </c>
      <c r="Z271" s="87" t="s">
        <v>1215</v>
      </c>
      <c r="AA271" s="5" t="s">
        <v>1216</v>
      </c>
      <c r="AB271" s="5" t="s">
        <v>584</v>
      </c>
      <c r="AC271" s="5" t="s">
        <v>121</v>
      </c>
      <c r="AD271" s="5" t="s">
        <v>1217</v>
      </c>
      <c r="AE271" s="5" t="s">
        <v>1218</v>
      </c>
      <c r="AF271" s="5">
        <v>607507810</v>
      </c>
      <c r="AG271" s="88" t="s">
        <v>1077</v>
      </c>
      <c r="AH271" s="105" t="s">
        <v>1078</v>
      </c>
      <c r="AI271" s="105">
        <v>1465</v>
      </c>
      <c r="AJ271" s="105" t="s">
        <v>111</v>
      </c>
      <c r="AK271" s="105">
        <v>31</v>
      </c>
      <c r="AL271" s="105">
        <v>1712468570</v>
      </c>
      <c r="AM271" s="84"/>
      <c r="AN271" s="8"/>
      <c r="AO271" s="89">
        <v>10</v>
      </c>
      <c r="AQ271" s="116" t="str">
        <f>CONCATENATE("NS",C270,"AZ")</f>
        <v>NS0095AZ</v>
      </c>
      <c r="AR271" s="9" t="str">
        <f>CONCATENATE(Q271," ",R271," ",S271)</f>
        <v>VANESSA SALADRIGAS ALFÉREZ</v>
      </c>
      <c r="AS271" s="9"/>
      <c r="AT271" s="162" t="str">
        <f t="shared" si="6"/>
        <v>NS0095AZ-VANESSA SALADRIGAS ALFÉREZ</v>
      </c>
      <c r="AU271" s="9" t="str">
        <f>U271</f>
        <v>52307852X</v>
      </c>
      <c r="AV271" s="116"/>
      <c r="AW271" s="9" t="str">
        <f>CONCATENATE(AH271,AI271,AJ271,AK271,AL271)</f>
        <v>ES4114650705311712468570</v>
      </c>
      <c r="AZ271" s="159">
        <v>43104</v>
      </c>
    </row>
    <row r="272" spans="1:52" ht="15" customHeight="1" x14ac:dyDescent="0.25">
      <c r="A272" s="72">
        <v>270</v>
      </c>
      <c r="B272" s="80"/>
      <c r="C272" s="157" t="s">
        <v>1717</v>
      </c>
      <c r="D272" s="5" t="s">
        <v>780</v>
      </c>
      <c r="E272" s="5" t="s">
        <v>729</v>
      </c>
      <c r="F272" s="5"/>
      <c r="G272" s="5" t="s">
        <v>811</v>
      </c>
      <c r="H272" s="2"/>
      <c r="I272" s="165"/>
      <c r="J272" s="5" t="s">
        <v>581</v>
      </c>
      <c r="K272" s="5" t="s">
        <v>1229</v>
      </c>
      <c r="L272" s="5" t="s">
        <v>1231</v>
      </c>
      <c r="M272" s="5" t="str">
        <f>CONCATENATE(K272," ",L272)</f>
        <v>ASCAZ HOSPITALARIA</v>
      </c>
      <c r="N272" s="5"/>
      <c r="O272" s="5"/>
      <c r="P272" s="90" t="s">
        <v>815</v>
      </c>
      <c r="Q272" s="87" t="s">
        <v>1079</v>
      </c>
      <c r="R272" s="87" t="s">
        <v>1074</v>
      </c>
      <c r="S272" s="87" t="s">
        <v>1075</v>
      </c>
      <c r="T272" s="5" t="s">
        <v>2</v>
      </c>
      <c r="U272" s="5" t="s">
        <v>110</v>
      </c>
      <c r="V272" s="5" t="s">
        <v>646</v>
      </c>
      <c r="W272" s="2">
        <v>40131</v>
      </c>
      <c r="X272" s="7">
        <f ca="1">YEAR($X$1)-YEAR(W272)</f>
        <v>9</v>
      </c>
      <c r="Y272" s="5"/>
      <c r="Z272" s="87"/>
      <c r="AA272" s="5"/>
      <c r="AB272" s="5"/>
      <c r="AC272" s="5"/>
      <c r="AD272" s="5"/>
      <c r="AE272" s="5"/>
      <c r="AF272" s="5"/>
      <c r="AG272" s="88"/>
      <c r="AH272" s="105"/>
      <c r="AI272" s="105"/>
      <c r="AJ272" s="105"/>
      <c r="AK272" s="105"/>
      <c r="AL272" s="105"/>
      <c r="AM272" s="84"/>
      <c r="AN272" s="8"/>
      <c r="AO272" s="89">
        <v>10</v>
      </c>
      <c r="AR272" s="9"/>
      <c r="AS272" s="9"/>
      <c r="AT272" s="162" t="str">
        <f t="shared" si="6"/>
        <v>-</v>
      </c>
      <c r="AU272" s="9"/>
      <c r="AV272" s="116"/>
    </row>
    <row r="273" spans="1:52" ht="15" customHeight="1" x14ac:dyDescent="0.25">
      <c r="A273" s="72">
        <v>271</v>
      </c>
      <c r="B273" s="80"/>
      <c r="C273" s="156" t="s">
        <v>281</v>
      </c>
      <c r="D273" s="81"/>
      <c r="E273" s="6"/>
      <c r="F273" s="6"/>
      <c r="G273" s="6"/>
      <c r="H273" s="4"/>
      <c r="I273" s="166"/>
      <c r="J273" s="6"/>
      <c r="K273" s="6"/>
      <c r="L273" s="6"/>
      <c r="M273" s="91"/>
      <c r="N273" s="91"/>
      <c r="O273" s="91"/>
      <c r="P273" s="6"/>
      <c r="Q273" s="92"/>
      <c r="R273" s="92"/>
      <c r="S273" s="92"/>
      <c r="T273" s="6"/>
      <c r="U273" s="6"/>
      <c r="V273" s="6"/>
      <c r="W273" s="4"/>
      <c r="X273" s="6"/>
      <c r="Y273" s="6"/>
      <c r="Z273" s="92"/>
      <c r="AA273" s="6"/>
      <c r="AB273" s="6"/>
      <c r="AC273" s="6"/>
      <c r="AD273" s="6"/>
      <c r="AE273" s="6"/>
      <c r="AF273" s="6"/>
      <c r="AG273" s="93"/>
      <c r="AH273" s="110"/>
      <c r="AI273" s="110"/>
      <c r="AJ273" s="110"/>
      <c r="AK273" s="110"/>
      <c r="AL273" s="110"/>
      <c r="AM273" s="84"/>
      <c r="AN273" s="85">
        <v>30</v>
      </c>
      <c r="AO273" s="85"/>
      <c r="AP273" s="117" t="str">
        <f>C273</f>
        <v>0096</v>
      </c>
      <c r="AR273" s="9"/>
      <c r="AS273" s="9"/>
      <c r="AT273" s="162" t="str">
        <f t="shared" si="6"/>
        <v>-</v>
      </c>
      <c r="AU273" s="9"/>
      <c r="AV273" s="116"/>
    </row>
    <row r="274" spans="1:52" ht="15" customHeight="1" x14ac:dyDescent="0.25">
      <c r="A274" s="72">
        <v>272</v>
      </c>
      <c r="B274" s="80"/>
      <c r="C274" s="157" t="s">
        <v>1717</v>
      </c>
      <c r="D274" s="5" t="s">
        <v>782</v>
      </c>
      <c r="E274" s="5" t="s">
        <v>729</v>
      </c>
      <c r="F274" s="5"/>
      <c r="G274" s="5" t="s">
        <v>811</v>
      </c>
      <c r="H274" s="2"/>
      <c r="I274" s="165">
        <v>43099</v>
      </c>
      <c r="J274" s="5" t="s">
        <v>581</v>
      </c>
      <c r="K274" s="5" t="s">
        <v>1229</v>
      </c>
      <c r="L274" s="5" t="s">
        <v>1231</v>
      </c>
      <c r="M274" s="5" t="str">
        <f>CONCATENATE(K274," ",L274)</f>
        <v>ASCAZ HOSPITALARIA</v>
      </c>
      <c r="N274" s="5"/>
      <c r="O274" s="5"/>
      <c r="P274" s="90" t="s">
        <v>3</v>
      </c>
      <c r="Q274" s="87" t="s">
        <v>109</v>
      </c>
      <c r="R274" s="87" t="s">
        <v>108</v>
      </c>
      <c r="S274" s="87" t="s">
        <v>107</v>
      </c>
      <c r="T274" s="5" t="s">
        <v>2</v>
      </c>
      <c r="U274" s="5" t="s">
        <v>106</v>
      </c>
      <c r="V274" s="5" t="s">
        <v>665</v>
      </c>
      <c r="W274" s="2">
        <v>31176</v>
      </c>
      <c r="X274" s="7">
        <f ca="1">YEAR($X$1)-YEAR(W274)</f>
        <v>33</v>
      </c>
      <c r="Y274" s="5" t="s">
        <v>1</v>
      </c>
      <c r="Z274" s="87" t="s">
        <v>105</v>
      </c>
      <c r="AA274" s="5">
        <v>2</v>
      </c>
      <c r="AB274" s="5" t="s">
        <v>104</v>
      </c>
      <c r="AC274" s="5" t="s">
        <v>0</v>
      </c>
      <c r="AD274" s="5" t="s">
        <v>31</v>
      </c>
      <c r="AE274" s="5">
        <v>33212</v>
      </c>
      <c r="AF274" s="5">
        <v>610752984</v>
      </c>
      <c r="AG274" s="88" t="s">
        <v>1080</v>
      </c>
      <c r="AH274" s="105" t="s">
        <v>103</v>
      </c>
      <c r="AI274" s="105">
        <v>1465</v>
      </c>
      <c r="AJ274" s="105" t="s">
        <v>77</v>
      </c>
      <c r="AK274" s="105">
        <v>92</v>
      </c>
      <c r="AL274" s="105">
        <v>1800161318</v>
      </c>
      <c r="AM274" s="84"/>
      <c r="AN274" s="8"/>
      <c r="AO274" s="89">
        <v>10</v>
      </c>
      <c r="AQ274" s="116" t="str">
        <f>CONCATENATE("NS",C273,"AZ")</f>
        <v>NS0096AZ</v>
      </c>
      <c r="AR274" s="9" t="str">
        <f>CONCATENATE(Q274," ",R274," ",S274)</f>
        <v>BENITO ARIAS GALBAN</v>
      </c>
      <c r="AS274" s="9"/>
      <c r="AT274" s="162" t="str">
        <f t="shared" si="6"/>
        <v>NS0096AZ-BENITO ARIAS GALBAN</v>
      </c>
      <c r="AU274" s="9" t="str">
        <f>U274</f>
        <v>71517680P</v>
      </c>
      <c r="AV274" s="116"/>
      <c r="AW274" s="9" t="str">
        <f>CONCATENATE(AH274,AI274,AJ274,AK274,AL274)</f>
        <v>ES9014650100921800161318</v>
      </c>
      <c r="AZ274" s="159">
        <v>43099</v>
      </c>
    </row>
    <row r="275" spans="1:52" ht="15" customHeight="1" x14ac:dyDescent="0.25">
      <c r="A275" s="72">
        <v>273</v>
      </c>
      <c r="B275" s="80"/>
      <c r="C275" s="156" t="s">
        <v>1652</v>
      </c>
      <c r="D275" s="81"/>
      <c r="E275" s="6"/>
      <c r="F275" s="6"/>
      <c r="G275" s="6"/>
      <c r="H275" s="4"/>
      <c r="I275" s="166"/>
      <c r="J275" s="6"/>
      <c r="K275" s="6"/>
      <c r="L275" s="6"/>
      <c r="M275" s="91"/>
      <c r="N275" s="91"/>
      <c r="O275" s="91"/>
      <c r="P275" s="6"/>
      <c r="Q275" s="92"/>
      <c r="R275" s="92"/>
      <c r="S275" s="92"/>
      <c r="T275" s="6"/>
      <c r="U275" s="6"/>
      <c r="V275" s="6"/>
      <c r="W275" s="4"/>
      <c r="X275" s="6"/>
      <c r="Y275" s="6"/>
      <c r="Z275" s="92"/>
      <c r="AA275" s="6"/>
      <c r="AB275" s="6"/>
      <c r="AC275" s="6"/>
      <c r="AD275" s="6"/>
      <c r="AE275" s="6"/>
      <c r="AF275" s="6"/>
      <c r="AG275" s="93"/>
      <c r="AH275" s="110"/>
      <c r="AI275" s="110"/>
      <c r="AJ275" s="110"/>
      <c r="AK275" s="110"/>
      <c r="AL275" s="110"/>
      <c r="AM275" s="84"/>
      <c r="AN275" s="85">
        <v>30</v>
      </c>
      <c r="AO275" s="85"/>
      <c r="AP275" s="117" t="str">
        <f>C275</f>
        <v>0097</v>
      </c>
      <c r="AR275" s="9"/>
      <c r="AS275" s="9"/>
      <c r="AT275" s="162" t="str">
        <f t="shared" si="6"/>
        <v>-</v>
      </c>
      <c r="AU275" s="9"/>
      <c r="AV275" s="116"/>
    </row>
    <row r="276" spans="1:52" ht="15" customHeight="1" x14ac:dyDescent="0.25">
      <c r="A276" s="72">
        <v>274</v>
      </c>
      <c r="B276" s="80"/>
      <c r="C276" s="157" t="s">
        <v>1717</v>
      </c>
      <c r="D276" s="5" t="s">
        <v>781</v>
      </c>
      <c r="E276" s="5" t="s">
        <v>729</v>
      </c>
      <c r="F276" s="5"/>
      <c r="G276" s="5" t="s">
        <v>811</v>
      </c>
      <c r="H276" s="2"/>
      <c r="I276" s="165">
        <v>43115</v>
      </c>
      <c r="J276" s="5" t="s">
        <v>581</v>
      </c>
      <c r="K276" s="5" t="s">
        <v>1229</v>
      </c>
      <c r="L276" s="5" t="s">
        <v>1231</v>
      </c>
      <c r="M276" s="5" t="str">
        <f>CONCATENATE(K276," ",L276)</f>
        <v>ASCAZ HOSPITALARIA</v>
      </c>
      <c r="N276" s="5"/>
      <c r="O276" s="5"/>
      <c r="P276" s="90" t="s">
        <v>3</v>
      </c>
      <c r="Q276" s="87" t="s">
        <v>101</v>
      </c>
      <c r="R276" s="87" t="s">
        <v>94</v>
      </c>
      <c r="S276" s="87" t="s">
        <v>93</v>
      </c>
      <c r="T276" s="5" t="s">
        <v>2</v>
      </c>
      <c r="U276" s="5" t="s">
        <v>100</v>
      </c>
      <c r="V276" s="5" t="s">
        <v>646</v>
      </c>
      <c r="W276" s="2">
        <v>22541</v>
      </c>
      <c r="X276" s="7">
        <f ca="1">YEAR($X$1)-YEAR(W276)</f>
        <v>57</v>
      </c>
      <c r="Y276" s="5" t="s">
        <v>1</v>
      </c>
      <c r="Z276" s="87" t="s">
        <v>99</v>
      </c>
      <c r="AA276" s="5">
        <v>27</v>
      </c>
      <c r="AB276" s="5" t="s">
        <v>98</v>
      </c>
      <c r="AC276" s="5" t="s">
        <v>0</v>
      </c>
      <c r="AD276" s="5" t="s">
        <v>7</v>
      </c>
      <c r="AE276" s="5">
        <v>33006</v>
      </c>
      <c r="AF276" s="5">
        <v>686198879</v>
      </c>
      <c r="AG276" s="88" t="s">
        <v>1081</v>
      </c>
      <c r="AH276" s="105" t="s">
        <v>97</v>
      </c>
      <c r="AI276" s="105">
        <v>2085</v>
      </c>
      <c r="AJ276" s="105">
        <v>8147</v>
      </c>
      <c r="AK276" s="105" t="s">
        <v>4</v>
      </c>
      <c r="AL276" s="105" t="s">
        <v>96</v>
      </c>
      <c r="AM276" s="84"/>
      <c r="AN276" s="8"/>
      <c r="AO276" s="89">
        <v>10</v>
      </c>
      <c r="AQ276" s="116" t="str">
        <f>CONCATENATE("NS",C275,"AZ")</f>
        <v>NS0097AZ</v>
      </c>
      <c r="AR276" s="9" t="str">
        <f>CONCATENATE(Q276," ",R276," ",S276)</f>
        <v>CARMEN ORTIZ REY</v>
      </c>
      <c r="AS276" s="9"/>
      <c r="AT276" s="162" t="str">
        <f t="shared" si="6"/>
        <v>NS0097AZ-CARMEN ORTIZ REY</v>
      </c>
      <c r="AU276" s="9" t="str">
        <f>U276</f>
        <v>9366355L</v>
      </c>
      <c r="AV276" s="116"/>
      <c r="AW276" s="9" t="str">
        <f>CONCATENATE(AH276,AI276,AJ276,AK276,AL276)</f>
        <v>ES7820858147070330151047</v>
      </c>
      <c r="AZ276" s="159">
        <v>43115</v>
      </c>
    </row>
    <row r="277" spans="1:52" ht="15" customHeight="1" x14ac:dyDescent="0.25">
      <c r="A277" s="72">
        <v>275</v>
      </c>
      <c r="B277" s="80"/>
      <c r="C277" s="156" t="s">
        <v>1653</v>
      </c>
      <c r="D277" s="81"/>
      <c r="E277" s="6"/>
      <c r="F277" s="6"/>
      <c r="G277" s="6"/>
      <c r="H277" s="4"/>
      <c r="I277" s="166"/>
      <c r="J277" s="6"/>
      <c r="K277" s="6"/>
      <c r="L277" s="6"/>
      <c r="M277" s="91"/>
      <c r="N277" s="91"/>
      <c r="O277" s="91"/>
      <c r="P277" s="6"/>
      <c r="Q277" s="92"/>
      <c r="R277" s="92"/>
      <c r="S277" s="92"/>
      <c r="T277" s="6"/>
      <c r="U277" s="6"/>
      <c r="V277" s="6"/>
      <c r="W277" s="4"/>
      <c r="X277" s="6"/>
      <c r="Y277" s="6"/>
      <c r="Z277" s="92"/>
      <c r="AA277" s="6"/>
      <c r="AB277" s="6"/>
      <c r="AC277" s="6"/>
      <c r="AD277" s="6"/>
      <c r="AE277" s="6"/>
      <c r="AF277" s="6"/>
      <c r="AG277" s="93"/>
      <c r="AH277" s="110"/>
      <c r="AI277" s="110"/>
      <c r="AJ277" s="110"/>
      <c r="AK277" s="110"/>
      <c r="AL277" s="110"/>
      <c r="AM277" s="84"/>
      <c r="AN277" s="85">
        <v>30</v>
      </c>
      <c r="AO277" s="85"/>
      <c r="AP277" s="117" t="str">
        <f>C277</f>
        <v>0098</v>
      </c>
      <c r="AR277" s="9"/>
      <c r="AS277" s="9"/>
      <c r="AT277" s="162" t="str">
        <f t="shared" si="6"/>
        <v>-</v>
      </c>
      <c r="AU277" s="9"/>
      <c r="AV277" s="116"/>
    </row>
    <row r="278" spans="1:52" ht="15" customHeight="1" x14ac:dyDescent="0.25">
      <c r="A278" s="72">
        <v>276</v>
      </c>
      <c r="B278" s="80"/>
      <c r="C278" s="157" t="s">
        <v>1717</v>
      </c>
      <c r="D278" s="5" t="s">
        <v>724</v>
      </c>
      <c r="E278" s="5" t="s">
        <v>729</v>
      </c>
      <c r="F278" s="5"/>
      <c r="G278" s="5" t="s">
        <v>811</v>
      </c>
      <c r="H278" s="2"/>
      <c r="I278" s="165">
        <v>43115</v>
      </c>
      <c r="J278" s="5" t="s">
        <v>581</v>
      </c>
      <c r="K278" s="5" t="s">
        <v>1229</v>
      </c>
      <c r="L278" s="5" t="s">
        <v>1231</v>
      </c>
      <c r="M278" s="5" t="str">
        <f>CONCATENATE(K278," ",L278)</f>
        <v>ASCAZ HOSPITALARIA</v>
      </c>
      <c r="N278" s="5"/>
      <c r="O278" s="5"/>
      <c r="P278" s="90" t="s">
        <v>3</v>
      </c>
      <c r="Q278" s="87" t="s">
        <v>95</v>
      </c>
      <c r="R278" s="87" t="s">
        <v>94</v>
      </c>
      <c r="S278" s="87" t="s">
        <v>93</v>
      </c>
      <c r="T278" s="5" t="s">
        <v>2</v>
      </c>
      <c r="U278" s="5" t="s">
        <v>92</v>
      </c>
      <c r="V278" s="5" t="s">
        <v>646</v>
      </c>
      <c r="W278" s="2">
        <v>23154</v>
      </c>
      <c r="X278" s="7">
        <f ca="1">YEAR($X$1)-YEAR(W278)</f>
        <v>55</v>
      </c>
      <c r="Y278" s="5" t="s">
        <v>1</v>
      </c>
      <c r="Z278" s="87" t="s">
        <v>91</v>
      </c>
      <c r="AA278" s="5">
        <v>29</v>
      </c>
      <c r="AB278" s="5" t="s">
        <v>90</v>
      </c>
      <c r="AC278" s="5" t="s">
        <v>0</v>
      </c>
      <c r="AD278" s="5" t="s">
        <v>7</v>
      </c>
      <c r="AE278" s="5">
        <v>33013</v>
      </c>
      <c r="AF278" s="5">
        <v>696812168</v>
      </c>
      <c r="AG278" s="88" t="s">
        <v>1082</v>
      </c>
      <c r="AH278" s="105" t="s">
        <v>89</v>
      </c>
      <c r="AI278" s="105">
        <v>2080</v>
      </c>
      <c r="AJ278" s="105" t="s">
        <v>88</v>
      </c>
      <c r="AK278" s="105">
        <v>11</v>
      </c>
      <c r="AL278" s="105">
        <v>3000004341</v>
      </c>
      <c r="AM278" s="84"/>
      <c r="AN278" s="8"/>
      <c r="AO278" s="89">
        <v>10</v>
      </c>
      <c r="AQ278" s="116" t="str">
        <f>CONCATENATE("NS",C277,"AZ")</f>
        <v>NS0098AZ</v>
      </c>
      <c r="AR278" s="9" t="str">
        <f>CONCATENATE(Q278," ",R278," ",S278)</f>
        <v>MARTA ORTIZ REY</v>
      </c>
      <c r="AS278" s="9"/>
      <c r="AT278" s="162" t="str">
        <f t="shared" si="6"/>
        <v>NS0098AZ-MARTA ORTIZ REY</v>
      </c>
      <c r="AU278" s="9" t="str">
        <f>U278</f>
        <v xml:space="preserve">9363283Y </v>
      </c>
      <c r="AV278" s="116"/>
      <c r="AW278" s="9" t="str">
        <f>CONCATENATE(AH278,AI278,AJ278,AK278,AL278)</f>
        <v>ES3620800271113000004341</v>
      </c>
      <c r="AZ278" s="159">
        <v>43115</v>
      </c>
    </row>
    <row r="279" spans="1:52" ht="15" customHeight="1" x14ac:dyDescent="0.25">
      <c r="A279" s="72">
        <v>277</v>
      </c>
      <c r="B279" s="80"/>
      <c r="C279" s="156" t="s">
        <v>1654</v>
      </c>
      <c r="D279" s="81"/>
      <c r="E279" s="6"/>
      <c r="F279" s="6"/>
      <c r="G279" s="6"/>
      <c r="H279" s="4"/>
      <c r="I279" s="166"/>
      <c r="J279" s="6"/>
      <c r="K279" s="6"/>
      <c r="L279" s="6"/>
      <c r="M279" s="91"/>
      <c r="N279" s="91"/>
      <c r="O279" s="91"/>
      <c r="P279" s="6"/>
      <c r="Q279" s="92"/>
      <c r="R279" s="92"/>
      <c r="S279" s="92"/>
      <c r="T279" s="6"/>
      <c r="U279" s="6"/>
      <c r="V279" s="6"/>
      <c r="W279" s="4"/>
      <c r="X279" s="6"/>
      <c r="Y279" s="6"/>
      <c r="Z279" s="92"/>
      <c r="AA279" s="6"/>
      <c r="AB279" s="6"/>
      <c r="AC279" s="6"/>
      <c r="AD279" s="6"/>
      <c r="AE279" s="6"/>
      <c r="AF279" s="6"/>
      <c r="AG279" s="93"/>
      <c r="AH279" s="110"/>
      <c r="AI279" s="110"/>
      <c r="AJ279" s="110"/>
      <c r="AK279" s="110"/>
      <c r="AL279" s="110"/>
      <c r="AM279" s="84"/>
      <c r="AN279" s="85">
        <v>30</v>
      </c>
      <c r="AO279" s="85"/>
      <c r="AP279" s="117" t="str">
        <f>C279</f>
        <v>0099</v>
      </c>
      <c r="AR279" s="9"/>
      <c r="AS279" s="9"/>
      <c r="AT279" s="162" t="str">
        <f t="shared" si="6"/>
        <v>-</v>
      </c>
      <c r="AU279" s="9"/>
      <c r="AV279" s="116"/>
    </row>
    <row r="280" spans="1:52" ht="15" customHeight="1" x14ac:dyDescent="0.25">
      <c r="A280" s="72">
        <v>278</v>
      </c>
      <c r="B280" s="80"/>
      <c r="C280" s="157" t="s">
        <v>1717</v>
      </c>
      <c r="D280" s="5" t="s">
        <v>783</v>
      </c>
      <c r="E280" s="5" t="s">
        <v>729</v>
      </c>
      <c r="F280" s="5" t="s">
        <v>1192</v>
      </c>
      <c r="G280" s="5" t="s">
        <v>811</v>
      </c>
      <c r="H280" s="2"/>
      <c r="I280" s="165">
        <v>43132</v>
      </c>
      <c r="J280" s="5" t="s">
        <v>581</v>
      </c>
      <c r="K280" s="5" t="s">
        <v>1229</v>
      </c>
      <c r="L280" s="5" t="s">
        <v>1231</v>
      </c>
      <c r="M280" s="5" t="str">
        <f>CONCATENATE(K280," ",L280)</f>
        <v>ASCAZ HOSPITALARIA</v>
      </c>
      <c r="N280" s="5"/>
      <c r="O280" s="5"/>
      <c r="P280" s="90" t="s">
        <v>3</v>
      </c>
      <c r="Q280" s="87" t="s">
        <v>40</v>
      </c>
      <c r="R280" s="87" t="s">
        <v>1151</v>
      </c>
      <c r="S280" s="87" t="s">
        <v>63</v>
      </c>
      <c r="T280" s="5" t="s">
        <v>2</v>
      </c>
      <c r="U280" s="5" t="s">
        <v>87</v>
      </c>
      <c r="V280" s="5" t="s">
        <v>665</v>
      </c>
      <c r="W280" s="2">
        <v>31777</v>
      </c>
      <c r="X280" s="7">
        <f ca="1">YEAR($X$1)-YEAR(W280)</f>
        <v>32</v>
      </c>
      <c r="Y280" s="5" t="s">
        <v>1</v>
      </c>
      <c r="Z280" s="87" t="s">
        <v>39</v>
      </c>
      <c r="AA280" s="5">
        <v>17</v>
      </c>
      <c r="AB280" s="5" t="s">
        <v>86</v>
      </c>
      <c r="AC280" s="5" t="s">
        <v>0</v>
      </c>
      <c r="AD280" s="5" t="s">
        <v>38</v>
      </c>
      <c r="AE280" s="5">
        <v>33900</v>
      </c>
      <c r="AF280" s="5">
        <v>686679668</v>
      </c>
      <c r="AG280" s="88" t="s">
        <v>85</v>
      </c>
      <c r="AH280" s="105" t="s">
        <v>37</v>
      </c>
      <c r="AI280" s="105" t="s">
        <v>17</v>
      </c>
      <c r="AJ280" s="105" t="s">
        <v>36</v>
      </c>
      <c r="AK280" s="105">
        <v>60</v>
      </c>
      <c r="AL280" s="105">
        <v>2590326468</v>
      </c>
      <c r="AM280" s="84"/>
      <c r="AN280" s="8"/>
      <c r="AO280" s="89">
        <v>10</v>
      </c>
      <c r="AQ280" s="116" t="str">
        <f>CONCATENATE("NS",C279,"AZ")</f>
        <v>NS0099AZ</v>
      </c>
      <c r="AR280" s="9" t="str">
        <f>CONCATENATE(Q280," ",R280," ",S280)</f>
        <v>JACOBO PÉREZ  FERNÁNDEZ</v>
      </c>
      <c r="AS280" s="9"/>
      <c r="AT280" s="162" t="str">
        <f t="shared" si="6"/>
        <v>NS0099AZ-JACOBO PÉREZ  FERNÁNDEZ</v>
      </c>
      <c r="AU280" s="9" t="str">
        <f>U280</f>
        <v>76952372F</v>
      </c>
      <c r="AV280" s="116"/>
      <c r="AW280" s="9" t="str">
        <f>CONCATENATE(AH280,AI280,AJ280,AK280,AL280)</f>
        <v>ES6000490865602590326468</v>
      </c>
      <c r="AZ280" s="159">
        <v>43132</v>
      </c>
    </row>
    <row r="281" spans="1:52" ht="15" customHeight="1" x14ac:dyDescent="0.25">
      <c r="A281" s="72">
        <v>279</v>
      </c>
      <c r="B281" s="80"/>
      <c r="C281" s="157" t="s">
        <v>1717</v>
      </c>
      <c r="D281" s="5" t="s">
        <v>800</v>
      </c>
      <c r="E281" s="5" t="s">
        <v>729</v>
      </c>
      <c r="F281" s="5" t="s">
        <v>1192</v>
      </c>
      <c r="G281" s="5" t="s">
        <v>811</v>
      </c>
      <c r="H281" s="2"/>
      <c r="I281" s="165"/>
      <c r="J281" s="5" t="s">
        <v>581</v>
      </c>
      <c r="K281" s="5" t="s">
        <v>1229</v>
      </c>
      <c r="L281" s="5" t="s">
        <v>1230</v>
      </c>
      <c r="M281" s="5" t="str">
        <f>CONCATENATE(K281," ",L281)</f>
        <v>ASCAZ AMBULATORIA</v>
      </c>
      <c r="N281" s="5"/>
      <c r="O281" s="5"/>
      <c r="P281" s="90" t="s">
        <v>818</v>
      </c>
      <c r="Q281" s="87" t="s">
        <v>1125</v>
      </c>
      <c r="R281" s="87" t="s">
        <v>1151</v>
      </c>
      <c r="S281" s="87" t="s">
        <v>1071</v>
      </c>
      <c r="T281" s="5" t="s">
        <v>2</v>
      </c>
      <c r="U281" s="5" t="s">
        <v>1168</v>
      </c>
      <c r="V281" s="5" t="s">
        <v>665</v>
      </c>
      <c r="W281" s="2">
        <v>18464</v>
      </c>
      <c r="X281" s="7">
        <f ca="1">YEAR($X$1)-YEAR(W281)</f>
        <v>68</v>
      </c>
      <c r="Y281" s="5"/>
      <c r="Z281" s="87"/>
      <c r="AA281" s="5"/>
      <c r="AB281" s="5"/>
      <c r="AC281" s="5"/>
      <c r="AD281" s="5"/>
      <c r="AE281" s="5"/>
      <c r="AF281" s="5">
        <v>985683313</v>
      </c>
      <c r="AG281" s="88"/>
      <c r="AH281" s="105"/>
      <c r="AI281" s="105"/>
      <c r="AJ281" s="105"/>
      <c r="AK281" s="105"/>
      <c r="AL281" s="105"/>
      <c r="AM281" s="84"/>
      <c r="AN281" s="8"/>
      <c r="AO281" s="89">
        <v>10</v>
      </c>
      <c r="AR281" s="9"/>
      <c r="AS281" s="9"/>
      <c r="AT281" s="162" t="str">
        <f t="shared" si="6"/>
        <v>-</v>
      </c>
      <c r="AU281" s="9"/>
      <c r="AV281" s="116"/>
    </row>
    <row r="282" spans="1:52" ht="15" customHeight="1" x14ac:dyDescent="0.25">
      <c r="A282" s="72">
        <v>280</v>
      </c>
      <c r="B282" s="80"/>
      <c r="C282" s="157" t="s">
        <v>1717</v>
      </c>
      <c r="D282" s="5" t="s">
        <v>801</v>
      </c>
      <c r="E282" s="5" t="s">
        <v>729</v>
      </c>
      <c r="F282" s="5" t="s">
        <v>1192</v>
      </c>
      <c r="G282" s="5" t="s">
        <v>811</v>
      </c>
      <c r="H282" s="2"/>
      <c r="I282" s="165"/>
      <c r="J282" s="5" t="s">
        <v>581</v>
      </c>
      <c r="K282" s="5" t="s">
        <v>1229</v>
      </c>
      <c r="L282" s="5" t="s">
        <v>1230</v>
      </c>
      <c r="M282" s="5" t="str">
        <f>CONCATENATE(K282," ",L282)</f>
        <v>ASCAZ AMBULATORIA</v>
      </c>
      <c r="N282" s="5"/>
      <c r="O282" s="5"/>
      <c r="P282" s="90" t="s">
        <v>818</v>
      </c>
      <c r="Q282" s="87" t="s">
        <v>1142</v>
      </c>
      <c r="R282" s="87" t="s">
        <v>63</v>
      </c>
      <c r="S282" s="87" t="s">
        <v>1146</v>
      </c>
      <c r="T282" s="5"/>
      <c r="U282" s="5" t="s">
        <v>1169</v>
      </c>
      <c r="V282" s="5" t="s">
        <v>646</v>
      </c>
      <c r="W282" s="2">
        <v>20133</v>
      </c>
      <c r="X282" s="7">
        <f ca="1">YEAR($X$1)-YEAR(W282)</f>
        <v>63</v>
      </c>
      <c r="Y282" s="5"/>
      <c r="Z282" s="87"/>
      <c r="AA282" s="5"/>
      <c r="AB282" s="5"/>
      <c r="AC282" s="5"/>
      <c r="AD282" s="5"/>
      <c r="AE282" s="5"/>
      <c r="AF282" s="5"/>
      <c r="AG282" s="88"/>
      <c r="AH282" s="105"/>
      <c r="AI282" s="105"/>
      <c r="AJ282" s="105"/>
      <c r="AK282" s="105"/>
      <c r="AL282" s="105"/>
      <c r="AM282" s="84"/>
      <c r="AN282" s="8"/>
      <c r="AO282" s="89">
        <v>10</v>
      </c>
      <c r="AR282" s="9"/>
      <c r="AS282" s="9"/>
      <c r="AT282" s="162" t="str">
        <f t="shared" si="6"/>
        <v>-</v>
      </c>
      <c r="AU282" s="9"/>
      <c r="AV282" s="116"/>
    </row>
    <row r="283" spans="1:52" ht="15" customHeight="1" x14ac:dyDescent="0.25">
      <c r="A283" s="72">
        <v>281</v>
      </c>
      <c r="B283" s="80"/>
      <c r="C283" s="156" t="s">
        <v>77</v>
      </c>
      <c r="D283" s="81"/>
      <c r="E283" s="6"/>
      <c r="F283" s="6"/>
      <c r="G283" s="6"/>
      <c r="H283" s="4"/>
      <c r="I283" s="166"/>
      <c r="J283" s="6"/>
      <c r="K283" s="6"/>
      <c r="L283" s="6"/>
      <c r="M283" s="91"/>
      <c r="N283" s="91"/>
      <c r="O283" s="91"/>
      <c r="P283" s="6"/>
      <c r="Q283" s="92"/>
      <c r="R283" s="92"/>
      <c r="S283" s="92"/>
      <c r="T283" s="6"/>
      <c r="U283" s="6"/>
      <c r="V283" s="6"/>
      <c r="W283" s="4"/>
      <c r="X283" s="6"/>
      <c r="Y283" s="6"/>
      <c r="Z283" s="92"/>
      <c r="AA283" s="6"/>
      <c r="AB283" s="6"/>
      <c r="AC283" s="6"/>
      <c r="AD283" s="6"/>
      <c r="AE283" s="6"/>
      <c r="AF283" s="6"/>
      <c r="AG283" s="93"/>
      <c r="AH283" s="110"/>
      <c r="AI283" s="110"/>
      <c r="AJ283" s="110"/>
      <c r="AK283" s="110"/>
      <c r="AL283" s="110"/>
      <c r="AM283" s="84"/>
      <c r="AN283" s="85">
        <v>0</v>
      </c>
      <c r="AO283" s="85"/>
      <c r="AP283" s="117" t="str">
        <f>C283</f>
        <v>0100</v>
      </c>
      <c r="AR283" s="9"/>
      <c r="AS283" s="9"/>
      <c r="AT283" s="162" t="str">
        <f t="shared" si="6"/>
        <v>-</v>
      </c>
      <c r="AU283" s="9"/>
      <c r="AV283" s="116"/>
    </row>
    <row r="284" spans="1:52" ht="15" customHeight="1" x14ac:dyDescent="0.25">
      <c r="A284" s="72">
        <v>282</v>
      </c>
      <c r="B284" s="80"/>
      <c r="C284" s="157" t="s">
        <v>1717</v>
      </c>
      <c r="D284" s="5" t="s">
        <v>784</v>
      </c>
      <c r="E284" s="5"/>
      <c r="F284" s="5" t="s">
        <v>1192</v>
      </c>
      <c r="G284" s="5" t="s">
        <v>810</v>
      </c>
      <c r="H284" s="2"/>
      <c r="I284" s="165">
        <v>43148</v>
      </c>
      <c r="J284" s="5" t="s">
        <v>581</v>
      </c>
      <c r="K284" s="5" t="s">
        <v>1229</v>
      </c>
      <c r="L284" s="5" t="s">
        <v>1231</v>
      </c>
      <c r="M284" s="5" t="str">
        <f>CONCATENATE(K284," ",L284)</f>
        <v>ASCAZ HOSPITALARIA</v>
      </c>
      <c r="N284" s="5"/>
      <c r="O284" s="5"/>
      <c r="P284" s="90" t="s">
        <v>3</v>
      </c>
      <c r="Q284" s="87" t="s">
        <v>1071</v>
      </c>
      <c r="R284" s="87" t="s">
        <v>84</v>
      </c>
      <c r="S284" s="87" t="s">
        <v>83</v>
      </c>
      <c r="T284" s="5" t="s">
        <v>2</v>
      </c>
      <c r="U284" s="5" t="s">
        <v>82</v>
      </c>
      <c r="V284" s="5" t="s">
        <v>665</v>
      </c>
      <c r="W284" s="2">
        <v>31926</v>
      </c>
      <c r="X284" s="7">
        <f ca="1">YEAR($X$1)-YEAR(W284)</f>
        <v>31</v>
      </c>
      <c r="Y284" s="5" t="s">
        <v>1</v>
      </c>
      <c r="Z284" s="87" t="s">
        <v>81</v>
      </c>
      <c r="AA284" s="5">
        <v>17</v>
      </c>
      <c r="AB284" s="5" t="s">
        <v>80</v>
      </c>
      <c r="AC284" s="5" t="s">
        <v>0</v>
      </c>
      <c r="AD284" s="5" t="s">
        <v>31</v>
      </c>
      <c r="AE284" s="5">
        <v>33204</v>
      </c>
      <c r="AF284" s="5">
        <v>667991373</v>
      </c>
      <c r="AG284" s="88" t="s">
        <v>1083</v>
      </c>
      <c r="AH284" s="105" t="s">
        <v>1384</v>
      </c>
      <c r="AI284" s="105" t="s">
        <v>13</v>
      </c>
      <c r="AJ284" s="105" t="s">
        <v>1385</v>
      </c>
      <c r="AK284" s="105" t="s">
        <v>1386</v>
      </c>
      <c r="AL284" s="105" t="s">
        <v>1387</v>
      </c>
      <c r="AM284" s="84"/>
      <c r="AN284" s="8"/>
      <c r="AO284" s="89">
        <v>10</v>
      </c>
      <c r="AQ284" s="116" t="str">
        <f>CONCATENATE("NS",C283,"AZ")</f>
        <v>NS0100AZ</v>
      </c>
      <c r="AR284" s="9" t="str">
        <f>CONCATENATE(Q284," ",R284," ",S284)</f>
        <v>MARTÍN ARROYO JAIME</v>
      </c>
      <c r="AS284" s="9"/>
      <c r="AT284" s="162" t="str">
        <f t="shared" si="6"/>
        <v>NS0100AZ-MARTÍN ARROYO JAIME</v>
      </c>
      <c r="AU284" s="9" t="str">
        <f>U284</f>
        <v>53549078H</v>
      </c>
      <c r="AV284" s="116"/>
      <c r="AW284" s="9" t="str">
        <f>CONCATENATE(AH284,AI284,AJ284,AK284,AL284)</f>
        <v>ES7200815660160006321245</v>
      </c>
      <c r="AZ284" s="159">
        <v>43148</v>
      </c>
    </row>
    <row r="285" spans="1:52" ht="15" customHeight="1" x14ac:dyDescent="0.25">
      <c r="A285" s="72">
        <v>283</v>
      </c>
      <c r="B285" s="80"/>
      <c r="C285" s="156" t="s">
        <v>1655</v>
      </c>
      <c r="D285" s="81"/>
      <c r="E285" s="6"/>
      <c r="F285" s="6"/>
      <c r="G285" s="6"/>
      <c r="H285" s="4"/>
      <c r="I285" s="166"/>
      <c r="J285" s="6"/>
      <c r="K285" s="6"/>
      <c r="L285" s="6"/>
      <c r="M285" s="91"/>
      <c r="N285" s="91"/>
      <c r="O285" s="91"/>
      <c r="P285" s="6"/>
      <c r="Q285" s="92"/>
      <c r="R285" s="92"/>
      <c r="S285" s="92"/>
      <c r="T285" s="6"/>
      <c r="U285" s="6"/>
      <c r="V285" s="6"/>
      <c r="W285" s="4"/>
      <c r="X285" s="6"/>
      <c r="Y285" s="6"/>
      <c r="Z285" s="92"/>
      <c r="AA285" s="6"/>
      <c r="AB285" s="6"/>
      <c r="AC285" s="6"/>
      <c r="AD285" s="6"/>
      <c r="AE285" s="6"/>
      <c r="AF285" s="6"/>
      <c r="AG285" s="93"/>
      <c r="AH285" s="110"/>
      <c r="AI285" s="110"/>
      <c r="AJ285" s="110"/>
      <c r="AK285" s="110"/>
      <c r="AL285" s="110"/>
      <c r="AM285" s="84"/>
      <c r="AN285" s="85">
        <v>30</v>
      </c>
      <c r="AO285" s="85"/>
      <c r="AP285" s="117" t="str">
        <f>C285</f>
        <v>0101</v>
      </c>
      <c r="AR285" s="9"/>
      <c r="AS285" s="9"/>
      <c r="AT285" s="162" t="str">
        <f t="shared" si="6"/>
        <v>-</v>
      </c>
      <c r="AU285" s="9"/>
      <c r="AV285" s="116"/>
    </row>
    <row r="286" spans="1:52" ht="15" customHeight="1" x14ac:dyDescent="0.25">
      <c r="A286" s="72">
        <v>284</v>
      </c>
      <c r="B286" s="80"/>
      <c r="C286" s="157" t="s">
        <v>1717</v>
      </c>
      <c r="D286" s="5" t="s">
        <v>785</v>
      </c>
      <c r="E286" s="5" t="s">
        <v>729</v>
      </c>
      <c r="F286" s="5" t="s">
        <v>1192</v>
      </c>
      <c r="G286" s="5" t="s">
        <v>810</v>
      </c>
      <c r="H286" s="2"/>
      <c r="I286" s="165">
        <v>43104</v>
      </c>
      <c r="J286" s="5" t="s">
        <v>581</v>
      </c>
      <c r="K286" s="5" t="s">
        <v>1229</v>
      </c>
      <c r="L286" s="5" t="s">
        <v>1230</v>
      </c>
      <c r="M286" s="5" t="str">
        <f>CONCATENATE(K286," ",L286)</f>
        <v>ASCAZ AMBULATORIA</v>
      </c>
      <c r="N286" s="5"/>
      <c r="O286" s="5"/>
      <c r="P286" s="90" t="s">
        <v>3</v>
      </c>
      <c r="Q286" s="87" t="s">
        <v>1084</v>
      </c>
      <c r="R286" s="87" t="s">
        <v>174</v>
      </c>
      <c r="S286" s="87" t="s">
        <v>1085</v>
      </c>
      <c r="T286" s="5" t="s">
        <v>2</v>
      </c>
      <c r="U286" s="5" t="s">
        <v>79</v>
      </c>
      <c r="V286" s="5" t="s">
        <v>665</v>
      </c>
      <c r="W286" s="2">
        <v>28292</v>
      </c>
      <c r="X286" s="7">
        <f ca="1">YEAR($X$1)-YEAR(W286)</f>
        <v>41</v>
      </c>
      <c r="Y286" s="5" t="s">
        <v>1</v>
      </c>
      <c r="Z286" s="87" t="s">
        <v>1086</v>
      </c>
      <c r="AA286" s="5">
        <v>60</v>
      </c>
      <c r="AB286" s="5" t="s">
        <v>78</v>
      </c>
      <c r="AC286" s="5" t="s">
        <v>0</v>
      </c>
      <c r="AD286" s="5" t="s">
        <v>31</v>
      </c>
      <c r="AE286" s="5">
        <v>33209</v>
      </c>
      <c r="AF286" s="5">
        <v>657196950</v>
      </c>
      <c r="AG286" s="88" t="s">
        <v>1087</v>
      </c>
      <c r="AH286" s="105" t="s">
        <v>276</v>
      </c>
      <c r="AI286" s="105">
        <v>1465</v>
      </c>
      <c r="AJ286" s="105" t="s">
        <v>77</v>
      </c>
      <c r="AK286" s="105">
        <v>97</v>
      </c>
      <c r="AL286" s="105">
        <v>1700437383</v>
      </c>
      <c r="AM286" s="84"/>
      <c r="AN286" s="8"/>
      <c r="AO286" s="89">
        <v>10</v>
      </c>
      <c r="AQ286" s="116" t="str">
        <f>CONCATENATE("NS",C285,"AZ")</f>
        <v>NS0101AZ</v>
      </c>
      <c r="AR286" s="9" t="str">
        <f>CONCATENATE(Q286," ",R286," ",S286)</f>
        <v>OLIVER DAVID MENÉNDEZ GUARDADO</v>
      </c>
      <c r="AS286" s="9"/>
      <c r="AT286" s="162" t="str">
        <f t="shared" si="6"/>
        <v>NS0101AZ-OLIVER DAVID MENÉNDEZ GUARDADO</v>
      </c>
      <c r="AU286" s="9" t="str">
        <f>U286</f>
        <v>53540044T</v>
      </c>
      <c r="AV286" s="116"/>
      <c r="AW286" s="9" t="str">
        <f>CONCATENATE(AH286,AI286,AJ286,AK286,AL286)</f>
        <v>ES4314650100971700437383</v>
      </c>
      <c r="AZ286" s="159">
        <v>43104</v>
      </c>
    </row>
    <row r="287" spans="1:52" ht="15" customHeight="1" x14ac:dyDescent="0.25">
      <c r="A287" s="72">
        <v>285</v>
      </c>
      <c r="B287" s="80"/>
      <c r="C287" s="157" t="s">
        <v>1717</v>
      </c>
      <c r="D287" s="5" t="s">
        <v>786</v>
      </c>
      <c r="E287" s="5" t="s">
        <v>729</v>
      </c>
      <c r="F287" s="5" t="s">
        <v>1192</v>
      </c>
      <c r="G287" s="5" t="s">
        <v>810</v>
      </c>
      <c r="H287" s="2"/>
      <c r="I287" s="165"/>
      <c r="J287" s="5" t="s">
        <v>581</v>
      </c>
      <c r="K287" s="5" t="s">
        <v>1229</v>
      </c>
      <c r="L287" s="5" t="s">
        <v>1230</v>
      </c>
      <c r="M287" s="5" t="str">
        <f>CONCATENATE(K287," ",L287)</f>
        <v>ASCAZ AMBULATORIA</v>
      </c>
      <c r="N287" s="5"/>
      <c r="O287" s="5"/>
      <c r="P287" s="90" t="s">
        <v>815</v>
      </c>
      <c r="Q287" s="87" t="s">
        <v>1088</v>
      </c>
      <c r="R287" s="87" t="s">
        <v>174</v>
      </c>
      <c r="S287" s="87" t="s">
        <v>1089</v>
      </c>
      <c r="T287" s="5" t="s">
        <v>2</v>
      </c>
      <c r="U287" s="5" t="s">
        <v>76</v>
      </c>
      <c r="V287" s="5" t="s">
        <v>665</v>
      </c>
      <c r="W287" s="2">
        <v>40068</v>
      </c>
      <c r="X287" s="7">
        <f ca="1">YEAR($X$1)-YEAR(W287)</f>
        <v>9</v>
      </c>
      <c r="Y287" s="5"/>
      <c r="Z287" s="87"/>
      <c r="AA287" s="5"/>
      <c r="AB287" s="5"/>
      <c r="AC287" s="5"/>
      <c r="AD287" s="5"/>
      <c r="AE287" s="5"/>
      <c r="AF287" s="5"/>
      <c r="AG287" s="88"/>
      <c r="AH287" s="105"/>
      <c r="AI287" s="105"/>
      <c r="AJ287" s="105"/>
      <c r="AK287" s="105"/>
      <c r="AL287" s="105"/>
      <c r="AM287" s="84"/>
      <c r="AN287" s="8"/>
      <c r="AO287" s="89">
        <v>10</v>
      </c>
      <c r="AR287" s="9"/>
      <c r="AS287" s="9"/>
      <c r="AT287" s="162" t="str">
        <f t="shared" si="6"/>
        <v>-</v>
      </c>
      <c r="AU287" s="9"/>
      <c r="AV287" s="116"/>
    </row>
    <row r="288" spans="1:52" ht="15" customHeight="1" x14ac:dyDescent="0.25">
      <c r="A288" s="72">
        <v>286</v>
      </c>
      <c r="B288" s="80"/>
      <c r="C288" s="157" t="s">
        <v>1717</v>
      </c>
      <c r="D288" s="5" t="s">
        <v>787</v>
      </c>
      <c r="E288" s="5" t="s">
        <v>729</v>
      </c>
      <c r="F288" s="5" t="s">
        <v>1192</v>
      </c>
      <c r="G288" s="5" t="s">
        <v>810</v>
      </c>
      <c r="H288" s="2"/>
      <c r="I288" s="165"/>
      <c r="J288" s="5" t="s">
        <v>581</v>
      </c>
      <c r="K288" s="5" t="s">
        <v>1229</v>
      </c>
      <c r="L288" s="5" t="s">
        <v>1230</v>
      </c>
      <c r="M288" s="5" t="str">
        <f>CONCATENATE(K288," ",L288)</f>
        <v>ASCAZ AMBULATORIA</v>
      </c>
      <c r="N288" s="5"/>
      <c r="O288" s="5"/>
      <c r="P288" s="90" t="s">
        <v>818</v>
      </c>
      <c r="Q288" s="87" t="s">
        <v>1090</v>
      </c>
      <c r="R288" s="87" t="s">
        <v>1085</v>
      </c>
      <c r="S288" s="87" t="s">
        <v>546</v>
      </c>
      <c r="T288" s="5" t="s">
        <v>2</v>
      </c>
      <c r="U288" s="5" t="s">
        <v>75</v>
      </c>
      <c r="V288" s="5" t="s">
        <v>646</v>
      </c>
      <c r="W288" s="2">
        <v>20144</v>
      </c>
      <c r="X288" s="7">
        <f ca="1">YEAR($X$1)-YEAR(W288)</f>
        <v>63</v>
      </c>
      <c r="Y288" s="5"/>
      <c r="Z288" s="87"/>
      <c r="AA288" s="5"/>
      <c r="AB288" s="5"/>
      <c r="AC288" s="5"/>
      <c r="AD288" s="5"/>
      <c r="AE288" s="5"/>
      <c r="AF288" s="5"/>
      <c r="AG288" s="88"/>
      <c r="AH288" s="105"/>
      <c r="AI288" s="105"/>
      <c r="AJ288" s="105"/>
      <c r="AK288" s="105"/>
      <c r="AL288" s="105"/>
      <c r="AM288" s="84"/>
      <c r="AN288" s="8"/>
      <c r="AO288" s="89">
        <v>10</v>
      </c>
      <c r="AR288" s="9"/>
      <c r="AS288" s="9"/>
      <c r="AT288" s="162" t="str">
        <f t="shared" si="6"/>
        <v>-</v>
      </c>
      <c r="AU288" s="9"/>
      <c r="AV288" s="116"/>
    </row>
    <row r="289" spans="1:52" ht="15" customHeight="1" x14ac:dyDescent="0.25">
      <c r="A289" s="72">
        <v>287</v>
      </c>
      <c r="B289" s="80"/>
      <c r="C289" s="157" t="s">
        <v>1717</v>
      </c>
      <c r="D289" s="5" t="s">
        <v>788</v>
      </c>
      <c r="E289" s="5" t="s">
        <v>729</v>
      </c>
      <c r="F289" s="5" t="s">
        <v>1192</v>
      </c>
      <c r="G289" s="5" t="s">
        <v>810</v>
      </c>
      <c r="H289" s="2"/>
      <c r="I289" s="165"/>
      <c r="J289" s="5" t="s">
        <v>581</v>
      </c>
      <c r="K289" s="5" t="s">
        <v>1229</v>
      </c>
      <c r="L289" s="5" t="s">
        <v>1230</v>
      </c>
      <c r="M289" s="5" t="str">
        <f>CONCATENATE(K289," ",L289)</f>
        <v>ASCAZ AMBULATORIA</v>
      </c>
      <c r="N289" s="5"/>
      <c r="O289" s="5"/>
      <c r="P289" s="90" t="s">
        <v>814</v>
      </c>
      <c r="Q289" s="87" t="s">
        <v>1091</v>
      </c>
      <c r="R289" s="87" t="s">
        <v>174</v>
      </c>
      <c r="S289" s="87" t="s">
        <v>1085</v>
      </c>
      <c r="T289" s="5" t="s">
        <v>2</v>
      </c>
      <c r="U289" s="5" t="s">
        <v>74</v>
      </c>
      <c r="V289" s="5" t="s">
        <v>665</v>
      </c>
      <c r="W289" s="2">
        <v>29032</v>
      </c>
      <c r="X289" s="7">
        <f ca="1">YEAR($X$1)-YEAR(W289)</f>
        <v>39</v>
      </c>
      <c r="Y289" s="5"/>
      <c r="Z289" s="87"/>
      <c r="AA289" s="5"/>
      <c r="AB289" s="5"/>
      <c r="AC289" s="5"/>
      <c r="AD289" s="5"/>
      <c r="AE289" s="5"/>
      <c r="AF289" s="5"/>
      <c r="AG289" s="88"/>
      <c r="AH289" s="105"/>
      <c r="AI289" s="105"/>
      <c r="AJ289" s="105"/>
      <c r="AK289" s="105"/>
      <c r="AL289" s="105"/>
      <c r="AM289" s="84"/>
      <c r="AN289" s="8"/>
      <c r="AO289" s="89">
        <v>10</v>
      </c>
      <c r="AR289" s="9"/>
      <c r="AS289" s="9"/>
      <c r="AT289" s="162" t="str">
        <f t="shared" si="6"/>
        <v>-</v>
      </c>
      <c r="AU289" s="9"/>
      <c r="AV289" s="116"/>
    </row>
    <row r="290" spans="1:52" ht="15" customHeight="1" x14ac:dyDescent="0.25">
      <c r="A290" s="72">
        <v>288</v>
      </c>
      <c r="B290" s="80"/>
      <c r="C290" s="156" t="s">
        <v>1656</v>
      </c>
      <c r="D290" s="81"/>
      <c r="E290" s="6"/>
      <c r="F290" s="6"/>
      <c r="G290" s="6"/>
      <c r="H290" s="4"/>
      <c r="I290" s="166"/>
      <c r="J290" s="6"/>
      <c r="K290" s="6"/>
      <c r="L290" s="6"/>
      <c r="M290" s="91"/>
      <c r="N290" s="91"/>
      <c r="O290" s="91"/>
      <c r="P290" s="6"/>
      <c r="Q290" s="92"/>
      <c r="R290" s="92"/>
      <c r="S290" s="92"/>
      <c r="T290" s="6"/>
      <c r="U290" s="6"/>
      <c r="V290" s="6"/>
      <c r="W290" s="4"/>
      <c r="X290" s="6"/>
      <c r="Y290" s="6"/>
      <c r="Z290" s="92"/>
      <c r="AA290" s="6"/>
      <c r="AB290" s="6"/>
      <c r="AC290" s="6"/>
      <c r="AD290" s="6"/>
      <c r="AE290" s="6"/>
      <c r="AF290" s="6"/>
      <c r="AG290" s="93"/>
      <c r="AH290" s="110"/>
      <c r="AI290" s="110"/>
      <c r="AJ290" s="110"/>
      <c r="AK290" s="110"/>
      <c r="AL290" s="110"/>
      <c r="AM290" s="84"/>
      <c r="AN290" s="85">
        <v>30</v>
      </c>
      <c r="AO290" s="85"/>
      <c r="AP290" s="117" t="str">
        <f>C290</f>
        <v>0102</v>
      </c>
      <c r="AR290" s="9"/>
      <c r="AS290" s="9"/>
      <c r="AT290" s="162" t="str">
        <f t="shared" si="6"/>
        <v>-</v>
      </c>
      <c r="AU290" s="9"/>
      <c r="AV290" s="116"/>
    </row>
    <row r="291" spans="1:52" ht="15" customHeight="1" x14ac:dyDescent="0.25">
      <c r="A291" s="72">
        <v>289</v>
      </c>
      <c r="B291" s="80"/>
      <c r="C291" s="157" t="s">
        <v>1717</v>
      </c>
      <c r="D291" s="5" t="s">
        <v>789</v>
      </c>
      <c r="E291" s="5" t="s">
        <v>729</v>
      </c>
      <c r="F291" s="5" t="s">
        <v>1354</v>
      </c>
      <c r="G291" s="5" t="s">
        <v>811</v>
      </c>
      <c r="H291" s="2"/>
      <c r="I291" s="165">
        <v>43138</v>
      </c>
      <c r="J291" s="5" t="s">
        <v>729</v>
      </c>
      <c r="K291" s="5"/>
      <c r="L291" s="5"/>
      <c r="M291" s="5" t="str">
        <f>CONCATENATE(K291," ",L291)</f>
        <v xml:space="preserve"> </v>
      </c>
      <c r="N291" s="5"/>
      <c r="O291" s="5"/>
      <c r="P291" s="90" t="s">
        <v>3</v>
      </c>
      <c r="Q291" s="87" t="s">
        <v>1143</v>
      </c>
      <c r="R291" s="87" t="s">
        <v>73</v>
      </c>
      <c r="S291" s="87" t="s">
        <v>72</v>
      </c>
      <c r="T291" s="5" t="s">
        <v>2</v>
      </c>
      <c r="U291" s="5" t="s">
        <v>71</v>
      </c>
      <c r="V291" s="5" t="s">
        <v>646</v>
      </c>
      <c r="W291" s="2">
        <v>20906</v>
      </c>
      <c r="X291" s="7">
        <f ca="1">YEAR($X$1)-YEAR(W291)</f>
        <v>61</v>
      </c>
      <c r="Y291" s="5"/>
      <c r="Z291" s="87" t="s">
        <v>70</v>
      </c>
      <c r="AA291" s="5" t="s">
        <v>69</v>
      </c>
      <c r="AB291" s="5" t="s">
        <v>1092</v>
      </c>
      <c r="AC291" s="5" t="s">
        <v>0</v>
      </c>
      <c r="AD291" s="5" t="s">
        <v>31</v>
      </c>
      <c r="AE291" s="5">
        <v>33209</v>
      </c>
      <c r="AF291" s="5">
        <v>699725110</v>
      </c>
      <c r="AG291" s="88" t="s">
        <v>1093</v>
      </c>
      <c r="AH291" s="105" t="s">
        <v>315</v>
      </c>
      <c r="AI291" s="105" t="s">
        <v>13</v>
      </c>
      <c r="AJ291" s="105" t="s">
        <v>1411</v>
      </c>
      <c r="AK291" s="105" t="s">
        <v>1171</v>
      </c>
      <c r="AL291" s="105" t="s">
        <v>1412</v>
      </c>
      <c r="AM291" s="84"/>
      <c r="AN291" s="8"/>
      <c r="AO291" s="89">
        <v>10</v>
      </c>
      <c r="AQ291" s="116" t="str">
        <f>CONCATENATE("NS",C290,"AZ")</f>
        <v>NS0102AZ</v>
      </c>
      <c r="AR291" s="9" t="str">
        <f>CONCATENATE(Q291," ",R291," ",S291)</f>
        <v>MARÍA LAURA VICTORERO CARAVIA</v>
      </c>
      <c r="AS291" s="9"/>
      <c r="AT291" s="162" t="str">
        <f t="shared" si="6"/>
        <v>NS0102AZ-MARÍA LAURA VICTORERO CARAVIA</v>
      </c>
      <c r="AU291" s="9" t="str">
        <f>U291</f>
        <v>10811555Z</v>
      </c>
      <c r="AV291" s="116"/>
      <c r="AW291" s="9" t="str">
        <f>CONCATENATE(AH291,AI291,AJ291,AK291,AL291)</f>
        <v>ES3300815646250001103412</v>
      </c>
      <c r="AZ291" s="159">
        <v>43138</v>
      </c>
    </row>
    <row r="292" spans="1:52" ht="15" customHeight="1" x14ac:dyDescent="0.25">
      <c r="A292" s="72">
        <v>290</v>
      </c>
      <c r="B292" s="80"/>
      <c r="C292" s="157" t="s">
        <v>1717</v>
      </c>
      <c r="D292" s="5" t="s">
        <v>790</v>
      </c>
      <c r="E292" s="5" t="s">
        <v>729</v>
      </c>
      <c r="F292" s="5" t="s">
        <v>1354</v>
      </c>
      <c r="G292" s="5" t="s">
        <v>811</v>
      </c>
      <c r="H292" s="2"/>
      <c r="I292" s="165"/>
      <c r="J292" s="5" t="s">
        <v>581</v>
      </c>
      <c r="K292" s="5" t="s">
        <v>1229</v>
      </c>
      <c r="L292" s="5" t="s">
        <v>1230</v>
      </c>
      <c r="M292" s="5" t="str">
        <f>CONCATENATE(K292," ",L292)</f>
        <v>ASCAZ AMBULATORIA</v>
      </c>
      <c r="N292" s="5"/>
      <c r="O292" s="5"/>
      <c r="P292" s="90" t="s">
        <v>815</v>
      </c>
      <c r="Q292" s="87" t="s">
        <v>438</v>
      </c>
      <c r="R292" s="87" t="s">
        <v>63</v>
      </c>
      <c r="S292" s="87" t="s">
        <v>1094</v>
      </c>
      <c r="T292" s="5" t="s">
        <v>2</v>
      </c>
      <c r="U292" s="5" t="s">
        <v>68</v>
      </c>
      <c r="V292" s="5" t="s">
        <v>646</v>
      </c>
      <c r="W292" s="2">
        <v>35338</v>
      </c>
      <c r="X292" s="7">
        <f ca="1">YEAR($X$1)-YEAR(W292)</f>
        <v>22</v>
      </c>
      <c r="Y292" s="5"/>
      <c r="Z292" s="87"/>
      <c r="AA292" s="5"/>
      <c r="AB292" s="5"/>
      <c r="AC292" s="5"/>
      <c r="AD292" s="5"/>
      <c r="AE292" s="5"/>
      <c r="AF292" s="5"/>
      <c r="AG292" s="88"/>
      <c r="AH292" s="105"/>
      <c r="AI292" s="105"/>
      <c r="AJ292" s="105"/>
      <c r="AK292" s="105"/>
      <c r="AL292" s="105"/>
      <c r="AM292" s="84"/>
      <c r="AN292" s="8"/>
      <c r="AO292" s="89">
        <v>10</v>
      </c>
      <c r="AR292" s="9"/>
      <c r="AS292" s="9"/>
      <c r="AT292" s="162" t="str">
        <f t="shared" si="6"/>
        <v>-</v>
      </c>
      <c r="AU292" s="9"/>
      <c r="AV292" s="116"/>
    </row>
    <row r="293" spans="1:52" ht="15" customHeight="1" x14ac:dyDescent="0.25">
      <c r="A293" s="72">
        <v>291</v>
      </c>
      <c r="B293" s="80"/>
      <c r="C293" s="156" t="s">
        <v>1657</v>
      </c>
      <c r="D293" s="81"/>
      <c r="E293" s="6"/>
      <c r="F293" s="6"/>
      <c r="G293" s="6"/>
      <c r="H293" s="4"/>
      <c r="I293" s="166"/>
      <c r="J293" s="6"/>
      <c r="K293" s="6"/>
      <c r="L293" s="6"/>
      <c r="M293" s="91"/>
      <c r="N293" s="91"/>
      <c r="O293" s="91"/>
      <c r="P293" s="6"/>
      <c r="Q293" s="92"/>
      <c r="R293" s="92"/>
      <c r="S293" s="92"/>
      <c r="T293" s="6"/>
      <c r="U293" s="6"/>
      <c r="V293" s="6"/>
      <c r="W293" s="4"/>
      <c r="X293" s="6"/>
      <c r="Y293" s="6"/>
      <c r="Z293" s="92"/>
      <c r="AA293" s="6"/>
      <c r="AB293" s="6"/>
      <c r="AC293" s="6"/>
      <c r="AD293" s="6"/>
      <c r="AE293" s="6"/>
      <c r="AF293" s="6"/>
      <c r="AG293" s="93"/>
      <c r="AH293" s="110"/>
      <c r="AI293" s="110"/>
      <c r="AJ293" s="110"/>
      <c r="AK293" s="110"/>
      <c r="AL293" s="110"/>
      <c r="AM293" s="84"/>
      <c r="AN293" s="85">
        <v>30</v>
      </c>
      <c r="AO293" s="85"/>
      <c r="AP293" s="117" t="str">
        <f>C293</f>
        <v>0103</v>
      </c>
      <c r="AR293" s="9"/>
      <c r="AS293" s="9"/>
      <c r="AT293" s="162" t="str">
        <f t="shared" si="6"/>
        <v>-</v>
      </c>
      <c r="AU293" s="9"/>
      <c r="AV293" s="116"/>
    </row>
    <row r="294" spans="1:52" ht="15" customHeight="1" x14ac:dyDescent="0.25">
      <c r="A294" s="72">
        <v>292</v>
      </c>
      <c r="B294" s="80"/>
      <c r="C294" s="157" t="s">
        <v>1717</v>
      </c>
      <c r="D294" s="5" t="s">
        <v>791</v>
      </c>
      <c r="E294" s="5" t="s">
        <v>729</v>
      </c>
      <c r="F294" s="5" t="s">
        <v>733</v>
      </c>
      <c r="G294" s="5" t="s">
        <v>811</v>
      </c>
      <c r="H294" s="2"/>
      <c r="I294" s="165">
        <v>43097</v>
      </c>
      <c r="J294" s="5" t="s">
        <v>581</v>
      </c>
      <c r="K294" s="5" t="s">
        <v>1229</v>
      </c>
      <c r="L294" s="5" t="s">
        <v>1230</v>
      </c>
      <c r="M294" s="5" t="str">
        <f>CONCATENATE(K294," ",L294)</f>
        <v>ASCAZ AMBULATORIA</v>
      </c>
      <c r="N294" s="5"/>
      <c r="O294" s="5"/>
      <c r="P294" s="90" t="s">
        <v>3</v>
      </c>
      <c r="Q294" s="87" t="s">
        <v>1095</v>
      </c>
      <c r="R294" s="87" t="s">
        <v>1096</v>
      </c>
      <c r="S294" s="87" t="s">
        <v>63</v>
      </c>
      <c r="T294" s="5" t="s">
        <v>2</v>
      </c>
      <c r="U294" s="5" t="s">
        <v>67</v>
      </c>
      <c r="V294" s="5" t="s">
        <v>646</v>
      </c>
      <c r="W294" s="2">
        <v>31456</v>
      </c>
      <c r="X294" s="7">
        <f ca="1">YEAR($X$1)-YEAR(W294)</f>
        <v>32</v>
      </c>
      <c r="Y294" s="5" t="s">
        <v>1</v>
      </c>
      <c r="Z294" s="87" t="s">
        <v>1097</v>
      </c>
      <c r="AA294" s="5">
        <v>4</v>
      </c>
      <c r="AB294" s="5" t="s">
        <v>1098</v>
      </c>
      <c r="AC294" s="5" t="s">
        <v>0</v>
      </c>
      <c r="AD294" s="5" t="s">
        <v>31</v>
      </c>
      <c r="AE294" s="5">
        <v>33209</v>
      </c>
      <c r="AF294" s="5">
        <v>671166240</v>
      </c>
      <c r="AG294" s="88" t="s">
        <v>1099</v>
      </c>
      <c r="AH294" s="105" t="s">
        <v>58</v>
      </c>
      <c r="AI294" s="105">
        <v>3035</v>
      </c>
      <c r="AJ294" s="105" t="s">
        <v>66</v>
      </c>
      <c r="AK294" s="105">
        <v>66</v>
      </c>
      <c r="AL294" s="105">
        <v>3730001910</v>
      </c>
      <c r="AM294" s="84"/>
      <c r="AN294" s="8"/>
      <c r="AO294" s="89">
        <v>10</v>
      </c>
      <c r="AQ294" s="116" t="str">
        <f>CONCATENATE("NS",C293,"AZ")</f>
        <v>NS0103AZ</v>
      </c>
      <c r="AR294" s="9" t="str">
        <f>CONCATENATE(Q294," ",R294," ",S294)</f>
        <v>LETICIA PRIDA FERNÁNDEZ</v>
      </c>
      <c r="AS294" s="9"/>
      <c r="AT294" s="162" t="str">
        <f t="shared" si="6"/>
        <v>NS0103AZ-LETICIA PRIDA FERNÁNDEZ</v>
      </c>
      <c r="AU294" s="9" t="str">
        <f>U294</f>
        <v>15505525Y</v>
      </c>
      <c r="AV294" s="116"/>
      <c r="AW294" s="9" t="str">
        <f>CONCATENATE(AH294,AI294,AJ294,AK294,AL294)</f>
        <v>ES8530350373663730001910</v>
      </c>
      <c r="AZ294" s="159">
        <v>43097</v>
      </c>
    </row>
    <row r="295" spans="1:52" ht="15" customHeight="1" x14ac:dyDescent="0.25">
      <c r="A295" s="72">
        <v>293</v>
      </c>
      <c r="B295" s="80"/>
      <c r="C295" s="157" t="s">
        <v>1717</v>
      </c>
      <c r="D295" s="5" t="s">
        <v>792</v>
      </c>
      <c r="E295" s="5" t="s">
        <v>729</v>
      </c>
      <c r="F295" s="5" t="s">
        <v>733</v>
      </c>
      <c r="G295" s="5" t="s">
        <v>811</v>
      </c>
      <c r="H295" s="2"/>
      <c r="I295" s="165"/>
      <c r="J295" s="5" t="s">
        <v>581</v>
      </c>
      <c r="K295" s="5" t="s">
        <v>1229</v>
      </c>
      <c r="L295" s="5" t="s">
        <v>1231</v>
      </c>
      <c r="M295" s="5" t="str">
        <f>CONCATENATE(K295," ",L295)</f>
        <v>ASCAZ HOSPITALARIA</v>
      </c>
      <c r="N295" s="5"/>
      <c r="O295" s="5"/>
      <c r="P295" s="5" t="s">
        <v>43</v>
      </c>
      <c r="Q295" s="87" t="s">
        <v>229</v>
      </c>
      <c r="R295" s="87" t="s">
        <v>1149</v>
      </c>
      <c r="S295" s="87" t="s">
        <v>1100</v>
      </c>
      <c r="T295" s="5" t="s">
        <v>2</v>
      </c>
      <c r="U295" s="5" t="s">
        <v>65</v>
      </c>
      <c r="V295" s="5" t="s">
        <v>665</v>
      </c>
      <c r="W295" s="2">
        <v>29838</v>
      </c>
      <c r="X295" s="7">
        <f ca="1">YEAR($X$1)-YEAR(W295)</f>
        <v>37</v>
      </c>
      <c r="Y295" s="5"/>
      <c r="Z295" s="87"/>
      <c r="AA295" s="5"/>
      <c r="AB295" s="5"/>
      <c r="AC295" s="5"/>
      <c r="AD295" s="5"/>
      <c r="AE295" s="5"/>
      <c r="AF295" s="5"/>
      <c r="AG295" s="88"/>
      <c r="AH295" s="105"/>
      <c r="AI295" s="105"/>
      <c r="AJ295" s="105"/>
      <c r="AK295" s="105"/>
      <c r="AL295" s="105"/>
      <c r="AM295" s="84"/>
      <c r="AN295" s="8"/>
      <c r="AO295" s="89">
        <v>10</v>
      </c>
      <c r="AR295" s="9"/>
      <c r="AS295" s="9"/>
      <c r="AT295" s="162" t="str">
        <f t="shared" si="6"/>
        <v>-</v>
      </c>
      <c r="AU295" s="9"/>
      <c r="AV295" s="116"/>
    </row>
    <row r="296" spans="1:52" ht="15" customHeight="1" x14ac:dyDescent="0.25">
      <c r="A296" s="72">
        <v>294</v>
      </c>
      <c r="B296" s="80"/>
      <c r="C296" s="156" t="s">
        <v>1658</v>
      </c>
      <c r="D296" s="81"/>
      <c r="E296" s="6"/>
      <c r="F296" s="6"/>
      <c r="G296" s="6"/>
      <c r="H296" s="4"/>
      <c r="I296" s="166"/>
      <c r="J296" s="6"/>
      <c r="K296" s="6"/>
      <c r="L296" s="6"/>
      <c r="M296" s="91"/>
      <c r="N296" s="91"/>
      <c r="O296" s="91"/>
      <c r="P296" s="6"/>
      <c r="Q296" s="92"/>
      <c r="R296" s="92"/>
      <c r="S296" s="92"/>
      <c r="T296" s="6"/>
      <c r="U296" s="6"/>
      <c r="V296" s="6"/>
      <c r="W296" s="4"/>
      <c r="X296" s="6"/>
      <c r="Y296" s="6"/>
      <c r="Z296" s="92"/>
      <c r="AA296" s="6"/>
      <c r="AB296" s="6"/>
      <c r="AC296" s="6"/>
      <c r="AD296" s="6"/>
      <c r="AE296" s="6"/>
      <c r="AF296" s="6"/>
      <c r="AG296" s="93"/>
      <c r="AH296" s="110"/>
      <c r="AI296" s="110"/>
      <c r="AJ296" s="110"/>
      <c r="AK296" s="110"/>
      <c r="AL296" s="110"/>
      <c r="AM296" s="84"/>
      <c r="AN296" s="85">
        <v>30</v>
      </c>
      <c r="AO296" s="85"/>
      <c r="AP296" s="117" t="str">
        <f>C296</f>
        <v>0104</v>
      </c>
      <c r="AR296" s="9"/>
      <c r="AS296" s="9"/>
      <c r="AT296" s="162" t="str">
        <f t="shared" si="6"/>
        <v>-</v>
      </c>
      <c r="AU296" s="9"/>
      <c r="AV296" s="116"/>
    </row>
    <row r="297" spans="1:52" ht="15" customHeight="1" x14ac:dyDescent="0.25">
      <c r="A297" s="72">
        <v>295</v>
      </c>
      <c r="B297" s="80"/>
      <c r="C297" s="157" t="s">
        <v>1717</v>
      </c>
      <c r="D297" s="5" t="s">
        <v>793</v>
      </c>
      <c r="E297" s="5" t="s">
        <v>729</v>
      </c>
      <c r="F297" s="5"/>
      <c r="G297" s="5" t="s">
        <v>811</v>
      </c>
      <c r="H297" s="2"/>
      <c r="I297" s="165">
        <v>43112</v>
      </c>
      <c r="J297" s="5" t="s">
        <v>581</v>
      </c>
      <c r="K297" s="5" t="s">
        <v>1229</v>
      </c>
      <c r="L297" s="5" t="s">
        <v>1230</v>
      </c>
      <c r="M297" s="5" t="str">
        <f>CONCATENATE(K297," ",L297)</f>
        <v>ASCAZ AMBULATORIA</v>
      </c>
      <c r="N297" s="5"/>
      <c r="O297" s="5"/>
      <c r="P297" s="90" t="s">
        <v>3</v>
      </c>
      <c r="Q297" s="87" t="s">
        <v>64</v>
      </c>
      <c r="R297" s="87" t="s">
        <v>63</v>
      </c>
      <c r="S297" s="87" t="s">
        <v>62</v>
      </c>
      <c r="T297" s="5" t="s">
        <v>2</v>
      </c>
      <c r="U297" s="5" t="s">
        <v>61</v>
      </c>
      <c r="V297" s="5" t="s">
        <v>665</v>
      </c>
      <c r="W297" s="2">
        <v>23131</v>
      </c>
      <c r="X297" s="7">
        <f ca="1">YEAR($X$1)-YEAR(W297)</f>
        <v>55</v>
      </c>
      <c r="Y297" s="5" t="s">
        <v>1</v>
      </c>
      <c r="Z297" s="87" t="s">
        <v>60</v>
      </c>
      <c r="AA297" s="5">
        <v>25</v>
      </c>
      <c r="AB297" s="5" t="s">
        <v>59</v>
      </c>
      <c r="AC297" s="5" t="s">
        <v>0</v>
      </c>
      <c r="AD297" s="5" t="s">
        <v>31</v>
      </c>
      <c r="AE297" s="5">
        <v>33207</v>
      </c>
      <c r="AF297" s="5">
        <v>649267152</v>
      </c>
      <c r="AG297" s="88" t="s">
        <v>1101</v>
      </c>
      <c r="AH297" s="105" t="s">
        <v>58</v>
      </c>
      <c r="AI297" s="105" t="s">
        <v>13</v>
      </c>
      <c r="AJ297" s="105">
        <v>5664</v>
      </c>
      <c r="AK297" s="105">
        <v>82</v>
      </c>
      <c r="AL297" s="105" t="s">
        <v>57</v>
      </c>
      <c r="AM297" s="84"/>
      <c r="AN297" s="8"/>
      <c r="AO297" s="89">
        <v>10</v>
      </c>
      <c r="AQ297" s="116" t="str">
        <f>CONCATENATE("NS",C296,"AZ")</f>
        <v>NS0104AZ</v>
      </c>
      <c r="AR297" s="9" t="str">
        <f>CONCATENATE(Q297," ",R297," ",S297)</f>
        <v>REMIGIO FERNÁNDEZ VELASCO</v>
      </c>
      <c r="AS297" s="9"/>
      <c r="AT297" s="162" t="str">
        <f t="shared" si="6"/>
        <v>NS0104AZ-REMIGIO FERNÁNDEZ VELASCO</v>
      </c>
      <c r="AU297" s="9" t="str">
        <f>U297</f>
        <v>09366485B</v>
      </c>
      <c r="AV297" s="116"/>
      <c r="AW297" s="9" t="str">
        <f>CONCATENATE(AH297,AI297,AJ297,AK297,AL297)</f>
        <v>ES8500815664820006093119</v>
      </c>
      <c r="AZ297" s="159">
        <v>43112</v>
      </c>
    </row>
    <row r="298" spans="1:52" ht="15" customHeight="1" x14ac:dyDescent="0.25">
      <c r="A298" s="72">
        <v>296</v>
      </c>
      <c r="B298" s="80"/>
      <c r="C298" s="157" t="s">
        <v>1717</v>
      </c>
      <c r="D298" s="5" t="s">
        <v>794</v>
      </c>
      <c r="E298" s="5" t="s">
        <v>729</v>
      </c>
      <c r="F298" s="5"/>
      <c r="G298" s="5" t="s">
        <v>811</v>
      </c>
      <c r="H298" s="2"/>
      <c r="I298" s="165"/>
      <c r="J298" s="5" t="s">
        <v>581</v>
      </c>
      <c r="K298" s="5" t="s">
        <v>1229</v>
      </c>
      <c r="L298" s="5" t="s">
        <v>1230</v>
      </c>
      <c r="M298" s="5" t="str">
        <f>CONCATENATE(K298," ",L298)</f>
        <v>ASCAZ AMBULATORIA</v>
      </c>
      <c r="N298" s="5"/>
      <c r="O298" s="5"/>
      <c r="P298" s="5" t="s">
        <v>43</v>
      </c>
      <c r="Q298" s="87" t="s">
        <v>56</v>
      </c>
      <c r="R298" s="87" t="s">
        <v>55</v>
      </c>
      <c r="S298" s="87" t="s">
        <v>54</v>
      </c>
      <c r="T298" s="5" t="s">
        <v>2</v>
      </c>
      <c r="U298" s="5" t="s">
        <v>53</v>
      </c>
      <c r="V298" s="5" t="s">
        <v>646</v>
      </c>
      <c r="W298" s="2">
        <v>23116</v>
      </c>
      <c r="X298" s="7">
        <f ca="1">YEAR($X$1)-YEAR(W298)</f>
        <v>55</v>
      </c>
      <c r="Y298" s="5"/>
      <c r="Z298" s="87"/>
      <c r="AA298" s="5"/>
      <c r="AB298" s="5"/>
      <c r="AC298" s="5"/>
      <c r="AD298" s="5"/>
      <c r="AE298" s="5"/>
      <c r="AF298" s="5">
        <v>645907273</v>
      </c>
      <c r="AG298" s="88" t="s">
        <v>1102</v>
      </c>
      <c r="AH298" s="105"/>
      <c r="AI298" s="105"/>
      <c r="AJ298" s="105"/>
      <c r="AK298" s="105"/>
      <c r="AL298" s="105"/>
      <c r="AM298" s="84"/>
      <c r="AN298" s="8"/>
      <c r="AO298" s="89">
        <v>10</v>
      </c>
      <c r="AR298" s="9"/>
      <c r="AS298" s="9"/>
      <c r="AT298" s="162" t="str">
        <f t="shared" si="6"/>
        <v>-</v>
      </c>
      <c r="AU298" s="9"/>
      <c r="AV298" s="116"/>
    </row>
    <row r="299" spans="1:52" ht="15" customHeight="1" x14ac:dyDescent="0.25">
      <c r="A299" s="72">
        <v>297</v>
      </c>
      <c r="B299" s="80"/>
      <c r="C299" s="156" t="s">
        <v>1659</v>
      </c>
      <c r="D299" s="81"/>
      <c r="E299" s="6"/>
      <c r="F299" s="6"/>
      <c r="G299" s="6"/>
      <c r="H299" s="4"/>
      <c r="I299" s="166"/>
      <c r="J299" s="6"/>
      <c r="K299" s="6"/>
      <c r="L299" s="6"/>
      <c r="M299" s="91"/>
      <c r="N299" s="91"/>
      <c r="O299" s="91"/>
      <c r="P299" s="6"/>
      <c r="Q299" s="92"/>
      <c r="R299" s="92"/>
      <c r="S299" s="92"/>
      <c r="T299" s="6"/>
      <c r="U299" s="6"/>
      <c r="V299" s="6"/>
      <c r="W299" s="4"/>
      <c r="X299" s="6"/>
      <c r="Y299" s="6"/>
      <c r="Z299" s="92"/>
      <c r="AA299" s="6"/>
      <c r="AB299" s="6"/>
      <c r="AC299" s="6"/>
      <c r="AD299" s="6"/>
      <c r="AE299" s="6"/>
      <c r="AF299" s="6"/>
      <c r="AG299" s="93"/>
      <c r="AH299" s="110"/>
      <c r="AI299" s="110"/>
      <c r="AJ299" s="110"/>
      <c r="AK299" s="110"/>
      <c r="AL299" s="110"/>
      <c r="AM299" s="84"/>
      <c r="AN299" s="85">
        <v>30</v>
      </c>
      <c r="AO299" s="85"/>
      <c r="AP299" s="117" t="str">
        <f>C299</f>
        <v>0105</v>
      </c>
      <c r="AR299" s="9"/>
      <c r="AS299" s="9"/>
      <c r="AT299" s="162" t="str">
        <f t="shared" si="6"/>
        <v>-</v>
      </c>
      <c r="AU299" s="9"/>
      <c r="AV299" s="116"/>
    </row>
    <row r="300" spans="1:52" ht="15" customHeight="1" x14ac:dyDescent="0.25">
      <c r="A300" s="72">
        <v>298</v>
      </c>
      <c r="B300" s="80"/>
      <c r="C300" s="157" t="s">
        <v>1717</v>
      </c>
      <c r="D300" s="5" t="s">
        <v>795</v>
      </c>
      <c r="E300" s="5" t="s">
        <v>729</v>
      </c>
      <c r="F300" s="5"/>
      <c r="G300" s="5" t="s">
        <v>811</v>
      </c>
      <c r="H300" s="2"/>
      <c r="I300" s="165">
        <v>43128</v>
      </c>
      <c r="J300" s="5" t="s">
        <v>581</v>
      </c>
      <c r="K300" s="5" t="s">
        <v>1229</v>
      </c>
      <c r="L300" s="5" t="s">
        <v>1230</v>
      </c>
      <c r="M300" s="5" t="str">
        <f>CONCATENATE(K300," ",L300)</f>
        <v>ASCAZ AMBULATORIA</v>
      </c>
      <c r="N300" s="5"/>
      <c r="O300" s="5"/>
      <c r="P300" s="90" t="s">
        <v>3</v>
      </c>
      <c r="Q300" s="87" t="s">
        <v>512</v>
      </c>
      <c r="R300" s="87" t="s">
        <v>132</v>
      </c>
      <c r="S300" s="87" t="s">
        <v>1103</v>
      </c>
      <c r="T300" s="5" t="s">
        <v>2</v>
      </c>
      <c r="U300" s="5" t="s">
        <v>52</v>
      </c>
      <c r="V300" s="5" t="s">
        <v>665</v>
      </c>
      <c r="W300" s="2">
        <v>30117</v>
      </c>
      <c r="X300" s="7">
        <f ca="1">YEAR($X$1)-YEAR(W300)</f>
        <v>36</v>
      </c>
      <c r="Y300" s="5" t="s">
        <v>1</v>
      </c>
      <c r="Z300" s="87" t="s">
        <v>1104</v>
      </c>
      <c r="AA300" s="5">
        <v>15</v>
      </c>
      <c r="AB300" s="5" t="s">
        <v>51</v>
      </c>
      <c r="AC300" s="5" t="s">
        <v>0</v>
      </c>
      <c r="AD300" s="5" t="s">
        <v>31</v>
      </c>
      <c r="AE300" s="5">
        <v>33211</v>
      </c>
      <c r="AF300" s="5">
        <v>658984717</v>
      </c>
      <c r="AG300" s="88" t="s">
        <v>1105</v>
      </c>
      <c r="AH300" s="105" t="s">
        <v>50</v>
      </c>
      <c r="AI300" s="105">
        <v>2080</v>
      </c>
      <c r="AJ300" s="105" t="s">
        <v>49</v>
      </c>
      <c r="AK300" s="105">
        <v>78</v>
      </c>
      <c r="AL300" s="105">
        <v>3040006094</v>
      </c>
      <c r="AM300" s="84"/>
      <c r="AN300" s="8"/>
      <c r="AO300" s="89">
        <v>10</v>
      </c>
      <c r="AQ300" s="116" t="str">
        <f>CONCATENATE("NS",C299,"AZ")</f>
        <v>NS0105AZ</v>
      </c>
      <c r="AR300" s="9" t="str">
        <f>CONCATENATE(Q300," ",R300," ",S300)</f>
        <v>DAVID GARCÍA BASTIAN</v>
      </c>
      <c r="AS300" s="9"/>
      <c r="AT300" s="162" t="str">
        <f t="shared" si="6"/>
        <v>NS0105AZ-DAVID GARCÍA BASTIAN</v>
      </c>
      <c r="AU300" s="9" t="str">
        <f>U300</f>
        <v>71702060C</v>
      </c>
      <c r="AV300" s="116"/>
      <c r="AW300" s="9" t="str">
        <f>CONCATENATE(AH300,AI300,AJ300,AK300,AL300)</f>
        <v>ES0520800769783040006094</v>
      </c>
      <c r="AZ300" s="159">
        <v>43128</v>
      </c>
    </row>
    <row r="301" spans="1:52" ht="15" customHeight="1" x14ac:dyDescent="0.25">
      <c r="A301" s="72">
        <v>299</v>
      </c>
      <c r="B301" s="80"/>
      <c r="C301" s="157" t="s">
        <v>1717</v>
      </c>
      <c r="D301" s="5" t="s">
        <v>796</v>
      </c>
      <c r="E301" s="5" t="s">
        <v>729</v>
      </c>
      <c r="F301" s="5"/>
      <c r="G301" s="5" t="s">
        <v>811</v>
      </c>
      <c r="H301" s="2"/>
      <c r="I301" s="165"/>
      <c r="J301" s="5" t="s">
        <v>581</v>
      </c>
      <c r="K301" s="5" t="s">
        <v>1229</v>
      </c>
      <c r="L301" s="5" t="s">
        <v>1230</v>
      </c>
      <c r="M301" s="5" t="str">
        <f>CONCATENATE(K301," ",L301)</f>
        <v>ASCAZ AMBULATORIA</v>
      </c>
      <c r="N301" s="5"/>
      <c r="O301" s="5"/>
      <c r="P301" s="5" t="s">
        <v>43</v>
      </c>
      <c r="Q301" s="87" t="s">
        <v>1106</v>
      </c>
      <c r="R301" s="87" t="s">
        <v>1107</v>
      </c>
      <c r="S301" s="87" t="s">
        <v>132</v>
      </c>
      <c r="T301" s="5" t="s">
        <v>2</v>
      </c>
      <c r="U301" s="5" t="s">
        <v>48</v>
      </c>
      <c r="V301" s="5" t="s">
        <v>646</v>
      </c>
      <c r="W301" s="2">
        <v>29976</v>
      </c>
      <c r="X301" s="7">
        <f ca="1">YEAR($X$1)-YEAR(W301)</f>
        <v>36</v>
      </c>
      <c r="Y301" s="5"/>
      <c r="Z301" s="87"/>
      <c r="AA301" s="5"/>
      <c r="AB301" s="5"/>
      <c r="AC301" s="5"/>
      <c r="AD301" s="5"/>
      <c r="AE301" s="5"/>
      <c r="AF301" s="5">
        <v>658661847</v>
      </c>
      <c r="AG301" s="88" t="s">
        <v>1108</v>
      </c>
      <c r="AH301" s="105"/>
      <c r="AI301" s="105"/>
      <c r="AJ301" s="105"/>
      <c r="AK301" s="105"/>
      <c r="AL301" s="105"/>
      <c r="AM301" s="84"/>
      <c r="AN301" s="8"/>
      <c r="AO301" s="89">
        <v>10</v>
      </c>
      <c r="AR301" s="9"/>
      <c r="AS301" s="9"/>
      <c r="AT301" s="162" t="str">
        <f t="shared" si="6"/>
        <v>-</v>
      </c>
      <c r="AU301" s="9"/>
      <c r="AV301" s="116"/>
    </row>
    <row r="302" spans="1:52" ht="15" customHeight="1" x14ac:dyDescent="0.25">
      <c r="A302" s="72">
        <v>300</v>
      </c>
      <c r="B302" s="80"/>
      <c r="C302" s="156" t="s">
        <v>168</v>
      </c>
      <c r="D302" s="81"/>
      <c r="E302" s="6"/>
      <c r="F302" s="6"/>
      <c r="G302" s="6"/>
      <c r="H302" s="4"/>
      <c r="I302" s="166"/>
      <c r="J302" s="6"/>
      <c r="K302" s="6"/>
      <c r="L302" s="6"/>
      <c r="M302" s="91"/>
      <c r="N302" s="91"/>
      <c r="O302" s="91"/>
      <c r="P302" s="6"/>
      <c r="Q302" s="92"/>
      <c r="R302" s="92"/>
      <c r="S302" s="92"/>
      <c r="T302" s="6"/>
      <c r="U302" s="6"/>
      <c r="V302" s="6"/>
      <c r="W302" s="4"/>
      <c r="X302" s="6"/>
      <c r="Y302" s="6"/>
      <c r="Z302" s="92"/>
      <c r="AA302" s="6"/>
      <c r="AB302" s="6"/>
      <c r="AC302" s="6"/>
      <c r="AD302" s="6"/>
      <c r="AE302" s="6"/>
      <c r="AF302" s="6"/>
      <c r="AG302" s="93"/>
      <c r="AH302" s="110"/>
      <c r="AI302" s="110"/>
      <c r="AJ302" s="110"/>
      <c r="AK302" s="110"/>
      <c r="AL302" s="110"/>
      <c r="AM302" s="84"/>
      <c r="AN302" s="85">
        <v>30</v>
      </c>
      <c r="AO302" s="85"/>
      <c r="AP302" s="117" t="str">
        <f>C302</f>
        <v>0106</v>
      </c>
      <c r="AR302" s="9"/>
      <c r="AS302" s="9"/>
      <c r="AT302" s="162" t="str">
        <f t="shared" si="6"/>
        <v>-</v>
      </c>
      <c r="AU302" s="9"/>
      <c r="AV302" s="116"/>
    </row>
    <row r="303" spans="1:52" ht="15" customHeight="1" x14ac:dyDescent="0.25">
      <c r="A303" s="72">
        <v>301</v>
      </c>
      <c r="B303" s="80"/>
      <c r="C303" s="157" t="s">
        <v>1717</v>
      </c>
      <c r="D303" s="5" t="s">
        <v>797</v>
      </c>
      <c r="E303" s="5" t="s">
        <v>729</v>
      </c>
      <c r="F303" s="5"/>
      <c r="G303" s="5" t="s">
        <v>811</v>
      </c>
      <c r="H303" s="2"/>
      <c r="I303" s="165">
        <v>43096</v>
      </c>
      <c r="J303" s="5" t="s">
        <v>581</v>
      </c>
      <c r="K303" s="5" t="s">
        <v>1229</v>
      </c>
      <c r="L303" s="5" t="s">
        <v>1230</v>
      </c>
      <c r="M303" s="5" t="str">
        <f>CONCATENATE(K303," ",L303)</f>
        <v>ASCAZ AMBULATORIA</v>
      </c>
      <c r="N303" s="5"/>
      <c r="O303" s="5"/>
      <c r="P303" s="90" t="s">
        <v>3</v>
      </c>
      <c r="Q303" s="87" t="s">
        <v>47</v>
      </c>
      <c r="R303" s="87" t="s">
        <v>132</v>
      </c>
      <c r="S303" s="87" t="s">
        <v>132</v>
      </c>
      <c r="T303" s="5" t="s">
        <v>2</v>
      </c>
      <c r="U303" s="5" t="s">
        <v>46</v>
      </c>
      <c r="V303" s="5" t="s">
        <v>665</v>
      </c>
      <c r="W303" s="2">
        <v>15641</v>
      </c>
      <c r="X303" s="7">
        <f ca="1">YEAR($X$1)-YEAR(W303)</f>
        <v>76</v>
      </c>
      <c r="Y303" s="5" t="s">
        <v>856</v>
      </c>
      <c r="Z303" s="87" t="s">
        <v>1109</v>
      </c>
      <c r="AA303" s="5">
        <v>264</v>
      </c>
      <c r="AB303" s="5"/>
      <c r="AC303" s="5" t="s">
        <v>45</v>
      </c>
      <c r="AD303" s="5" t="s">
        <v>31</v>
      </c>
      <c r="AE303" s="5">
        <v>33391</v>
      </c>
      <c r="AF303" s="5">
        <v>670228420</v>
      </c>
      <c r="AG303" s="88" t="s">
        <v>1110</v>
      </c>
      <c r="AH303" s="105" t="s">
        <v>18</v>
      </c>
      <c r="AI303" s="105">
        <v>2048</v>
      </c>
      <c r="AJ303" s="105" t="s">
        <v>44</v>
      </c>
      <c r="AK303" s="105">
        <v>67</v>
      </c>
      <c r="AL303" s="105">
        <v>3400073282</v>
      </c>
      <c r="AM303" s="84"/>
      <c r="AN303" s="8"/>
      <c r="AO303" s="89">
        <v>10</v>
      </c>
      <c r="AQ303" s="116" t="str">
        <f>CONCATENATE("NS",C302,"AZ")</f>
        <v>NS0106AZ</v>
      </c>
      <c r="AR303" s="9" t="str">
        <f>CONCATENATE(Q303," ",R303," ",S303)</f>
        <v>JULIO  GARCÍA GARCÍA</v>
      </c>
      <c r="AS303" s="9"/>
      <c r="AT303" s="162" t="str">
        <f t="shared" si="6"/>
        <v>NS0106AZ-JULIO  GARCÍA GARCÍA</v>
      </c>
      <c r="AU303" s="9" t="str">
        <f>U303</f>
        <v>11022109A</v>
      </c>
      <c r="AV303" s="116"/>
      <c r="AW303" s="9" t="str">
        <f>CONCATENATE(AH303,AI303,AJ303,AK303,AL303)</f>
        <v>ES7520480003673400073282</v>
      </c>
      <c r="AZ303" s="159">
        <v>43096</v>
      </c>
    </row>
    <row r="304" spans="1:52" ht="15" customHeight="1" x14ac:dyDescent="0.25">
      <c r="A304" s="72">
        <v>302</v>
      </c>
      <c r="B304" s="80"/>
      <c r="C304" s="157" t="s">
        <v>1717</v>
      </c>
      <c r="D304" s="5" t="s">
        <v>798</v>
      </c>
      <c r="E304" s="5" t="s">
        <v>729</v>
      </c>
      <c r="F304" s="5"/>
      <c r="G304" s="5" t="s">
        <v>811</v>
      </c>
      <c r="H304" s="2"/>
      <c r="I304" s="165"/>
      <c r="J304" s="5" t="s">
        <v>581</v>
      </c>
      <c r="K304" s="5" t="s">
        <v>1229</v>
      </c>
      <c r="L304" s="5" t="s">
        <v>1230</v>
      </c>
      <c r="M304" s="5" t="str">
        <f>CONCATENATE(K304," ",L304)</f>
        <v>ASCAZ AMBULATORIA</v>
      </c>
      <c r="N304" s="5"/>
      <c r="O304" s="5"/>
      <c r="P304" s="5" t="s">
        <v>43</v>
      </c>
      <c r="Q304" s="87" t="s">
        <v>1133</v>
      </c>
      <c r="R304" s="87" t="s">
        <v>1146</v>
      </c>
      <c r="S304" s="87" t="s">
        <v>42</v>
      </c>
      <c r="T304" s="5" t="s">
        <v>2</v>
      </c>
      <c r="U304" s="5" t="s">
        <v>41</v>
      </c>
      <c r="V304" s="5" t="s">
        <v>646</v>
      </c>
      <c r="W304" s="2">
        <v>19945</v>
      </c>
      <c r="X304" s="7">
        <f ca="1">YEAR($X$1)-YEAR(W304)</f>
        <v>64</v>
      </c>
      <c r="Y304" s="5"/>
      <c r="Z304" s="87"/>
      <c r="AA304" s="5"/>
      <c r="AB304" s="5"/>
      <c r="AC304" s="5"/>
      <c r="AD304" s="5"/>
      <c r="AE304" s="5"/>
      <c r="AF304" s="5">
        <v>687720564</v>
      </c>
      <c r="AG304" s="88" t="s">
        <v>1111</v>
      </c>
      <c r="AH304" s="105"/>
      <c r="AI304" s="105"/>
      <c r="AJ304" s="105"/>
      <c r="AK304" s="105"/>
      <c r="AL304" s="105"/>
      <c r="AM304" s="84"/>
      <c r="AN304" s="8"/>
      <c r="AO304" s="89">
        <v>10</v>
      </c>
      <c r="AR304" s="9"/>
      <c r="AS304" s="9"/>
      <c r="AT304" s="162" t="str">
        <f t="shared" si="6"/>
        <v>-</v>
      </c>
      <c r="AU304" s="9"/>
      <c r="AV304" s="116"/>
    </row>
    <row r="305" spans="1:52" ht="15" customHeight="1" x14ac:dyDescent="0.25">
      <c r="A305" s="72">
        <v>303</v>
      </c>
      <c r="B305" s="80"/>
      <c r="C305" s="156" t="s">
        <v>1660</v>
      </c>
      <c r="D305" s="81"/>
      <c r="E305" s="6"/>
      <c r="F305" s="6"/>
      <c r="G305" s="6"/>
      <c r="H305" s="4"/>
      <c r="I305" s="166"/>
      <c r="J305" s="6"/>
      <c r="K305" s="6"/>
      <c r="L305" s="6"/>
      <c r="M305" s="91"/>
      <c r="N305" s="91"/>
      <c r="O305" s="91"/>
      <c r="P305" s="6"/>
      <c r="Q305" s="92"/>
      <c r="R305" s="92"/>
      <c r="S305" s="92"/>
      <c r="T305" s="6"/>
      <c r="U305" s="6"/>
      <c r="V305" s="6"/>
      <c r="W305" s="4"/>
      <c r="X305" s="6"/>
      <c r="Y305" s="6"/>
      <c r="Z305" s="92"/>
      <c r="AA305" s="6"/>
      <c r="AB305" s="6"/>
      <c r="AC305" s="6"/>
      <c r="AD305" s="6"/>
      <c r="AE305" s="6"/>
      <c r="AF305" s="6"/>
      <c r="AG305" s="93"/>
      <c r="AH305" s="110"/>
      <c r="AI305" s="110"/>
      <c r="AJ305" s="110"/>
      <c r="AK305" s="110"/>
      <c r="AL305" s="110"/>
      <c r="AM305" s="84"/>
      <c r="AN305" s="85">
        <v>30</v>
      </c>
      <c r="AO305" s="85"/>
      <c r="AP305" s="117" t="str">
        <f>C305</f>
        <v>0107</v>
      </c>
      <c r="AR305" s="9"/>
      <c r="AS305" s="9"/>
      <c r="AT305" s="162" t="str">
        <f t="shared" si="6"/>
        <v>-</v>
      </c>
      <c r="AU305" s="9"/>
      <c r="AV305" s="116"/>
    </row>
    <row r="306" spans="1:52" ht="15" customHeight="1" x14ac:dyDescent="0.25">
      <c r="A306" s="72">
        <v>304</v>
      </c>
      <c r="B306" s="80"/>
      <c r="C306" s="157" t="s">
        <v>1717</v>
      </c>
      <c r="D306" s="5" t="s">
        <v>799</v>
      </c>
      <c r="E306" s="5" t="s">
        <v>729</v>
      </c>
      <c r="F306" s="5"/>
      <c r="G306" s="5" t="s">
        <v>811</v>
      </c>
      <c r="H306" s="2"/>
      <c r="I306" s="165">
        <v>43101</v>
      </c>
      <c r="J306" s="5" t="s">
        <v>581</v>
      </c>
      <c r="K306" s="5" t="s">
        <v>1229</v>
      </c>
      <c r="L306" s="5" t="s">
        <v>1230</v>
      </c>
      <c r="M306" s="5" t="str">
        <f>CONCATENATE(K306," ",L306)</f>
        <v>ASCAZ AMBULATORIA</v>
      </c>
      <c r="N306" s="5"/>
      <c r="O306" s="5"/>
      <c r="P306" s="90" t="s">
        <v>3</v>
      </c>
      <c r="Q306" s="87" t="s">
        <v>1132</v>
      </c>
      <c r="R306" s="87" t="s">
        <v>35</v>
      </c>
      <c r="S306" s="87" t="s">
        <v>132</v>
      </c>
      <c r="T306" s="5" t="s">
        <v>2</v>
      </c>
      <c r="U306" s="5" t="s">
        <v>34</v>
      </c>
      <c r="V306" s="5" t="s">
        <v>646</v>
      </c>
      <c r="W306" s="2">
        <v>20781</v>
      </c>
      <c r="X306" s="7">
        <f ca="1">YEAR($X$1)-YEAR(W306)</f>
        <v>62</v>
      </c>
      <c r="Y306" s="5" t="s">
        <v>1</v>
      </c>
      <c r="Z306" s="87" t="s">
        <v>33</v>
      </c>
      <c r="AA306" s="5">
        <v>1</v>
      </c>
      <c r="AB306" s="5" t="s">
        <v>32</v>
      </c>
      <c r="AC306" s="5" t="s">
        <v>0</v>
      </c>
      <c r="AD306" s="5" t="s">
        <v>31</v>
      </c>
      <c r="AE306" s="5">
        <v>33208</v>
      </c>
      <c r="AF306" s="5">
        <v>638914688</v>
      </c>
      <c r="AG306" s="88" t="s">
        <v>30</v>
      </c>
      <c r="AH306" s="105" t="s">
        <v>29</v>
      </c>
      <c r="AI306" s="105" t="s">
        <v>28</v>
      </c>
      <c r="AJ306" s="105" t="s">
        <v>27</v>
      </c>
      <c r="AK306" s="105">
        <v>18</v>
      </c>
      <c r="AL306" s="105" t="s">
        <v>26</v>
      </c>
      <c r="AM306" s="84"/>
      <c r="AN306" s="8"/>
      <c r="AO306" s="89">
        <v>10</v>
      </c>
      <c r="AQ306" s="116" t="str">
        <f>CONCATENATE("NS",C305,"AZ")</f>
        <v>NS0107AZ</v>
      </c>
      <c r="AR306" s="9" t="str">
        <f>CONCATENATE(Q306," ",R306," ",S306)</f>
        <v>MARÍA CARMEN PATALLO GARCÍA</v>
      </c>
      <c r="AS306" s="9"/>
      <c r="AT306" s="162" t="str">
        <f t="shared" si="6"/>
        <v>NS0107AZ-MARÍA CARMEN PATALLO GARCÍA</v>
      </c>
      <c r="AU306" s="9" t="str">
        <f>U306</f>
        <v>10805838R</v>
      </c>
      <c r="AV306" s="116"/>
      <c r="AW306" s="9" t="str">
        <f>CONCATENATE(AH306,AI306,AJ306,AK306,AL306)</f>
        <v>ES8901820602180201553484</v>
      </c>
      <c r="AZ306" s="159">
        <v>43101</v>
      </c>
    </row>
    <row r="307" spans="1:52" ht="15" customHeight="1" x14ac:dyDescent="0.25">
      <c r="A307" s="72">
        <v>305</v>
      </c>
      <c r="B307" s="80"/>
      <c r="C307" s="156" t="s">
        <v>1661</v>
      </c>
      <c r="D307" s="81"/>
      <c r="E307" s="6"/>
      <c r="F307" s="6"/>
      <c r="G307" s="6"/>
      <c r="H307" s="4"/>
      <c r="I307" s="166"/>
      <c r="J307" s="6"/>
      <c r="K307" s="6"/>
      <c r="L307" s="6"/>
      <c r="M307" s="91"/>
      <c r="N307" s="91"/>
      <c r="O307" s="91"/>
      <c r="P307" s="6"/>
      <c r="Q307" s="92"/>
      <c r="R307" s="92"/>
      <c r="S307" s="92"/>
      <c r="T307" s="6"/>
      <c r="U307" s="6"/>
      <c r="V307" s="6"/>
      <c r="W307" s="4"/>
      <c r="X307" s="6"/>
      <c r="Y307" s="6"/>
      <c r="Z307" s="92"/>
      <c r="AA307" s="6"/>
      <c r="AB307" s="6"/>
      <c r="AC307" s="6"/>
      <c r="AD307" s="6"/>
      <c r="AE307" s="6"/>
      <c r="AF307" s="6"/>
      <c r="AG307" s="93"/>
      <c r="AH307" s="110"/>
      <c r="AI307" s="110"/>
      <c r="AJ307" s="110"/>
      <c r="AK307" s="110"/>
      <c r="AL307" s="110"/>
      <c r="AM307" s="84"/>
      <c r="AN307" s="85">
        <v>30</v>
      </c>
      <c r="AO307" s="85"/>
      <c r="AP307" s="117" t="str">
        <f>C307</f>
        <v>0108</v>
      </c>
      <c r="AR307" s="9"/>
      <c r="AS307" s="9"/>
      <c r="AT307" s="162" t="str">
        <f t="shared" si="6"/>
        <v>-</v>
      </c>
      <c r="AU307" s="9"/>
      <c r="AV307" s="116"/>
    </row>
    <row r="308" spans="1:52" ht="15" customHeight="1" x14ac:dyDescent="0.25">
      <c r="A308" s="72">
        <v>306</v>
      </c>
      <c r="B308" s="80"/>
      <c r="C308" s="157" t="s">
        <v>1717</v>
      </c>
      <c r="D308" s="5" t="s">
        <v>802</v>
      </c>
      <c r="E308" s="5" t="s">
        <v>729</v>
      </c>
      <c r="F308" s="5"/>
      <c r="G308" s="5" t="s">
        <v>811</v>
      </c>
      <c r="H308" s="2"/>
      <c r="I308" s="165">
        <v>43104</v>
      </c>
      <c r="J308" s="5" t="s">
        <v>581</v>
      </c>
      <c r="K308" s="5" t="s">
        <v>1229</v>
      </c>
      <c r="L308" s="5" t="s">
        <v>1230</v>
      </c>
      <c r="M308" s="5" t="str">
        <f>CONCATENATE(K308," ",L308)</f>
        <v>ASCAZ AMBULATORIA</v>
      </c>
      <c r="N308" s="5"/>
      <c r="O308" s="5"/>
      <c r="P308" s="90" t="s">
        <v>3</v>
      </c>
      <c r="Q308" s="87" t="s">
        <v>22</v>
      </c>
      <c r="R308" s="87" t="s">
        <v>951</v>
      </c>
      <c r="S308" s="87" t="s">
        <v>21</v>
      </c>
      <c r="T308" s="5" t="s">
        <v>2</v>
      </c>
      <c r="U308" s="5" t="s">
        <v>20</v>
      </c>
      <c r="V308" s="5" t="s">
        <v>665</v>
      </c>
      <c r="W308" s="2">
        <v>26821</v>
      </c>
      <c r="X308" s="7">
        <f ca="1">YEAR($X$1)-YEAR(W308)</f>
        <v>45</v>
      </c>
      <c r="Y308" s="5" t="s">
        <v>1</v>
      </c>
      <c r="Z308" s="87" t="s">
        <v>1112</v>
      </c>
      <c r="AA308" s="5">
        <v>53</v>
      </c>
      <c r="AB308" s="5" t="s">
        <v>19</v>
      </c>
      <c r="AC308" s="5" t="s">
        <v>0</v>
      </c>
      <c r="AD308" s="5" t="s">
        <v>31</v>
      </c>
      <c r="AE308" s="5">
        <v>33209</v>
      </c>
      <c r="AF308" s="5">
        <v>699386651</v>
      </c>
      <c r="AG308" s="88" t="s">
        <v>1113</v>
      </c>
      <c r="AH308" s="105" t="s">
        <v>18</v>
      </c>
      <c r="AI308" s="105" t="s">
        <v>17</v>
      </c>
      <c r="AJ308" s="105">
        <v>6247</v>
      </c>
      <c r="AK308" s="105">
        <v>10</v>
      </c>
      <c r="AL308" s="105">
        <v>2116062064</v>
      </c>
      <c r="AM308" s="84"/>
      <c r="AN308" s="8"/>
      <c r="AO308" s="89">
        <v>10</v>
      </c>
      <c r="AQ308" s="116" t="str">
        <f>CONCATENATE("NS",C307,"AZ")</f>
        <v>NS0108AZ</v>
      </c>
      <c r="AR308" s="9" t="str">
        <f>CONCATENATE(Q308," ",R308," ",S308)</f>
        <v>SANTIAGO DOMÍNGUEZ FUERTES</v>
      </c>
      <c r="AS308" s="9"/>
      <c r="AT308" s="162" t="str">
        <f t="shared" si="6"/>
        <v>NS0108AZ-SANTIAGO DOMÍNGUEZ FUERTES</v>
      </c>
      <c r="AU308" s="9" t="str">
        <f>U308</f>
        <v>10886100Q</v>
      </c>
      <c r="AV308" s="116"/>
      <c r="AW308" s="9" t="str">
        <f>CONCATENATE(AH308,AI308,AJ308,AK308,AL308)</f>
        <v>ES7500496247102116062064</v>
      </c>
      <c r="AZ308" s="159">
        <v>43104</v>
      </c>
    </row>
    <row r="309" spans="1:52" ht="15" customHeight="1" x14ac:dyDescent="0.25">
      <c r="A309" s="72">
        <v>307</v>
      </c>
      <c r="B309" s="80"/>
      <c r="C309" s="156" t="s">
        <v>1662</v>
      </c>
      <c r="D309" s="81"/>
      <c r="E309" s="6"/>
      <c r="F309" s="6"/>
      <c r="G309" s="6"/>
      <c r="H309" s="4"/>
      <c r="I309" s="166"/>
      <c r="J309" s="6"/>
      <c r="K309" s="6"/>
      <c r="L309" s="6"/>
      <c r="M309" s="91"/>
      <c r="N309" s="91"/>
      <c r="O309" s="91"/>
      <c r="P309" s="6"/>
      <c r="Q309" s="92"/>
      <c r="R309" s="92"/>
      <c r="S309" s="92"/>
      <c r="T309" s="6"/>
      <c r="U309" s="6"/>
      <c r="V309" s="6"/>
      <c r="W309" s="4"/>
      <c r="X309" s="6"/>
      <c r="Y309" s="6"/>
      <c r="Z309" s="92"/>
      <c r="AA309" s="6"/>
      <c r="AB309" s="6"/>
      <c r="AC309" s="6"/>
      <c r="AD309" s="6"/>
      <c r="AE309" s="6"/>
      <c r="AF309" s="6"/>
      <c r="AG309" s="93"/>
      <c r="AH309" s="110"/>
      <c r="AI309" s="110"/>
      <c r="AJ309" s="110"/>
      <c r="AK309" s="110"/>
      <c r="AL309" s="110"/>
      <c r="AM309" s="84"/>
      <c r="AN309" s="85">
        <v>30</v>
      </c>
      <c r="AO309" s="85"/>
      <c r="AP309" s="117" t="str">
        <f>C309</f>
        <v>0109</v>
      </c>
      <c r="AR309" s="9"/>
      <c r="AS309" s="9"/>
      <c r="AT309" s="162" t="str">
        <f t="shared" si="6"/>
        <v>-</v>
      </c>
      <c r="AU309" s="9"/>
      <c r="AV309" s="116"/>
    </row>
    <row r="310" spans="1:52" ht="15" customHeight="1" x14ac:dyDescent="0.25">
      <c r="A310" s="72">
        <v>308</v>
      </c>
      <c r="B310" s="80"/>
      <c r="C310" s="157" t="s">
        <v>1717</v>
      </c>
      <c r="D310" s="5" t="s">
        <v>803</v>
      </c>
      <c r="E310" s="5" t="s">
        <v>729</v>
      </c>
      <c r="F310" s="5"/>
      <c r="G310" s="5" t="s">
        <v>811</v>
      </c>
      <c r="H310" s="2"/>
      <c r="I310" s="165">
        <v>43102</v>
      </c>
      <c r="J310" s="5" t="s">
        <v>581</v>
      </c>
      <c r="K310" s="5" t="s">
        <v>1229</v>
      </c>
      <c r="L310" s="5" t="s">
        <v>1230</v>
      </c>
      <c r="M310" s="5" t="str">
        <f>CONCATENATE(K310," ",L310)</f>
        <v>ASCAZ AMBULATORIA</v>
      </c>
      <c r="N310" s="5"/>
      <c r="O310" s="5"/>
      <c r="P310" s="90" t="s">
        <v>3</v>
      </c>
      <c r="Q310" s="87" t="s">
        <v>1135</v>
      </c>
      <c r="R310" s="87" t="s">
        <v>11</v>
      </c>
      <c r="S310" s="87" t="s">
        <v>291</v>
      </c>
      <c r="T310" s="5" t="s">
        <v>2</v>
      </c>
      <c r="U310" s="5" t="s">
        <v>10</v>
      </c>
      <c r="V310" s="5" t="s">
        <v>646</v>
      </c>
      <c r="W310" s="2">
        <v>19286</v>
      </c>
      <c r="X310" s="7">
        <f ca="1">YEAR($X$1)-YEAR(W310)</f>
        <v>66</v>
      </c>
      <c r="Y310" s="5" t="s">
        <v>1</v>
      </c>
      <c r="Z310" s="87" t="s">
        <v>9</v>
      </c>
      <c r="AA310" s="5">
        <v>4</v>
      </c>
      <c r="AB310" s="5" t="s">
        <v>8</v>
      </c>
      <c r="AC310" s="5" t="s">
        <v>0</v>
      </c>
      <c r="AD310" s="5" t="s">
        <v>7</v>
      </c>
      <c r="AE310" s="5">
        <v>33008</v>
      </c>
      <c r="AF310" s="5">
        <v>696163029</v>
      </c>
      <c r="AG310" s="88" t="s">
        <v>1055</v>
      </c>
      <c r="AH310" s="105" t="s">
        <v>6</v>
      </c>
      <c r="AI310" s="105">
        <v>2048</v>
      </c>
      <c r="AJ310" s="105" t="s">
        <v>5</v>
      </c>
      <c r="AK310" s="105" t="s">
        <v>4</v>
      </c>
      <c r="AL310" s="105">
        <v>3000047252</v>
      </c>
      <c r="AM310" s="84"/>
      <c r="AN310" s="8"/>
      <c r="AO310" s="89">
        <v>10</v>
      </c>
      <c r="AQ310" s="116" t="str">
        <f>CONCATENATE("NS",C309,"AZ")</f>
        <v>NS0109AZ</v>
      </c>
      <c r="AR310" s="9" t="str">
        <f>CONCATENATE(Q310," ",R310," ",S310)</f>
        <v>MARÍA DEL CARMEN LOPEZ RODRÍGUEZ</v>
      </c>
      <c r="AS310" s="9"/>
      <c r="AT310" s="162" t="str">
        <f t="shared" si="6"/>
        <v>NS0109AZ-MARÍA DEL CARMEN LOPEZ RODRÍGUEZ</v>
      </c>
      <c r="AU310" s="9" t="str">
        <f>U310</f>
        <v>10547035V</v>
      </c>
      <c r="AV310" s="116"/>
      <c r="AW310" s="9" t="str">
        <f>CONCATENATE(AH310,AI310,AJ310,AK310,AL310)</f>
        <v>ES7720480076073000047252</v>
      </c>
      <c r="AZ310" s="159">
        <v>43102</v>
      </c>
    </row>
    <row r="311" spans="1:52" ht="15" customHeight="1" x14ac:dyDescent="0.25">
      <c r="A311" s="72">
        <v>309</v>
      </c>
      <c r="B311" s="80"/>
      <c r="C311" s="156" t="s">
        <v>1663</v>
      </c>
      <c r="D311" s="81"/>
      <c r="E311" s="6"/>
      <c r="F311" s="6"/>
      <c r="G311" s="6"/>
      <c r="H311" s="4"/>
      <c r="I311" s="166"/>
      <c r="J311" s="6"/>
      <c r="K311" s="6"/>
      <c r="L311" s="6"/>
      <c r="M311" s="91"/>
      <c r="N311" s="91"/>
      <c r="O311" s="91"/>
      <c r="P311" s="6"/>
      <c r="Q311" s="92"/>
      <c r="R311" s="92"/>
      <c r="S311" s="92"/>
      <c r="T311" s="6"/>
      <c r="U311" s="6"/>
      <c r="V311" s="6"/>
      <c r="W311" s="4"/>
      <c r="X311" s="6"/>
      <c r="Y311" s="6"/>
      <c r="Z311" s="92"/>
      <c r="AA311" s="6"/>
      <c r="AB311" s="6"/>
      <c r="AC311" s="6"/>
      <c r="AD311" s="6"/>
      <c r="AE311" s="6"/>
      <c r="AF311" s="6"/>
      <c r="AG311" s="93"/>
      <c r="AH311" s="110"/>
      <c r="AI311" s="110"/>
      <c r="AJ311" s="110"/>
      <c r="AK311" s="110"/>
      <c r="AL311" s="110"/>
      <c r="AM311" s="84"/>
      <c r="AN311" s="85">
        <v>30</v>
      </c>
      <c r="AO311" s="85"/>
      <c r="AP311" s="117" t="str">
        <f>C311</f>
        <v>0110</v>
      </c>
      <c r="AR311" s="9"/>
      <c r="AS311" s="9"/>
      <c r="AT311" s="162" t="str">
        <f t="shared" si="6"/>
        <v>-</v>
      </c>
      <c r="AU311" s="9"/>
      <c r="AV311" s="116"/>
    </row>
    <row r="312" spans="1:52" ht="15" customHeight="1" x14ac:dyDescent="0.25">
      <c r="A312" s="72">
        <v>310</v>
      </c>
      <c r="B312" s="80"/>
      <c r="C312" s="157" t="s">
        <v>1717</v>
      </c>
      <c r="D312" s="5" t="s">
        <v>1181</v>
      </c>
      <c r="E312" s="5" t="s">
        <v>581</v>
      </c>
      <c r="F312" s="5" t="s">
        <v>580</v>
      </c>
      <c r="G312" s="5" t="s">
        <v>1179</v>
      </c>
      <c r="H312" s="2"/>
      <c r="I312" s="165">
        <v>43112</v>
      </c>
      <c r="J312" s="5" t="s">
        <v>581</v>
      </c>
      <c r="K312" s="5" t="s">
        <v>1236</v>
      </c>
      <c r="L312" s="5" t="s">
        <v>1231</v>
      </c>
      <c r="M312" s="5" t="str">
        <f>CONCATENATE(K312," ",L312)</f>
        <v>ZITRON-ASCAZ HOSPITALARIA</v>
      </c>
      <c r="N312" s="5"/>
      <c r="O312" s="5"/>
      <c r="P312" s="90" t="s">
        <v>3</v>
      </c>
      <c r="Q312" s="87" t="s">
        <v>1180</v>
      </c>
      <c r="R312" s="87" t="s">
        <v>291</v>
      </c>
      <c r="S312" s="87" t="s">
        <v>396</v>
      </c>
      <c r="T312" s="5" t="s">
        <v>2</v>
      </c>
      <c r="U312" s="5" t="s">
        <v>1182</v>
      </c>
      <c r="V312" s="5" t="s">
        <v>646</v>
      </c>
      <c r="W312" s="2">
        <v>27499</v>
      </c>
      <c r="X312" s="7">
        <f ca="1">YEAR($X$1)-YEAR(W312)</f>
        <v>43</v>
      </c>
      <c r="Y312" s="5" t="s">
        <v>171</v>
      </c>
      <c r="Z312" s="87" t="s">
        <v>1183</v>
      </c>
      <c r="AA312" s="5" t="s">
        <v>1184</v>
      </c>
      <c r="AB312" s="5" t="s">
        <v>1185</v>
      </c>
      <c r="AC312" s="5" t="s">
        <v>0</v>
      </c>
      <c r="AD312" s="5" t="s">
        <v>7</v>
      </c>
      <c r="AE312" s="5" t="s">
        <v>1186</v>
      </c>
      <c r="AF312" s="5" t="s">
        <v>1187</v>
      </c>
      <c r="AG312" s="97" t="s">
        <v>1188</v>
      </c>
      <c r="AH312" s="105" t="s">
        <v>392</v>
      </c>
      <c r="AI312" s="105" t="s">
        <v>13</v>
      </c>
      <c r="AJ312" s="105" t="s">
        <v>1189</v>
      </c>
      <c r="AK312" s="105" t="s">
        <v>1190</v>
      </c>
      <c r="AL312" s="105" t="s">
        <v>1191</v>
      </c>
      <c r="AM312" s="84"/>
      <c r="AN312" s="8"/>
      <c r="AO312" s="89">
        <v>10</v>
      </c>
      <c r="AQ312" s="116" t="str">
        <f>CONCATENATE("NS",C311,"AZ")</f>
        <v>NS0110AZ</v>
      </c>
      <c r="AR312" s="9" t="str">
        <f>CONCATENATE(Q312," ",R312," ",S312)</f>
        <v>SUSANA RODRÍGUEZ DÍAZ</v>
      </c>
      <c r="AS312" s="9"/>
      <c r="AT312" s="162" t="str">
        <f t="shared" si="6"/>
        <v>NS0110AZ-SUSANA RODRÍGUEZ DÍAZ</v>
      </c>
      <c r="AU312" s="9" t="str">
        <f>U312</f>
        <v>09427961P</v>
      </c>
      <c r="AV312" s="116"/>
      <c r="AW312" s="9" t="str">
        <f>CONCATENATE(AH312,AI312,AJ312,AK312,AL312)</f>
        <v>ES8000815312170006106719</v>
      </c>
      <c r="AZ312" s="159">
        <v>43112</v>
      </c>
    </row>
    <row r="313" spans="1:52" ht="15" customHeight="1" x14ac:dyDescent="0.25">
      <c r="A313" s="72">
        <v>311</v>
      </c>
      <c r="B313" s="80"/>
      <c r="C313" s="156" t="s">
        <v>1664</v>
      </c>
      <c r="D313" s="81"/>
      <c r="E313" s="6"/>
      <c r="F313" s="6"/>
      <c r="G313" s="6"/>
      <c r="H313" s="4"/>
      <c r="I313" s="166"/>
      <c r="J313" s="6"/>
      <c r="K313" s="6"/>
      <c r="L313" s="6"/>
      <c r="M313" s="91"/>
      <c r="N313" s="91"/>
      <c r="O313" s="91"/>
      <c r="P313" s="6"/>
      <c r="Q313" s="92"/>
      <c r="R313" s="92"/>
      <c r="S313" s="92"/>
      <c r="T313" s="6"/>
      <c r="U313" s="6"/>
      <c r="V313" s="6"/>
      <c r="W313" s="4"/>
      <c r="X313" s="6"/>
      <c r="Y313" s="6"/>
      <c r="Z313" s="92"/>
      <c r="AA313" s="6"/>
      <c r="AB313" s="6"/>
      <c r="AC313" s="6"/>
      <c r="AD313" s="6"/>
      <c r="AE313" s="6"/>
      <c r="AF313" s="6"/>
      <c r="AG313" s="93"/>
      <c r="AH313" s="110"/>
      <c r="AI313" s="110"/>
      <c r="AJ313" s="110"/>
      <c r="AK313" s="110"/>
      <c r="AL313" s="110"/>
      <c r="AM313" s="84"/>
      <c r="AN313" s="85">
        <v>30</v>
      </c>
      <c r="AO313" s="85"/>
      <c r="AP313" s="117" t="str">
        <f>C313</f>
        <v>0111</v>
      </c>
      <c r="AR313" s="9"/>
      <c r="AS313" s="9"/>
      <c r="AT313" s="162" t="str">
        <f t="shared" si="6"/>
        <v>-</v>
      </c>
      <c r="AU313" s="9"/>
      <c r="AV313" s="116"/>
    </row>
    <row r="314" spans="1:52" ht="15" customHeight="1" x14ac:dyDescent="0.25">
      <c r="A314" s="72">
        <v>312</v>
      </c>
      <c r="B314" s="80"/>
      <c r="C314" s="157" t="s">
        <v>1717</v>
      </c>
      <c r="D314" s="5" t="s">
        <v>1197</v>
      </c>
      <c r="E314" s="5" t="s">
        <v>729</v>
      </c>
      <c r="F314" s="5" t="s">
        <v>733</v>
      </c>
      <c r="G314" s="5" t="s">
        <v>1198</v>
      </c>
      <c r="H314" s="2"/>
      <c r="I314" s="165">
        <v>43110</v>
      </c>
      <c r="J314" s="5" t="s">
        <v>581</v>
      </c>
      <c r="K314" s="5" t="s">
        <v>1229</v>
      </c>
      <c r="L314" s="5" t="s">
        <v>1231</v>
      </c>
      <c r="M314" s="5" t="str">
        <f>CONCATENATE(K314," ",L314)</f>
        <v>ASCAZ HOSPITALARIA</v>
      </c>
      <c r="N314" s="5"/>
      <c r="O314" s="5"/>
      <c r="P314" s="90" t="s">
        <v>3</v>
      </c>
      <c r="Q314" s="87" t="s">
        <v>1199</v>
      </c>
      <c r="R314" s="87" t="s">
        <v>1200</v>
      </c>
      <c r="S314" s="87" t="s">
        <v>174</v>
      </c>
      <c r="T314" s="5" t="s">
        <v>2</v>
      </c>
      <c r="U314" s="5" t="s">
        <v>1201</v>
      </c>
      <c r="V314" s="5" t="s">
        <v>665</v>
      </c>
      <c r="W314" s="2">
        <v>27749</v>
      </c>
      <c r="X314" s="7">
        <f ca="1">YEAR($X$1)-YEAR(W314)</f>
        <v>43</v>
      </c>
      <c r="Y314" s="5" t="s">
        <v>1</v>
      </c>
      <c r="Z314" s="87" t="s">
        <v>1202</v>
      </c>
      <c r="AA314" s="5" t="s">
        <v>1184</v>
      </c>
      <c r="AB314" s="5" t="s">
        <v>258</v>
      </c>
      <c r="AC314" s="5" t="s">
        <v>0</v>
      </c>
      <c r="AD314" s="5" t="s">
        <v>31</v>
      </c>
      <c r="AE314" s="5" t="s">
        <v>1203</v>
      </c>
      <c r="AF314" s="5" t="s">
        <v>1204</v>
      </c>
      <c r="AG314" s="97" t="s">
        <v>1205</v>
      </c>
      <c r="AH314" s="105" t="s">
        <v>1206</v>
      </c>
      <c r="AI314" s="105" t="s">
        <v>28</v>
      </c>
      <c r="AJ314" s="105" t="s">
        <v>1207</v>
      </c>
      <c r="AK314" s="105" t="s">
        <v>1209</v>
      </c>
      <c r="AL314" s="105" t="s">
        <v>1208</v>
      </c>
      <c r="AM314" s="84"/>
      <c r="AN314" s="8"/>
      <c r="AO314" s="89">
        <v>10</v>
      </c>
      <c r="AQ314" s="116" t="str">
        <f>CONCATENATE("NS",C313,"AZ")</f>
        <v>NS0111AZ</v>
      </c>
      <c r="AR314" s="9" t="str">
        <f>CONCATENATE(Q314," ",R314," ",S314)</f>
        <v>JORGE LUIS BERICUA MENÉNDEZ</v>
      </c>
      <c r="AS314" s="9"/>
      <c r="AT314" s="162" t="str">
        <f t="shared" si="6"/>
        <v>NS0111AZ-JORGE LUIS BERICUA MENÉNDEZ</v>
      </c>
      <c r="AU314" s="9" t="str">
        <f>U314</f>
        <v>10892517Q</v>
      </c>
      <c r="AV314" s="116"/>
      <c r="AW314" s="9" t="str">
        <f>CONCATENATE(AH314,AI314,AJ314,AK314,AL314)</f>
        <v>ES8201820601580208522217</v>
      </c>
      <c r="AZ314" s="159">
        <v>43110</v>
      </c>
    </row>
    <row r="315" spans="1:52" ht="15" customHeight="1" x14ac:dyDescent="0.25">
      <c r="A315" s="72">
        <v>313</v>
      </c>
      <c r="B315" s="80"/>
      <c r="C315" s="156" t="s">
        <v>1665</v>
      </c>
      <c r="D315" s="81"/>
      <c r="E315" s="6"/>
      <c r="F315" s="6"/>
      <c r="G315" s="6"/>
      <c r="H315" s="4"/>
      <c r="I315" s="166"/>
      <c r="J315" s="6"/>
      <c r="K315" s="6"/>
      <c r="L315" s="6"/>
      <c r="M315" s="91"/>
      <c r="N315" s="91"/>
      <c r="O315" s="91"/>
      <c r="P315" s="6"/>
      <c r="Q315" s="92"/>
      <c r="R315" s="92"/>
      <c r="S315" s="92"/>
      <c r="T315" s="6"/>
      <c r="U315" s="6"/>
      <c r="V315" s="6"/>
      <c r="W315" s="4"/>
      <c r="X315" s="6"/>
      <c r="Y315" s="6"/>
      <c r="Z315" s="92"/>
      <c r="AA315" s="6"/>
      <c r="AB315" s="6"/>
      <c r="AC315" s="6"/>
      <c r="AD315" s="6"/>
      <c r="AE315" s="6"/>
      <c r="AF315" s="6"/>
      <c r="AG315" s="93"/>
      <c r="AH315" s="110"/>
      <c r="AI315" s="110"/>
      <c r="AJ315" s="110"/>
      <c r="AK315" s="110"/>
      <c r="AL315" s="110"/>
      <c r="AM315" s="84"/>
      <c r="AN315" s="85">
        <v>30</v>
      </c>
      <c r="AO315" s="85"/>
      <c r="AP315" s="117" t="str">
        <f>C315</f>
        <v>0112</v>
      </c>
      <c r="AR315" s="9"/>
      <c r="AS315" s="9"/>
      <c r="AT315" s="162" t="str">
        <f t="shared" si="6"/>
        <v>-</v>
      </c>
      <c r="AU315" s="9"/>
      <c r="AV315" s="116"/>
    </row>
    <row r="316" spans="1:52" ht="15" customHeight="1" x14ac:dyDescent="0.25">
      <c r="A316" s="72">
        <v>314</v>
      </c>
      <c r="B316" s="80"/>
      <c r="C316" s="157" t="s">
        <v>1718</v>
      </c>
      <c r="D316" s="5" t="s">
        <v>1243</v>
      </c>
      <c r="E316" s="5" t="s">
        <v>729</v>
      </c>
      <c r="F316" s="5" t="s">
        <v>1250</v>
      </c>
      <c r="G316" s="2">
        <v>43119</v>
      </c>
      <c r="H316" s="2"/>
      <c r="I316" s="165">
        <v>43110</v>
      </c>
      <c r="J316" s="5" t="s">
        <v>581</v>
      </c>
      <c r="K316" s="5" t="s">
        <v>1229</v>
      </c>
      <c r="L316" s="5" t="s">
        <v>1231</v>
      </c>
      <c r="M316" s="5" t="str">
        <f>CONCATENATE(K316," ",L316)</f>
        <v>ASCAZ HOSPITALARIA</v>
      </c>
      <c r="N316" s="5"/>
      <c r="O316" s="5"/>
      <c r="P316" s="90" t="s">
        <v>3</v>
      </c>
      <c r="Q316" s="104" t="s">
        <v>1244</v>
      </c>
      <c r="R316" s="104" t="s">
        <v>1245</v>
      </c>
      <c r="S316" s="104"/>
      <c r="T316" s="5" t="s">
        <v>2</v>
      </c>
      <c r="U316" s="5" t="s">
        <v>1246</v>
      </c>
      <c r="V316" s="5" t="s">
        <v>646</v>
      </c>
      <c r="W316" s="2">
        <v>26810</v>
      </c>
      <c r="X316" s="7">
        <f ca="1">YEAR($X$1)-YEAR(W316)</f>
        <v>45</v>
      </c>
      <c r="Y316" s="5" t="s">
        <v>1</v>
      </c>
      <c r="Z316" s="104" t="s">
        <v>1247</v>
      </c>
      <c r="AA316" s="5">
        <v>9</v>
      </c>
      <c r="AB316" s="5" t="s">
        <v>124</v>
      </c>
      <c r="AC316" s="5" t="s">
        <v>0</v>
      </c>
      <c r="AD316" s="5" t="s">
        <v>31</v>
      </c>
      <c r="AE316" s="5">
        <v>33213</v>
      </c>
      <c r="AF316" s="5">
        <v>662153575</v>
      </c>
      <c r="AG316" s="153" t="s">
        <v>1572</v>
      </c>
      <c r="AH316" s="105" t="s">
        <v>1120</v>
      </c>
      <c r="AI316" s="105" t="s">
        <v>28</v>
      </c>
      <c r="AJ316" s="105" t="s">
        <v>1207</v>
      </c>
      <c r="AK316" s="105" t="s">
        <v>1248</v>
      </c>
      <c r="AL316" s="105" t="s">
        <v>1249</v>
      </c>
      <c r="AM316" s="84"/>
      <c r="AN316" s="8"/>
      <c r="AO316" s="89">
        <v>10</v>
      </c>
      <c r="AQ316" s="116" t="str">
        <f>CONCATENATE("NS",C315,"AZ")</f>
        <v>NS0112AZ</v>
      </c>
      <c r="AR316" s="9" t="str">
        <f>CONCATENATE(Q316," ",R316," ",S316)</f>
        <v xml:space="preserve">JULIA ZHURAVLOVA </v>
      </c>
      <c r="AS316" s="9"/>
      <c r="AT316" s="162" t="str">
        <f t="shared" si="6"/>
        <v xml:space="preserve">NS0112AZ-JULIA ZHURAVLOVA </v>
      </c>
      <c r="AU316" s="9" t="str">
        <f>U316</f>
        <v>X7784410Z</v>
      </c>
      <c r="AV316" s="116"/>
      <c r="AW316" s="9" t="str">
        <f>CONCATENATE(AH316,AI316,AJ316,AK316,AL316)</f>
        <v>ES7301820601550201597308</v>
      </c>
      <c r="AZ316" s="159">
        <v>43110</v>
      </c>
    </row>
    <row r="317" spans="1:52" ht="15" customHeight="1" x14ac:dyDescent="0.25">
      <c r="A317" s="72">
        <v>315</v>
      </c>
      <c r="B317" s="80"/>
      <c r="C317" s="156" t="s">
        <v>1666</v>
      </c>
      <c r="D317" s="81"/>
      <c r="E317" s="6"/>
      <c r="F317" s="6"/>
      <c r="G317" s="6"/>
      <c r="H317" s="4"/>
      <c r="I317" s="166"/>
      <c r="J317" s="6"/>
      <c r="K317" s="6"/>
      <c r="L317" s="6"/>
      <c r="M317" s="6"/>
      <c r="N317" s="6"/>
      <c r="O317" s="6"/>
      <c r="P317" s="6"/>
      <c r="Q317" s="92"/>
      <c r="R317" s="92"/>
      <c r="S317" s="92"/>
      <c r="T317" s="6"/>
      <c r="U317" s="6"/>
      <c r="V317" s="6"/>
      <c r="W317" s="4"/>
      <c r="X317" s="4"/>
      <c r="Y317" s="6"/>
      <c r="Z317" s="92"/>
      <c r="AA317" s="6"/>
      <c r="AB317" s="6"/>
      <c r="AC317" s="6"/>
      <c r="AD317" s="6"/>
      <c r="AE317" s="6"/>
      <c r="AF317" s="6"/>
      <c r="AG317" s="93"/>
      <c r="AH317" s="110"/>
      <c r="AI317" s="110"/>
      <c r="AJ317" s="110"/>
      <c r="AK317" s="110"/>
      <c r="AL317" s="110"/>
      <c r="AM317" s="84"/>
      <c r="AN317" s="85">
        <v>30</v>
      </c>
      <c r="AO317" s="85"/>
      <c r="AP317" s="117" t="str">
        <f>C317</f>
        <v>0113</v>
      </c>
      <c r="AR317" s="9"/>
      <c r="AS317" s="9"/>
      <c r="AT317" s="162" t="str">
        <f t="shared" si="6"/>
        <v>-</v>
      </c>
      <c r="AU317" s="9"/>
      <c r="AV317" s="116"/>
    </row>
    <row r="318" spans="1:52" ht="15" customHeight="1" x14ac:dyDescent="0.25">
      <c r="A318" s="72">
        <v>316</v>
      </c>
      <c r="B318" s="80"/>
      <c r="C318" s="157" t="s">
        <v>1717</v>
      </c>
      <c r="D318" s="5" t="s">
        <v>1251</v>
      </c>
      <c r="E318" s="5" t="s">
        <v>581</v>
      </c>
      <c r="F318" s="5" t="s">
        <v>580</v>
      </c>
      <c r="G318" s="2">
        <v>43130</v>
      </c>
      <c r="H318" s="2"/>
      <c r="I318" s="165">
        <v>43115</v>
      </c>
      <c r="J318" s="5" t="s">
        <v>581</v>
      </c>
      <c r="K318" s="5" t="s">
        <v>1236</v>
      </c>
      <c r="L318" s="5" t="s">
        <v>1231</v>
      </c>
      <c r="M318" s="5" t="str">
        <f t="shared" ref="M318:M325" si="7">CONCATENATE(K318," ",L318)</f>
        <v>ZITRON-ASCAZ HOSPITALARIA</v>
      </c>
      <c r="N318" s="5"/>
      <c r="O318" s="5"/>
      <c r="P318" s="90" t="s">
        <v>3</v>
      </c>
      <c r="Q318" s="106" t="s">
        <v>430</v>
      </c>
      <c r="R318" s="106" t="s">
        <v>1253</v>
      </c>
      <c r="S318" s="106" t="s">
        <v>1254</v>
      </c>
      <c r="T318" s="5" t="s">
        <v>2</v>
      </c>
      <c r="U318" s="5" t="s">
        <v>1258</v>
      </c>
      <c r="V318" s="5" t="s">
        <v>665</v>
      </c>
      <c r="W318" s="2">
        <v>27542</v>
      </c>
      <c r="X318" s="7">
        <f ca="1">YEAR($X$1)-YEAR(W318)</f>
        <v>43</v>
      </c>
      <c r="Y318" s="5" t="s">
        <v>587</v>
      </c>
      <c r="Z318" s="106" t="s">
        <v>1255</v>
      </c>
      <c r="AA318" s="5">
        <v>11</v>
      </c>
      <c r="AB318" s="5" t="s">
        <v>1256</v>
      </c>
      <c r="AC318" s="5" t="s">
        <v>0</v>
      </c>
      <c r="AD318" s="5" t="s">
        <v>1257</v>
      </c>
      <c r="AE318" s="5">
        <v>33450</v>
      </c>
      <c r="AF318" s="5">
        <v>634594635</v>
      </c>
      <c r="AG318" s="118" t="s">
        <v>1262</v>
      </c>
      <c r="AH318" s="105" t="s">
        <v>1078</v>
      </c>
      <c r="AI318" s="105" t="s">
        <v>28</v>
      </c>
      <c r="AJ318" s="105" t="s">
        <v>1259</v>
      </c>
      <c r="AK318" s="105" t="s">
        <v>1260</v>
      </c>
      <c r="AL318" s="105" t="s">
        <v>1261</v>
      </c>
      <c r="AM318" s="84"/>
      <c r="AN318" s="8"/>
      <c r="AO318" s="89">
        <v>10</v>
      </c>
      <c r="AQ318" s="116" t="str">
        <f>CONCATENATE("NS",C317,"AZ")</f>
        <v>NS0113AZ</v>
      </c>
      <c r="AR318" s="9" t="str">
        <f>CONCATENATE(Q318," ",R318," ",S318)</f>
        <v>IGNACIO PELÁEZ MANCISIDOR</v>
      </c>
      <c r="AS318" s="9"/>
      <c r="AT318" s="162" t="str">
        <f t="shared" si="6"/>
        <v>NS0113AZ-IGNACIO PELÁEZ MANCISIDOR</v>
      </c>
      <c r="AU318" s="9" t="str">
        <f>U318</f>
        <v>10877751Q</v>
      </c>
      <c r="AV318" s="116"/>
      <c r="AW318" s="9" t="str">
        <f>CONCATENATE(AH318,AI318,AJ318,AK318,AL318)</f>
        <v>ES4101825010570201548541</v>
      </c>
      <c r="AZ318" s="159">
        <v>43115</v>
      </c>
    </row>
    <row r="319" spans="1:52" ht="15" customHeight="1" x14ac:dyDescent="0.25">
      <c r="A319" s="72">
        <v>317</v>
      </c>
      <c r="B319" s="80"/>
      <c r="C319" s="157" t="s">
        <v>1717</v>
      </c>
      <c r="D319" s="5" t="s">
        <v>1252</v>
      </c>
      <c r="E319" s="5" t="s">
        <v>581</v>
      </c>
      <c r="F319" s="5" t="s">
        <v>580</v>
      </c>
      <c r="G319" s="2">
        <v>43130</v>
      </c>
      <c r="H319" s="2"/>
      <c r="I319" s="165"/>
      <c r="J319" s="5" t="s">
        <v>581</v>
      </c>
      <c r="K319" s="5" t="s">
        <v>1236</v>
      </c>
      <c r="L319" s="5" t="s">
        <v>1231</v>
      </c>
      <c r="M319" s="5" t="str">
        <f t="shared" si="7"/>
        <v>ZITRON-ASCAZ HOSPITALARIA</v>
      </c>
      <c r="N319" s="5"/>
      <c r="O319" s="5"/>
      <c r="P319" s="5" t="s">
        <v>43</v>
      </c>
      <c r="Q319" s="106" t="s">
        <v>1264</v>
      </c>
      <c r="R319" s="106" t="s">
        <v>1265</v>
      </c>
      <c r="S319" s="106" t="s">
        <v>297</v>
      </c>
      <c r="T319" s="5" t="s">
        <v>2</v>
      </c>
      <c r="U319" s="5" t="s">
        <v>1266</v>
      </c>
      <c r="V319" s="5" t="s">
        <v>646</v>
      </c>
      <c r="W319" s="2">
        <v>27871</v>
      </c>
      <c r="X319" s="7">
        <f ca="1">YEAR($X$1)-YEAR(W319)</f>
        <v>42</v>
      </c>
      <c r="Y319" s="5"/>
      <c r="Z319" s="106"/>
      <c r="AA319" s="5"/>
      <c r="AB319" s="5"/>
      <c r="AC319" s="5"/>
      <c r="AD319" s="5"/>
      <c r="AE319" s="5"/>
      <c r="AF319" s="5">
        <v>667750154</v>
      </c>
      <c r="AG319" s="118" t="s">
        <v>1263</v>
      </c>
      <c r="AH319" s="105"/>
      <c r="AI319" s="105"/>
      <c r="AJ319" s="105"/>
      <c r="AK319" s="105"/>
      <c r="AL319" s="105"/>
      <c r="AM319" s="84"/>
      <c r="AN319" s="8"/>
      <c r="AO319" s="89">
        <v>10</v>
      </c>
      <c r="AR319" s="9"/>
      <c r="AS319" s="9"/>
      <c r="AT319" s="162" t="str">
        <f t="shared" si="6"/>
        <v>-</v>
      </c>
      <c r="AU319" s="9"/>
      <c r="AV319" s="116"/>
    </row>
    <row r="320" spans="1:52" ht="15" customHeight="1" x14ac:dyDescent="0.25">
      <c r="A320" s="72">
        <v>318</v>
      </c>
      <c r="B320" s="80"/>
      <c r="C320" s="156" t="s">
        <v>1667</v>
      </c>
      <c r="D320" s="81"/>
      <c r="E320" s="6"/>
      <c r="F320" s="6"/>
      <c r="G320" s="6"/>
      <c r="H320" s="4"/>
      <c r="I320" s="166"/>
      <c r="J320" s="6"/>
      <c r="K320" s="6"/>
      <c r="L320" s="6"/>
      <c r="M320" s="6" t="str">
        <f t="shared" si="7"/>
        <v xml:space="preserve"> </v>
      </c>
      <c r="N320" s="6"/>
      <c r="O320" s="6"/>
      <c r="P320" s="6"/>
      <c r="Q320" s="92"/>
      <c r="R320" s="92"/>
      <c r="S320" s="92"/>
      <c r="T320" s="6"/>
      <c r="U320" s="6"/>
      <c r="V320" s="6"/>
      <c r="W320" s="4"/>
      <c r="X320" s="4"/>
      <c r="Y320" s="6"/>
      <c r="Z320" s="92"/>
      <c r="AA320" s="6"/>
      <c r="AB320" s="6"/>
      <c r="AC320" s="6"/>
      <c r="AD320" s="6"/>
      <c r="AE320" s="6"/>
      <c r="AF320" s="6"/>
      <c r="AG320" s="93"/>
      <c r="AH320" s="110"/>
      <c r="AI320" s="110"/>
      <c r="AJ320" s="110"/>
      <c r="AK320" s="110"/>
      <c r="AL320" s="110"/>
      <c r="AM320" s="84"/>
      <c r="AN320" s="85">
        <v>30</v>
      </c>
      <c r="AO320" s="85"/>
      <c r="AP320" s="117" t="str">
        <f>C320</f>
        <v>0114</v>
      </c>
      <c r="AR320" s="9"/>
      <c r="AS320" s="9"/>
      <c r="AT320" s="162" t="str">
        <f t="shared" si="6"/>
        <v>-</v>
      </c>
      <c r="AU320" s="9"/>
      <c r="AV320" s="116"/>
    </row>
    <row r="321" spans="1:52" ht="15" customHeight="1" x14ac:dyDescent="0.25">
      <c r="A321" s="72">
        <v>319</v>
      </c>
      <c r="B321" s="80"/>
      <c r="C321" s="157" t="s">
        <v>1717</v>
      </c>
      <c r="D321" s="5" t="s">
        <v>1267</v>
      </c>
      <c r="E321" s="5" t="s">
        <v>581</v>
      </c>
      <c r="F321" s="5" t="s">
        <v>580</v>
      </c>
      <c r="G321" s="2">
        <v>43130</v>
      </c>
      <c r="H321" s="2"/>
      <c r="I321" s="165">
        <v>43117</v>
      </c>
      <c r="J321" s="5" t="s">
        <v>581</v>
      </c>
      <c r="K321" s="5" t="s">
        <v>1236</v>
      </c>
      <c r="L321" s="5" t="s">
        <v>1231</v>
      </c>
      <c r="M321" s="5" t="str">
        <f t="shared" si="7"/>
        <v>ZITRON-ASCAZ HOSPITALARIA</v>
      </c>
      <c r="N321" s="5"/>
      <c r="O321" s="5"/>
      <c r="P321" s="90" t="s">
        <v>3</v>
      </c>
      <c r="Q321" s="106" t="s">
        <v>1268</v>
      </c>
      <c r="R321" s="106" t="s">
        <v>1269</v>
      </c>
      <c r="S321" s="106" t="s">
        <v>1270</v>
      </c>
      <c r="T321" s="5" t="s">
        <v>2</v>
      </c>
      <c r="U321" s="5" t="s">
        <v>1271</v>
      </c>
      <c r="V321" s="5" t="s">
        <v>646</v>
      </c>
      <c r="W321" s="2">
        <v>34234</v>
      </c>
      <c r="X321" s="7">
        <f ca="1">YEAR($X$1)-YEAR(W321)</f>
        <v>25</v>
      </c>
      <c r="Y321" s="5" t="s">
        <v>1</v>
      </c>
      <c r="Z321" s="106" t="s">
        <v>1272</v>
      </c>
      <c r="AA321" s="5">
        <v>8</v>
      </c>
      <c r="AB321" s="5" t="s">
        <v>78</v>
      </c>
      <c r="AC321" s="5" t="s">
        <v>0</v>
      </c>
      <c r="AD321" s="5" t="s">
        <v>456</v>
      </c>
      <c r="AE321" s="5">
        <v>33510</v>
      </c>
      <c r="AF321" s="5">
        <v>657446975</v>
      </c>
      <c r="AG321" s="118" t="s">
        <v>1273</v>
      </c>
      <c r="AH321" s="105" t="s">
        <v>1274</v>
      </c>
      <c r="AI321" s="105" t="s">
        <v>17</v>
      </c>
      <c r="AJ321" s="105" t="s">
        <v>1275</v>
      </c>
      <c r="AK321" s="105" t="s">
        <v>1276</v>
      </c>
      <c r="AL321" s="105" t="s">
        <v>1277</v>
      </c>
      <c r="AM321" s="84"/>
      <c r="AN321" s="8"/>
      <c r="AO321" s="89">
        <v>10</v>
      </c>
      <c r="AQ321" s="116" t="str">
        <f>CONCATENATE("NS",C320,"AZ")</f>
        <v>NS0114AZ</v>
      </c>
      <c r="AR321" s="9" t="str">
        <f>CONCATENATE(Q321," ",R321," ",S321)</f>
        <v>NAOMI ORDIALES CÓRDOBA</v>
      </c>
      <c r="AS321" s="9"/>
      <c r="AT321" s="162" t="str">
        <f t="shared" si="6"/>
        <v>NS0114AZ-NAOMI ORDIALES CÓRDOBA</v>
      </c>
      <c r="AU321" s="9" t="str">
        <f>U321</f>
        <v>53508155N</v>
      </c>
      <c r="AV321" s="116"/>
      <c r="AW321" s="9" t="str">
        <f>CONCATENATE(AH321,AI321,AJ321,AK321,AL321)</f>
        <v>ES0600495284302893329960</v>
      </c>
      <c r="AZ321" s="159">
        <v>43117</v>
      </c>
    </row>
    <row r="322" spans="1:52" ht="15" customHeight="1" x14ac:dyDescent="0.25">
      <c r="A322" s="72">
        <v>320</v>
      </c>
      <c r="B322" s="80"/>
      <c r="C322" s="156" t="s">
        <v>1668</v>
      </c>
      <c r="D322" s="81"/>
      <c r="E322" s="6"/>
      <c r="F322" s="6"/>
      <c r="G322" s="6"/>
      <c r="H322" s="4"/>
      <c r="I322" s="166"/>
      <c r="J322" s="6"/>
      <c r="K322" s="6"/>
      <c r="L322" s="6"/>
      <c r="M322" s="6" t="str">
        <f t="shared" si="7"/>
        <v xml:space="preserve"> </v>
      </c>
      <c r="N322" s="6"/>
      <c r="O322" s="6"/>
      <c r="P322" s="6"/>
      <c r="Q322" s="92"/>
      <c r="R322" s="92"/>
      <c r="S322" s="92"/>
      <c r="T322" s="6"/>
      <c r="U322" s="6"/>
      <c r="V322" s="6"/>
      <c r="W322" s="4"/>
      <c r="X322" s="4"/>
      <c r="Y322" s="6"/>
      <c r="Z322" s="92"/>
      <c r="AA322" s="6"/>
      <c r="AB322" s="6"/>
      <c r="AC322" s="6"/>
      <c r="AD322" s="6"/>
      <c r="AE322" s="6"/>
      <c r="AF322" s="6"/>
      <c r="AG322" s="93"/>
      <c r="AH322" s="110"/>
      <c r="AI322" s="110"/>
      <c r="AJ322" s="110"/>
      <c r="AK322" s="110"/>
      <c r="AL322" s="110"/>
      <c r="AM322" s="84"/>
      <c r="AN322" s="85">
        <v>30</v>
      </c>
      <c r="AO322" s="85"/>
      <c r="AP322" s="117" t="str">
        <f>C322</f>
        <v>0115</v>
      </c>
      <c r="AR322" s="9"/>
      <c r="AS322" s="9"/>
      <c r="AT322" s="162" t="str">
        <f t="shared" si="6"/>
        <v>-</v>
      </c>
      <c r="AU322" s="9"/>
      <c r="AV322" s="116"/>
    </row>
    <row r="323" spans="1:52" ht="15" customHeight="1" x14ac:dyDescent="0.25">
      <c r="A323" s="72">
        <v>321</v>
      </c>
      <c r="B323" s="80"/>
      <c r="C323" s="157" t="s">
        <v>1717</v>
      </c>
      <c r="D323" s="5" t="s">
        <v>1281</v>
      </c>
      <c r="E323" s="5" t="s">
        <v>729</v>
      </c>
      <c r="F323" s="5" t="s">
        <v>1312</v>
      </c>
      <c r="G323" s="2">
        <v>43130</v>
      </c>
      <c r="H323" s="2"/>
      <c r="I323" s="165">
        <v>43102</v>
      </c>
      <c r="J323" s="5" t="s">
        <v>581</v>
      </c>
      <c r="K323" s="5" t="s">
        <v>1229</v>
      </c>
      <c r="L323" s="5" t="s">
        <v>1231</v>
      </c>
      <c r="M323" s="5" t="str">
        <f t="shared" si="7"/>
        <v>ASCAZ HOSPITALARIA</v>
      </c>
      <c r="N323" s="5"/>
      <c r="O323" s="5"/>
      <c r="P323" s="90" t="s">
        <v>3</v>
      </c>
      <c r="Q323" s="106" t="s">
        <v>1282</v>
      </c>
      <c r="R323" s="106" t="s">
        <v>1283</v>
      </c>
      <c r="S323" s="106" t="s">
        <v>1149</v>
      </c>
      <c r="T323" s="5" t="s">
        <v>2</v>
      </c>
      <c r="U323" s="5" t="s">
        <v>1284</v>
      </c>
      <c r="V323" s="5" t="s">
        <v>646</v>
      </c>
      <c r="W323" s="2">
        <v>26216</v>
      </c>
      <c r="X323" s="7">
        <f ca="1">YEAR($X$1)-YEAR(W323)</f>
        <v>47</v>
      </c>
      <c r="Y323" s="5" t="s">
        <v>1</v>
      </c>
      <c r="Z323" s="106" t="s">
        <v>1285</v>
      </c>
      <c r="AA323" s="5" t="s">
        <v>582</v>
      </c>
      <c r="AB323" s="5" t="s">
        <v>176</v>
      </c>
      <c r="AC323" s="5" t="s">
        <v>0</v>
      </c>
      <c r="AD323" s="5" t="s">
        <v>7</v>
      </c>
      <c r="AE323" s="5">
        <v>33012</v>
      </c>
      <c r="AF323" s="5">
        <v>627056751</v>
      </c>
      <c r="AG323" s="147" t="s">
        <v>1057</v>
      </c>
      <c r="AH323" s="105" t="s">
        <v>339</v>
      </c>
      <c r="AI323" s="105" t="s">
        <v>1286</v>
      </c>
      <c r="AJ323" s="105" t="s">
        <v>1287</v>
      </c>
      <c r="AK323" s="105" t="s">
        <v>1295</v>
      </c>
      <c r="AL323" s="105" t="s">
        <v>1288</v>
      </c>
      <c r="AM323" s="84"/>
      <c r="AN323" s="8"/>
      <c r="AO323" s="89">
        <v>10</v>
      </c>
      <c r="AQ323" s="116" t="str">
        <f>CONCATENATE("NS",C322,"AZ")</f>
        <v>NS0115AZ</v>
      </c>
      <c r="AR323" s="9" t="str">
        <f>CONCATENATE(Q323," ",R323," ",S323)</f>
        <v>MARÍA EUGENIA POMAR MARTÍNEZ</v>
      </c>
      <c r="AS323" s="9"/>
      <c r="AT323" s="162" t="str">
        <f t="shared" si="6"/>
        <v>NS0115AZ-MARÍA EUGENIA POMAR MARTÍNEZ</v>
      </c>
      <c r="AU323" s="9" t="str">
        <f>U323</f>
        <v>9415000L</v>
      </c>
      <c r="AV323" s="116"/>
      <c r="AW323" s="9" t="str">
        <f>CONCATENATE(AH323,AI323,AJ323,AK323,AL323)</f>
        <v>ES0420480062563004011643</v>
      </c>
      <c r="AZ323" s="159">
        <v>43102</v>
      </c>
    </row>
    <row r="324" spans="1:52" ht="15" customHeight="1" x14ac:dyDescent="0.25">
      <c r="A324" s="72">
        <v>322</v>
      </c>
      <c r="B324" s="80"/>
      <c r="C324" s="156" t="s">
        <v>1669</v>
      </c>
      <c r="D324" s="81"/>
      <c r="E324" s="6"/>
      <c r="F324" s="6"/>
      <c r="G324" s="6"/>
      <c r="H324" s="4"/>
      <c r="I324" s="166"/>
      <c r="J324" s="6"/>
      <c r="K324" s="6"/>
      <c r="L324" s="6"/>
      <c r="M324" s="6" t="str">
        <f t="shared" si="7"/>
        <v xml:space="preserve"> </v>
      </c>
      <c r="N324" s="6"/>
      <c r="O324" s="6"/>
      <c r="P324" s="6"/>
      <c r="Q324" s="92"/>
      <c r="R324" s="92"/>
      <c r="S324" s="92"/>
      <c r="T324" s="6"/>
      <c r="U324" s="6"/>
      <c r="V324" s="6"/>
      <c r="W324" s="4"/>
      <c r="X324" s="4"/>
      <c r="Y324" s="6"/>
      <c r="Z324" s="92"/>
      <c r="AA324" s="6"/>
      <c r="AB324" s="6"/>
      <c r="AC324" s="6"/>
      <c r="AD324" s="6"/>
      <c r="AE324" s="6"/>
      <c r="AF324" s="6"/>
      <c r="AG324" s="93"/>
      <c r="AH324" s="110"/>
      <c r="AI324" s="110"/>
      <c r="AJ324" s="110"/>
      <c r="AK324" s="110"/>
      <c r="AL324" s="110"/>
      <c r="AM324" s="84"/>
      <c r="AN324" s="85">
        <v>30</v>
      </c>
      <c r="AO324" s="85"/>
      <c r="AP324" s="117" t="str">
        <f>C324</f>
        <v>0116</v>
      </c>
      <c r="AR324" s="9"/>
      <c r="AS324" s="9"/>
      <c r="AT324" s="162" t="str">
        <f t="shared" si="6"/>
        <v>-</v>
      </c>
      <c r="AU324" s="9"/>
      <c r="AV324" s="116"/>
    </row>
    <row r="325" spans="1:52" ht="15" customHeight="1" x14ac:dyDescent="0.25">
      <c r="A325" s="72">
        <v>323</v>
      </c>
      <c r="B325" s="80"/>
      <c r="C325" s="157" t="s">
        <v>1717</v>
      </c>
      <c r="D325" s="5" t="s">
        <v>1289</v>
      </c>
      <c r="E325" s="5" t="s">
        <v>729</v>
      </c>
      <c r="F325" s="5" t="s">
        <v>1312</v>
      </c>
      <c r="G325" s="2">
        <v>43130</v>
      </c>
      <c r="H325" s="2"/>
      <c r="I325" s="165">
        <v>43102</v>
      </c>
      <c r="J325" s="5" t="s">
        <v>581</v>
      </c>
      <c r="K325" s="5" t="s">
        <v>1229</v>
      </c>
      <c r="L325" s="5" t="s">
        <v>1231</v>
      </c>
      <c r="M325" s="5" t="str">
        <f t="shared" si="7"/>
        <v>ASCAZ HOSPITALARIA</v>
      </c>
      <c r="N325" s="5"/>
      <c r="O325" s="5"/>
      <c r="P325" s="90" t="s">
        <v>3</v>
      </c>
      <c r="Q325" s="106" t="s">
        <v>1290</v>
      </c>
      <c r="R325" s="106" t="s">
        <v>1291</v>
      </c>
      <c r="S325" s="106" t="s">
        <v>1292</v>
      </c>
      <c r="T325" s="5" t="s">
        <v>2</v>
      </c>
      <c r="U325" s="5" t="s">
        <v>1293</v>
      </c>
      <c r="V325" s="5" t="s">
        <v>665</v>
      </c>
      <c r="W325" s="2">
        <v>26044</v>
      </c>
      <c r="X325" s="7">
        <f ca="1">YEAR($X$1)-YEAR(W325)</f>
        <v>47</v>
      </c>
      <c r="Y325" s="5" t="s">
        <v>1296</v>
      </c>
      <c r="Z325" s="106" t="s">
        <v>1297</v>
      </c>
      <c r="AA325" s="5" t="s">
        <v>1298</v>
      </c>
      <c r="AB325" s="5" t="s">
        <v>1299</v>
      </c>
      <c r="AC325" s="5" t="s">
        <v>0</v>
      </c>
      <c r="AD325" s="5" t="s">
        <v>7</v>
      </c>
      <c r="AE325" s="5">
        <v>33010</v>
      </c>
      <c r="AF325" s="5">
        <v>620980291</v>
      </c>
      <c r="AG325" s="118" t="s">
        <v>1294</v>
      </c>
      <c r="AH325" s="105" t="s">
        <v>339</v>
      </c>
      <c r="AI325" s="105" t="s">
        <v>1286</v>
      </c>
      <c r="AJ325" s="105" t="s">
        <v>1287</v>
      </c>
      <c r="AK325" s="105" t="s">
        <v>1295</v>
      </c>
      <c r="AL325" s="105" t="s">
        <v>1288</v>
      </c>
      <c r="AM325" s="84"/>
      <c r="AN325" s="8"/>
      <c r="AO325" s="89">
        <v>10</v>
      </c>
      <c r="AQ325" s="116" t="str">
        <f>CONCATENATE("NS",C324,"AZ")</f>
        <v>NS0116AZ</v>
      </c>
      <c r="AR325" s="9" t="str">
        <f>CONCATENATE(Q325," ",R325," ",S325)</f>
        <v>VALERIANO ANTONIO ROCHO PINIELLA</v>
      </c>
      <c r="AS325" s="9"/>
      <c r="AT325" s="162" t="str">
        <f t="shared" ref="AT325:AT349" si="8">CONCATENATE(AQ325,"-",AR325,)</f>
        <v>NS0116AZ-VALERIANO ANTONIO ROCHO PINIELLA</v>
      </c>
      <c r="AU325" s="9" t="str">
        <f>U325</f>
        <v>9383260L</v>
      </c>
      <c r="AV325" s="116"/>
      <c r="AW325" s="9" t="str">
        <f>CONCATENATE(AH325,AI325,AJ325,AK325,AL325)</f>
        <v>ES0420480062563004011643</v>
      </c>
      <c r="AZ325" s="159">
        <v>43102</v>
      </c>
    </row>
    <row r="326" spans="1:52" ht="15" customHeight="1" x14ac:dyDescent="0.25">
      <c r="A326" s="72">
        <v>324</v>
      </c>
      <c r="B326" s="80"/>
      <c r="C326" s="156" t="s">
        <v>356</v>
      </c>
      <c r="D326" s="81"/>
      <c r="E326" s="6"/>
      <c r="F326" s="6"/>
      <c r="G326" s="6"/>
      <c r="H326" s="4"/>
      <c r="I326" s="166"/>
      <c r="J326" s="6"/>
      <c r="K326" s="6"/>
      <c r="L326" s="6"/>
      <c r="M326" s="6"/>
      <c r="N326" s="6"/>
      <c r="O326" s="6"/>
      <c r="P326" s="6"/>
      <c r="Q326" s="92"/>
      <c r="R326" s="92"/>
      <c r="S326" s="92"/>
      <c r="T326" s="6"/>
      <c r="U326" s="6"/>
      <c r="V326" s="6"/>
      <c r="W326" s="4"/>
      <c r="X326" s="4"/>
      <c r="Y326" s="6"/>
      <c r="Z326" s="92"/>
      <c r="AA326" s="6"/>
      <c r="AB326" s="6"/>
      <c r="AC326" s="6"/>
      <c r="AD326" s="6"/>
      <c r="AE326" s="6"/>
      <c r="AF326" s="6"/>
      <c r="AG326" s="93"/>
      <c r="AH326" s="110"/>
      <c r="AI326" s="110"/>
      <c r="AJ326" s="110"/>
      <c r="AK326" s="110"/>
      <c r="AL326" s="110"/>
      <c r="AM326" s="84"/>
      <c r="AN326" s="85">
        <v>30</v>
      </c>
      <c r="AO326" s="85"/>
      <c r="AP326" s="117" t="str">
        <f>C326</f>
        <v>0117</v>
      </c>
      <c r="AR326" s="9"/>
      <c r="AS326" s="9"/>
      <c r="AT326" s="162" t="str">
        <f t="shared" si="8"/>
        <v>-</v>
      </c>
      <c r="AU326" s="9"/>
      <c r="AV326" s="116"/>
    </row>
    <row r="327" spans="1:52" ht="15" customHeight="1" x14ac:dyDescent="0.25">
      <c r="A327" s="72">
        <v>325</v>
      </c>
      <c r="B327" s="80"/>
      <c r="C327" s="157" t="s">
        <v>1717</v>
      </c>
      <c r="D327" s="5" t="s">
        <v>1344</v>
      </c>
      <c r="E327" s="5" t="s">
        <v>729</v>
      </c>
      <c r="F327" s="5"/>
      <c r="G327" s="2">
        <v>43130</v>
      </c>
      <c r="H327" s="2"/>
      <c r="I327" s="165">
        <v>43117</v>
      </c>
      <c r="J327" s="5" t="s">
        <v>581</v>
      </c>
      <c r="K327" s="5" t="s">
        <v>1229</v>
      </c>
      <c r="L327" s="5" t="s">
        <v>1231</v>
      </c>
      <c r="M327" s="5" t="str">
        <f>CONCATENATE(K327," ",L327)</f>
        <v>ASCAZ HOSPITALARIA</v>
      </c>
      <c r="N327" s="5"/>
      <c r="O327" s="5"/>
      <c r="P327" s="90" t="s">
        <v>3</v>
      </c>
      <c r="Q327" s="106" t="s">
        <v>1300</v>
      </c>
      <c r="R327" s="106" t="s">
        <v>1301</v>
      </c>
      <c r="S327" s="106" t="s">
        <v>1302</v>
      </c>
      <c r="T327" s="5" t="s">
        <v>2</v>
      </c>
      <c r="U327" s="5" t="s">
        <v>1303</v>
      </c>
      <c r="V327" s="5" t="s">
        <v>646</v>
      </c>
      <c r="W327" s="2">
        <v>25251</v>
      </c>
      <c r="X327" s="7">
        <f ca="1">YEAR($X$1)-YEAR(W327)</f>
        <v>49</v>
      </c>
      <c r="Y327" s="5" t="s">
        <v>1</v>
      </c>
      <c r="Z327" s="106" t="s">
        <v>1304</v>
      </c>
      <c r="AA327" s="5">
        <v>5</v>
      </c>
      <c r="AB327" s="5" t="s">
        <v>295</v>
      </c>
      <c r="AC327" s="5" t="s">
        <v>0</v>
      </c>
      <c r="AD327" s="5" t="s">
        <v>7</v>
      </c>
      <c r="AE327" s="5">
        <v>33011</v>
      </c>
      <c r="AF327" s="5">
        <v>647250228</v>
      </c>
      <c r="AG327" s="118" t="s">
        <v>1305</v>
      </c>
      <c r="AH327" s="105" t="s">
        <v>1306</v>
      </c>
      <c r="AI327" s="105" t="s">
        <v>405</v>
      </c>
      <c r="AJ327" s="105" t="s">
        <v>1307</v>
      </c>
      <c r="AK327" s="105" t="s">
        <v>1308</v>
      </c>
      <c r="AL327" s="105" t="s">
        <v>1309</v>
      </c>
      <c r="AM327" s="84"/>
      <c r="AN327" s="8"/>
      <c r="AO327" s="89">
        <v>10</v>
      </c>
      <c r="AQ327" s="116" t="str">
        <f>CONCATENATE("NS",C326,"AZ")</f>
        <v>NS0117AZ</v>
      </c>
      <c r="AR327" s="9" t="str">
        <f>CONCATENATE(Q327," ",R327," ",S327)</f>
        <v>PILAR IGLESIAS NAVARRO</v>
      </c>
      <c r="AS327" s="9"/>
      <c r="AT327" s="162" t="str">
        <f t="shared" si="8"/>
        <v>NS0117AZ-PILAR IGLESIAS NAVARRO</v>
      </c>
      <c r="AU327" s="9" t="str">
        <f>U327</f>
        <v>10077092X</v>
      </c>
      <c r="AV327" s="116"/>
      <c r="AW327" s="9" t="str">
        <f>CONCATENATE(AH327,AI327,AJ327,AK327,AL327)</f>
        <v>ES0900190457754010025294</v>
      </c>
      <c r="AZ327" s="159">
        <v>43117</v>
      </c>
    </row>
    <row r="328" spans="1:52" ht="15" customHeight="1" x14ac:dyDescent="0.25">
      <c r="A328" s="72">
        <v>326</v>
      </c>
      <c r="B328" s="80"/>
      <c r="C328" s="156" t="s">
        <v>1670</v>
      </c>
      <c r="D328" s="81"/>
      <c r="E328" s="6"/>
      <c r="F328" s="6"/>
      <c r="G328" s="6"/>
      <c r="H328" s="4"/>
      <c r="I328" s="166"/>
      <c r="J328" s="6"/>
      <c r="K328" s="6"/>
      <c r="L328" s="6"/>
      <c r="M328" s="6"/>
      <c r="N328" s="6"/>
      <c r="O328" s="6"/>
      <c r="P328" s="6"/>
      <c r="Q328" s="92"/>
      <c r="R328" s="92"/>
      <c r="S328" s="92"/>
      <c r="T328" s="6"/>
      <c r="U328" s="6"/>
      <c r="V328" s="6"/>
      <c r="W328" s="4"/>
      <c r="X328" s="4"/>
      <c r="Y328" s="6"/>
      <c r="Z328" s="92"/>
      <c r="AA328" s="6"/>
      <c r="AB328" s="6"/>
      <c r="AC328" s="6"/>
      <c r="AD328" s="6"/>
      <c r="AE328" s="6"/>
      <c r="AF328" s="6"/>
      <c r="AG328" s="93"/>
      <c r="AH328" s="110"/>
      <c r="AI328" s="110"/>
      <c r="AJ328" s="110"/>
      <c r="AK328" s="110"/>
      <c r="AL328" s="110"/>
      <c r="AM328" s="84"/>
      <c r="AN328" s="85">
        <v>30</v>
      </c>
      <c r="AO328" s="85"/>
      <c r="AP328" s="117" t="str">
        <f>C328</f>
        <v>0118</v>
      </c>
      <c r="AR328" s="9"/>
      <c r="AS328" s="9"/>
      <c r="AT328" s="162" t="str">
        <f t="shared" si="8"/>
        <v>-</v>
      </c>
      <c r="AU328" s="9"/>
      <c r="AV328" s="116"/>
    </row>
    <row r="329" spans="1:52" ht="15" customHeight="1" x14ac:dyDescent="0.25">
      <c r="A329" s="72">
        <v>327</v>
      </c>
      <c r="B329" s="80"/>
      <c r="C329" s="157" t="s">
        <v>1717</v>
      </c>
      <c r="D329" s="5" t="s">
        <v>1343</v>
      </c>
      <c r="E329" s="5" t="s">
        <v>729</v>
      </c>
      <c r="F329" s="5" t="s">
        <v>736</v>
      </c>
      <c r="G329" s="2">
        <v>43137</v>
      </c>
      <c r="H329" s="2"/>
      <c r="I329" s="165">
        <v>43129</v>
      </c>
      <c r="J329" s="5" t="s">
        <v>581</v>
      </c>
      <c r="K329" s="5" t="s">
        <v>1229</v>
      </c>
      <c r="L329" s="5" t="s">
        <v>1231</v>
      </c>
      <c r="M329" s="5" t="str">
        <f>CONCATENATE(K329," ",L329)</f>
        <v>ASCAZ HOSPITALARIA</v>
      </c>
      <c r="N329" s="5"/>
      <c r="O329" s="5"/>
      <c r="P329" s="90" t="s">
        <v>3</v>
      </c>
      <c r="Q329" s="119" t="s">
        <v>1345</v>
      </c>
      <c r="R329" s="119" t="s">
        <v>1346</v>
      </c>
      <c r="S329" s="119" t="s">
        <v>1347</v>
      </c>
      <c r="T329" s="5" t="s">
        <v>2</v>
      </c>
      <c r="U329" s="5" t="s">
        <v>1348</v>
      </c>
      <c r="V329" s="5" t="s">
        <v>646</v>
      </c>
      <c r="W329" s="2">
        <v>26048</v>
      </c>
      <c r="X329" s="7">
        <f ca="1">YEAR($X$1)-YEAR(W329)</f>
        <v>47</v>
      </c>
      <c r="Y329" s="5" t="s">
        <v>1</v>
      </c>
      <c r="Z329" s="119" t="s">
        <v>1349</v>
      </c>
      <c r="AA329" s="5">
        <v>25</v>
      </c>
      <c r="AB329" s="5" t="s">
        <v>1350</v>
      </c>
      <c r="AC329" s="5" t="s">
        <v>0</v>
      </c>
      <c r="AD329" s="5" t="s">
        <v>31</v>
      </c>
      <c r="AE329" s="5">
        <v>33213</v>
      </c>
      <c r="AF329" s="5">
        <v>620668015</v>
      </c>
      <c r="AG329" s="146" t="s">
        <v>1571</v>
      </c>
      <c r="AH329" s="105" t="s">
        <v>135</v>
      </c>
      <c r="AI329" s="105" t="s">
        <v>1286</v>
      </c>
      <c r="AJ329" s="105" t="s">
        <v>281</v>
      </c>
      <c r="AK329" s="105" t="s">
        <v>1351</v>
      </c>
      <c r="AL329" s="105" t="s">
        <v>1352</v>
      </c>
      <c r="AM329" s="84"/>
      <c r="AN329" s="8"/>
      <c r="AO329" s="89">
        <v>10</v>
      </c>
      <c r="AQ329" s="116" t="str">
        <f>CONCATENATE("NS",C328,"AZ")</f>
        <v>NS0118AZ</v>
      </c>
      <c r="AR329" s="9" t="str">
        <f>CONCATENATE(Q329," ",R329," ",S329)</f>
        <v>NURIA GARZÓN MIERES</v>
      </c>
      <c r="AS329" s="9"/>
      <c r="AT329" s="162" t="str">
        <f t="shared" si="8"/>
        <v>NS0118AZ-NURIA GARZÓN MIERES</v>
      </c>
      <c r="AU329" s="9" t="str">
        <f>U329</f>
        <v>10893910Y</v>
      </c>
      <c r="AV329" s="116"/>
      <c r="AW329" s="9" t="str">
        <f>CONCATENATE(AH329,AI329,AJ329,AK329,AL329)</f>
        <v>ES2420480096533404002422</v>
      </c>
      <c r="AZ329" s="159">
        <v>43129</v>
      </c>
    </row>
    <row r="330" spans="1:52" ht="15" customHeight="1" x14ac:dyDescent="0.25">
      <c r="A330" s="72">
        <v>328</v>
      </c>
      <c r="B330" s="80"/>
      <c r="C330" s="156" t="s">
        <v>1671</v>
      </c>
      <c r="D330" s="81"/>
      <c r="E330" s="6"/>
      <c r="F330" s="6"/>
      <c r="G330" s="6"/>
      <c r="H330" s="4"/>
      <c r="I330" s="166"/>
      <c r="J330" s="6"/>
      <c r="K330" s="6"/>
      <c r="L330" s="6"/>
      <c r="M330" s="6"/>
      <c r="N330" s="6"/>
      <c r="O330" s="6"/>
      <c r="P330" s="6"/>
      <c r="Q330" s="92"/>
      <c r="R330" s="92"/>
      <c r="S330" s="92"/>
      <c r="T330" s="6"/>
      <c r="U330" s="6"/>
      <c r="V330" s="6"/>
      <c r="W330" s="4"/>
      <c r="X330" s="4"/>
      <c r="Y330" s="6"/>
      <c r="Z330" s="92"/>
      <c r="AA330" s="6"/>
      <c r="AB330" s="6"/>
      <c r="AC330" s="6"/>
      <c r="AD330" s="6"/>
      <c r="AE330" s="6"/>
      <c r="AF330" s="6"/>
      <c r="AG330" s="93"/>
      <c r="AH330" s="110"/>
      <c r="AI330" s="110"/>
      <c r="AJ330" s="110"/>
      <c r="AK330" s="110"/>
      <c r="AL330" s="110"/>
      <c r="AM330" s="84"/>
      <c r="AN330" s="85">
        <v>30</v>
      </c>
      <c r="AO330" s="85"/>
      <c r="AP330" s="117" t="str">
        <f>C330</f>
        <v>0119</v>
      </c>
      <c r="AR330" s="9"/>
      <c r="AS330" s="9"/>
      <c r="AT330" s="162" t="str">
        <f t="shared" si="8"/>
        <v>-</v>
      </c>
      <c r="AU330" s="9"/>
      <c r="AV330" s="116"/>
    </row>
    <row r="331" spans="1:52" ht="15" customHeight="1" x14ac:dyDescent="0.25">
      <c r="A331" s="72">
        <v>329</v>
      </c>
      <c r="B331" s="80"/>
      <c r="C331" s="157" t="s">
        <v>1717</v>
      </c>
      <c r="D331" s="5" t="s">
        <v>1355</v>
      </c>
      <c r="E331" s="5" t="s">
        <v>729</v>
      </c>
      <c r="F331" s="5" t="s">
        <v>1353</v>
      </c>
      <c r="G331" s="2">
        <v>43131</v>
      </c>
      <c r="H331" s="2"/>
      <c r="I331" s="165">
        <v>43129</v>
      </c>
      <c r="J331" s="5" t="s">
        <v>581</v>
      </c>
      <c r="K331" s="5" t="s">
        <v>1229</v>
      </c>
      <c r="L331" s="5" t="s">
        <v>1231</v>
      </c>
      <c r="M331" s="5" t="str">
        <f>CONCATENATE(K331," ",L331)</f>
        <v>ASCAZ HOSPITALARIA</v>
      </c>
      <c r="N331" s="5"/>
      <c r="O331" s="5"/>
      <c r="P331" s="90" t="s">
        <v>3</v>
      </c>
      <c r="Q331" s="141" t="s">
        <v>175</v>
      </c>
      <c r="R331" s="141" t="s">
        <v>94</v>
      </c>
      <c r="S331" s="141" t="s">
        <v>93</v>
      </c>
      <c r="T331" s="5" t="s">
        <v>2</v>
      </c>
      <c r="U331" s="5" t="s">
        <v>1356</v>
      </c>
      <c r="V331" s="5" t="s">
        <v>646</v>
      </c>
      <c r="W331" s="2">
        <v>24606</v>
      </c>
      <c r="X331" s="7">
        <f ca="1">YEAR($X$1)-YEAR(W331)</f>
        <v>51</v>
      </c>
      <c r="Y331" s="5" t="s">
        <v>1357</v>
      </c>
      <c r="Z331" s="141" t="s">
        <v>1358</v>
      </c>
      <c r="AA331" s="5">
        <v>2</v>
      </c>
      <c r="AB331" s="5" t="s">
        <v>555</v>
      </c>
      <c r="AC331" s="5" t="s">
        <v>0</v>
      </c>
      <c r="AD331" s="5" t="s">
        <v>7</v>
      </c>
      <c r="AE331" s="5">
        <v>33001</v>
      </c>
      <c r="AF331" s="5">
        <v>600759877</v>
      </c>
      <c r="AG331" s="146" t="s">
        <v>1359</v>
      </c>
      <c r="AH331" s="105" t="s">
        <v>1360</v>
      </c>
      <c r="AI331" s="105" t="s">
        <v>13</v>
      </c>
      <c r="AJ331" s="105" t="s">
        <v>1361</v>
      </c>
      <c r="AK331" s="105" t="s">
        <v>1362</v>
      </c>
      <c r="AL331" s="105" t="s">
        <v>1363</v>
      </c>
      <c r="AM331" s="84"/>
      <c r="AN331" s="8"/>
      <c r="AO331" s="89">
        <v>10</v>
      </c>
      <c r="AQ331" s="116" t="str">
        <f>CONCATENATE("NS",C330,"AZ")</f>
        <v>NS0119AZ</v>
      </c>
      <c r="AR331" s="9" t="str">
        <f>CONCATENATE(Q331," ",R331," ",S331)</f>
        <v>RAQUEL ORTIZ REY</v>
      </c>
      <c r="AS331" s="9"/>
      <c r="AT331" s="162" t="str">
        <f t="shared" si="8"/>
        <v>NS0119AZ-RAQUEL ORTIZ REY</v>
      </c>
      <c r="AU331" s="9" t="str">
        <f>U331</f>
        <v>9391168S</v>
      </c>
      <c r="AV331" s="116"/>
      <c r="AW331" s="9" t="str">
        <f>CONCATENATE(AH331,AI331,AJ331,AK331,AL331)</f>
        <v>ES2700815051510006207133</v>
      </c>
      <c r="AZ331" s="159">
        <v>43129</v>
      </c>
    </row>
    <row r="332" spans="1:52" ht="15" customHeight="1" x14ac:dyDescent="0.25">
      <c r="A332" s="72">
        <v>333</v>
      </c>
      <c r="B332" s="80"/>
      <c r="C332" s="156" t="s">
        <v>1672</v>
      </c>
      <c r="D332" s="81"/>
      <c r="E332" s="6"/>
      <c r="F332" s="6"/>
      <c r="G332" s="6"/>
      <c r="H332" s="4"/>
      <c r="I332" s="166"/>
      <c r="J332" s="6"/>
      <c r="K332" s="6"/>
      <c r="L332" s="6"/>
      <c r="M332" s="6"/>
      <c r="N332" s="6"/>
      <c r="O332" s="6"/>
      <c r="P332" s="6"/>
      <c r="Q332" s="92"/>
      <c r="R332" s="92"/>
      <c r="S332" s="92"/>
      <c r="T332" s="6"/>
      <c r="U332" s="6"/>
      <c r="V332" s="6"/>
      <c r="W332" s="4"/>
      <c r="X332" s="4"/>
      <c r="Y332" s="6"/>
      <c r="Z332" s="92"/>
      <c r="AA332" s="6"/>
      <c r="AB332" s="6"/>
      <c r="AC332" s="6"/>
      <c r="AD332" s="6"/>
      <c r="AE332" s="6"/>
      <c r="AF332" s="6"/>
      <c r="AG332" s="93"/>
      <c r="AH332" s="110"/>
      <c r="AI332" s="110"/>
      <c r="AJ332" s="110"/>
      <c r="AK332" s="110"/>
      <c r="AL332" s="110"/>
      <c r="AM332" s="84"/>
      <c r="AN332" s="85">
        <v>30</v>
      </c>
      <c r="AO332" s="85"/>
      <c r="AP332" s="117" t="str">
        <f>C332</f>
        <v>0121</v>
      </c>
      <c r="AR332" s="9"/>
      <c r="AS332" s="9"/>
      <c r="AT332" s="162" t="str">
        <f t="shared" si="8"/>
        <v>-</v>
      </c>
      <c r="AU332" s="9"/>
      <c r="AV332" s="116"/>
    </row>
    <row r="333" spans="1:52" ht="15" customHeight="1" x14ac:dyDescent="0.25">
      <c r="A333" s="72">
        <v>334</v>
      </c>
      <c r="B333" s="80"/>
      <c r="C333" s="157" t="s">
        <v>1717</v>
      </c>
      <c r="D333" s="5" t="s">
        <v>1370</v>
      </c>
      <c r="E333" s="5" t="s">
        <v>581</v>
      </c>
      <c r="F333" s="5" t="s">
        <v>580</v>
      </c>
      <c r="G333" s="2">
        <v>43139</v>
      </c>
      <c r="H333" s="2"/>
      <c r="I333" s="165">
        <v>43146</v>
      </c>
      <c r="J333" s="5" t="s">
        <v>581</v>
      </c>
      <c r="K333" s="5" t="s">
        <v>1236</v>
      </c>
      <c r="L333" s="5" t="s">
        <v>1231</v>
      </c>
      <c r="M333" s="5" t="str">
        <f t="shared" ref="M333" si="9">CONCATENATE(K333," ",L333)</f>
        <v>ZITRON-ASCAZ HOSPITALARIA</v>
      </c>
      <c r="N333" s="5"/>
      <c r="O333" s="5"/>
      <c r="P333" s="90" t="s">
        <v>3</v>
      </c>
      <c r="Q333" s="142" t="s">
        <v>461</v>
      </c>
      <c r="R333" s="142" t="s">
        <v>1371</v>
      </c>
      <c r="S333" s="142" t="s">
        <v>132</v>
      </c>
      <c r="T333" s="5" t="s">
        <v>2</v>
      </c>
      <c r="U333" s="5" t="s">
        <v>1372</v>
      </c>
      <c r="V333" s="5" t="s">
        <v>665</v>
      </c>
      <c r="W333" s="2">
        <v>29833</v>
      </c>
      <c r="X333" s="7">
        <f t="shared" ref="X333" ca="1" si="10">YEAR($X$1)-YEAR(W333)</f>
        <v>37</v>
      </c>
      <c r="Y333" s="5" t="s">
        <v>1</v>
      </c>
      <c r="Z333" s="142" t="s">
        <v>1373</v>
      </c>
      <c r="AA333" s="5">
        <v>5</v>
      </c>
      <c r="AB333" s="5" t="s">
        <v>1374</v>
      </c>
      <c r="AC333" s="5" t="s">
        <v>0</v>
      </c>
      <c r="AD333" s="5" t="s">
        <v>1347</v>
      </c>
      <c r="AE333" s="5">
        <v>33600</v>
      </c>
      <c r="AF333" s="5">
        <v>687194973</v>
      </c>
      <c r="AG333" s="120" t="s">
        <v>1375</v>
      </c>
      <c r="AH333" s="105" t="s">
        <v>1376</v>
      </c>
      <c r="AI333" s="105" t="s">
        <v>28</v>
      </c>
      <c r="AJ333" s="105" t="s">
        <v>1377</v>
      </c>
      <c r="AK333" s="105" t="s">
        <v>1378</v>
      </c>
      <c r="AL333" s="105" t="s">
        <v>1379</v>
      </c>
      <c r="AM333" s="84"/>
      <c r="AN333" s="8"/>
      <c r="AO333" s="89">
        <v>10</v>
      </c>
      <c r="AQ333" s="116" t="str">
        <f>CONCATENATE("NS",C332,"AZ")</f>
        <v>NS0121AZ</v>
      </c>
      <c r="AR333" s="9" t="str">
        <f>CONCATENATE(Q333," ",R333," ",S333)</f>
        <v>ADRIAN URIA GARCÍA</v>
      </c>
      <c r="AS333" s="9"/>
      <c r="AT333" s="162" t="str">
        <f t="shared" si="8"/>
        <v>NS0121AZ-ADRIAN URIA GARCÍA</v>
      </c>
      <c r="AU333" s="9" t="str">
        <f>U333</f>
        <v>71772986Z</v>
      </c>
      <c r="AV333" s="116"/>
      <c r="AW333" s="9" t="str">
        <f>CONCATENATE(AH333,AI333,AJ333,AK333,AL333)</f>
        <v>ES9101820608710201545313</v>
      </c>
      <c r="AZ333" s="159">
        <v>43146</v>
      </c>
    </row>
    <row r="334" spans="1:52" ht="15" customHeight="1" x14ac:dyDescent="0.25">
      <c r="A334" s="72">
        <v>335</v>
      </c>
      <c r="B334" s="80"/>
      <c r="C334" s="156" t="s">
        <v>1673</v>
      </c>
      <c r="D334" s="81"/>
      <c r="E334" s="6"/>
      <c r="F334" s="6"/>
      <c r="G334" s="6"/>
      <c r="H334" s="4"/>
      <c r="I334" s="166"/>
      <c r="J334" s="6"/>
      <c r="K334" s="6"/>
      <c r="L334" s="6"/>
      <c r="M334" s="6"/>
      <c r="N334" s="6"/>
      <c r="O334" s="6"/>
      <c r="P334" s="6"/>
      <c r="Q334" s="92"/>
      <c r="R334" s="92"/>
      <c r="S334" s="92"/>
      <c r="T334" s="6"/>
      <c r="U334" s="6"/>
      <c r="V334" s="6"/>
      <c r="W334" s="4"/>
      <c r="X334" s="4"/>
      <c r="Y334" s="6"/>
      <c r="Z334" s="92"/>
      <c r="AA334" s="6"/>
      <c r="AB334" s="6"/>
      <c r="AC334" s="6"/>
      <c r="AD334" s="6"/>
      <c r="AE334" s="6"/>
      <c r="AF334" s="6"/>
      <c r="AG334" s="93"/>
      <c r="AH334" s="110"/>
      <c r="AI334" s="110"/>
      <c r="AJ334" s="110"/>
      <c r="AK334" s="110"/>
      <c r="AL334" s="110"/>
      <c r="AM334" s="84"/>
      <c r="AN334" s="85">
        <v>30</v>
      </c>
      <c r="AO334" s="85"/>
      <c r="AP334" s="117" t="str">
        <f>C334</f>
        <v>0122</v>
      </c>
      <c r="AR334" s="9"/>
      <c r="AS334" s="9"/>
      <c r="AT334" s="162" t="str">
        <f t="shared" si="8"/>
        <v>-</v>
      </c>
      <c r="AU334" s="9"/>
      <c r="AV334" s="116"/>
    </row>
    <row r="335" spans="1:52" ht="15" customHeight="1" x14ac:dyDescent="0.25">
      <c r="A335" s="72">
        <v>336</v>
      </c>
      <c r="B335" s="80"/>
      <c r="C335" s="157" t="s">
        <v>1717</v>
      </c>
      <c r="D335" s="5" t="s">
        <v>1413</v>
      </c>
      <c r="E335" s="5" t="s">
        <v>581</v>
      </c>
      <c r="F335" s="5" t="s">
        <v>580</v>
      </c>
      <c r="G335" s="2">
        <v>43138</v>
      </c>
      <c r="H335" s="2"/>
      <c r="I335" s="165">
        <v>43181</v>
      </c>
      <c r="J335" s="5" t="s">
        <v>581</v>
      </c>
      <c r="K335" s="5" t="s">
        <v>1236</v>
      </c>
      <c r="L335" s="5" t="s">
        <v>1231</v>
      </c>
      <c r="M335" s="5" t="str">
        <f t="shared" ref="M335" si="11">CONCATENATE(K335," ",L335)</f>
        <v>ZITRON-ASCAZ HOSPITALARIA</v>
      </c>
      <c r="N335" s="2">
        <v>43160</v>
      </c>
      <c r="O335" s="5"/>
      <c r="P335" s="90" t="s">
        <v>3</v>
      </c>
      <c r="Q335" s="148" t="s">
        <v>229</v>
      </c>
      <c r="R335" s="148" t="s">
        <v>1414</v>
      </c>
      <c r="S335" s="148" t="s">
        <v>1415</v>
      </c>
      <c r="T335" s="5" t="s">
        <v>2</v>
      </c>
      <c r="U335" s="5" t="s">
        <v>1416</v>
      </c>
      <c r="V335" s="5" t="s">
        <v>665</v>
      </c>
      <c r="W335" s="2">
        <v>31248</v>
      </c>
      <c r="X335" s="7">
        <f t="shared" ref="X335:X336" ca="1" si="12">YEAR($X$1)-YEAR(W335)</f>
        <v>33</v>
      </c>
      <c r="Y335" s="5" t="s">
        <v>1</v>
      </c>
      <c r="Z335" s="148" t="s">
        <v>1417</v>
      </c>
      <c r="AA335" s="5">
        <v>64</v>
      </c>
      <c r="AB335" s="5" t="s">
        <v>78</v>
      </c>
      <c r="AC335" s="5" t="s">
        <v>0</v>
      </c>
      <c r="AD335" s="5" t="s">
        <v>31</v>
      </c>
      <c r="AE335" s="5">
        <v>33203</v>
      </c>
      <c r="AF335" s="5">
        <v>669653933</v>
      </c>
      <c r="AG335" s="146" t="s">
        <v>1418</v>
      </c>
      <c r="AH335" s="105" t="s">
        <v>1483</v>
      </c>
      <c r="AI335" s="105" t="s">
        <v>1484</v>
      </c>
      <c r="AJ335" s="105" t="s">
        <v>49</v>
      </c>
      <c r="AK335" s="105" t="s">
        <v>1378</v>
      </c>
      <c r="AL335" s="105" t="s">
        <v>1485</v>
      </c>
      <c r="AM335" s="84"/>
      <c r="AN335" s="8"/>
      <c r="AO335" s="89">
        <v>10</v>
      </c>
      <c r="AQ335" s="116" t="str">
        <f>CONCATENATE("NS",C334,"AZ")</f>
        <v>NS0122AZ</v>
      </c>
      <c r="AR335" s="9" t="str">
        <f>CONCATENATE(Q335," ",R335," ",S335)</f>
        <v>JORGE GONZALEZ NORNIELLA</v>
      </c>
      <c r="AS335" s="9"/>
      <c r="AT335" s="162" t="str">
        <f t="shared" si="8"/>
        <v>NS0122AZ-JORGE GONZALEZ NORNIELLA</v>
      </c>
      <c r="AU335" s="9" t="str">
        <f>U335</f>
        <v>53543223M</v>
      </c>
      <c r="AV335" s="116"/>
      <c r="AW335" s="9" t="str">
        <f>CONCATENATE(AH335,AI335,AJ335,AK335,AL335)</f>
        <v>ES6120800769713040016390</v>
      </c>
      <c r="AZ335" s="159">
        <v>43181</v>
      </c>
    </row>
    <row r="336" spans="1:52" ht="15" customHeight="1" x14ac:dyDescent="0.25">
      <c r="A336" s="72">
        <v>337</v>
      </c>
      <c r="B336" s="80"/>
      <c r="C336" s="157" t="s">
        <v>1717</v>
      </c>
      <c r="D336" s="5" t="s">
        <v>1419</v>
      </c>
      <c r="E336" s="5" t="s">
        <v>581</v>
      </c>
      <c r="F336" s="5" t="s">
        <v>580</v>
      </c>
      <c r="G336" s="2">
        <v>43138</v>
      </c>
      <c r="H336" s="2"/>
      <c r="I336" s="165"/>
      <c r="J336" s="5" t="s">
        <v>581</v>
      </c>
      <c r="K336" s="5" t="s">
        <v>1236</v>
      </c>
      <c r="L336" s="5" t="s">
        <v>1231</v>
      </c>
      <c r="M336" s="5" t="str">
        <f t="shared" ref="M336" si="13">CONCATENATE(K336," ",L336)</f>
        <v>ZITRON-ASCAZ HOSPITALARIA</v>
      </c>
      <c r="N336" s="2">
        <v>43160</v>
      </c>
      <c r="O336" s="5"/>
      <c r="P336" s="5" t="s">
        <v>43</v>
      </c>
      <c r="Q336" s="148" t="s">
        <v>336</v>
      </c>
      <c r="R336" s="148" t="s">
        <v>1414</v>
      </c>
      <c r="S336" s="148" t="s">
        <v>1152</v>
      </c>
      <c r="T336" s="5" t="s">
        <v>2</v>
      </c>
      <c r="U336" s="5" t="s">
        <v>1420</v>
      </c>
      <c r="V336" s="5" t="s">
        <v>646</v>
      </c>
      <c r="W336" s="2">
        <v>30090</v>
      </c>
      <c r="X336" s="7">
        <f t="shared" ca="1" si="12"/>
        <v>36</v>
      </c>
      <c r="Y336" s="5"/>
      <c r="Z336" s="148"/>
      <c r="AA336" s="5"/>
      <c r="AB336" s="5"/>
      <c r="AC336" s="5"/>
      <c r="AD336" s="5"/>
      <c r="AE336" s="5"/>
      <c r="AF336" s="5">
        <v>625014264</v>
      </c>
      <c r="AG336" s="146" t="s">
        <v>1421</v>
      </c>
      <c r="AH336" s="105"/>
      <c r="AI336" s="105"/>
      <c r="AJ336" s="105"/>
      <c r="AK336" s="105"/>
      <c r="AL336" s="105"/>
      <c r="AM336" s="84"/>
      <c r="AN336" s="8"/>
      <c r="AO336" s="89">
        <v>10</v>
      </c>
      <c r="AR336" s="9"/>
      <c r="AS336" s="9"/>
      <c r="AT336" s="162" t="str">
        <f t="shared" si="8"/>
        <v>-</v>
      </c>
      <c r="AU336" s="9"/>
      <c r="AV336" s="116"/>
    </row>
    <row r="337" spans="1:52" ht="15" customHeight="1" x14ac:dyDescent="0.25">
      <c r="A337" s="72">
        <v>338</v>
      </c>
      <c r="B337" s="80"/>
      <c r="C337" s="156" t="s">
        <v>1674</v>
      </c>
      <c r="D337" s="81"/>
      <c r="E337" s="6"/>
      <c r="F337" s="6"/>
      <c r="G337" s="6"/>
      <c r="H337" s="4"/>
      <c r="I337" s="166"/>
      <c r="J337" s="6"/>
      <c r="K337" s="6"/>
      <c r="L337" s="6"/>
      <c r="M337" s="6"/>
      <c r="N337" s="6"/>
      <c r="O337" s="6"/>
      <c r="P337" s="6"/>
      <c r="Q337" s="92"/>
      <c r="R337" s="92"/>
      <c r="S337" s="92"/>
      <c r="T337" s="6"/>
      <c r="U337" s="6"/>
      <c r="V337" s="6"/>
      <c r="W337" s="4"/>
      <c r="X337" s="4"/>
      <c r="Y337" s="6"/>
      <c r="Z337" s="92"/>
      <c r="AA337" s="6"/>
      <c r="AB337" s="6"/>
      <c r="AC337" s="6"/>
      <c r="AD337" s="6"/>
      <c r="AE337" s="6"/>
      <c r="AF337" s="6"/>
      <c r="AG337" s="93"/>
      <c r="AH337" s="110"/>
      <c r="AI337" s="110"/>
      <c r="AJ337" s="110"/>
      <c r="AK337" s="110"/>
      <c r="AL337" s="110"/>
      <c r="AM337" s="84"/>
      <c r="AN337" s="85">
        <v>30</v>
      </c>
      <c r="AO337" s="85"/>
      <c r="AP337" s="117" t="str">
        <f>C337</f>
        <v>0123</v>
      </c>
      <c r="AR337" s="9"/>
      <c r="AS337" s="9"/>
      <c r="AT337" s="162" t="str">
        <f t="shared" si="8"/>
        <v>-</v>
      </c>
      <c r="AU337" s="9"/>
      <c r="AV337" s="116"/>
    </row>
    <row r="338" spans="1:52" ht="15" customHeight="1" x14ac:dyDescent="0.25">
      <c r="A338" s="72">
        <v>339</v>
      </c>
      <c r="B338" s="80"/>
      <c r="C338" s="157" t="s">
        <v>1717</v>
      </c>
      <c r="D338" s="5" t="s">
        <v>1422</v>
      </c>
      <c r="E338" s="5" t="s">
        <v>581</v>
      </c>
      <c r="F338" s="5" t="s">
        <v>580</v>
      </c>
      <c r="G338" s="2">
        <v>43158</v>
      </c>
      <c r="H338" s="2"/>
      <c r="I338" s="165">
        <v>43158</v>
      </c>
      <c r="J338" s="5" t="s">
        <v>581</v>
      </c>
      <c r="K338" s="5" t="s">
        <v>1236</v>
      </c>
      <c r="L338" s="5" t="s">
        <v>1231</v>
      </c>
      <c r="M338" s="5" t="str">
        <f t="shared" ref="M338" si="14">CONCATENATE(K338," ",L338)</f>
        <v>ZITRON-ASCAZ HOSPITALARIA</v>
      </c>
      <c r="N338" s="2">
        <v>43191</v>
      </c>
      <c r="O338" s="5"/>
      <c r="P338" s="90" t="s">
        <v>3</v>
      </c>
      <c r="Q338" s="148" t="s">
        <v>1423</v>
      </c>
      <c r="R338" s="148" t="s">
        <v>132</v>
      </c>
      <c r="S338" s="148" t="s">
        <v>1424</v>
      </c>
      <c r="T338" s="5" t="s">
        <v>2</v>
      </c>
      <c r="U338" s="5" t="s">
        <v>1425</v>
      </c>
      <c r="V338" s="5" t="s">
        <v>665</v>
      </c>
      <c r="W338" s="2">
        <v>25616</v>
      </c>
      <c r="X338" s="7">
        <f t="shared" ref="X338:X340" ca="1" si="15">YEAR($X$1)-YEAR(W338)</f>
        <v>48</v>
      </c>
      <c r="Y338" s="5" t="s">
        <v>171</v>
      </c>
      <c r="Z338" s="148" t="s">
        <v>1426</v>
      </c>
      <c r="AA338" s="5">
        <v>121</v>
      </c>
      <c r="AB338" s="5" t="s">
        <v>1185</v>
      </c>
      <c r="AC338" s="5" t="s">
        <v>121</v>
      </c>
      <c r="AD338" s="5" t="s">
        <v>1427</v>
      </c>
      <c r="AE338" s="5">
        <v>28341</v>
      </c>
      <c r="AF338" s="5">
        <v>619249629</v>
      </c>
      <c r="AG338" s="146" t="s">
        <v>1428</v>
      </c>
      <c r="AH338" s="105" t="s">
        <v>279</v>
      </c>
      <c r="AI338" s="105" t="s">
        <v>13</v>
      </c>
      <c r="AJ338" s="105" t="s">
        <v>1429</v>
      </c>
      <c r="AK338" s="105" t="s">
        <v>1430</v>
      </c>
      <c r="AL338" s="105" t="s">
        <v>1431</v>
      </c>
      <c r="AM338" s="84"/>
      <c r="AN338" s="8"/>
      <c r="AO338" s="89">
        <v>10</v>
      </c>
      <c r="AQ338" s="116" t="str">
        <f>CONCATENATE("NS",C337,"AZ")</f>
        <v>NS0123AZ</v>
      </c>
      <c r="AR338" s="9" t="str">
        <f>CONCATENATE(Q338," ",R338," ",S338)</f>
        <v>FRANCISCO JAVIER GARCÍA CASERO</v>
      </c>
      <c r="AS338" s="9"/>
      <c r="AT338" s="162" t="str">
        <f t="shared" si="8"/>
        <v>NS0123AZ-FRANCISCO JAVIER GARCÍA CASERO</v>
      </c>
      <c r="AU338" s="9" t="str">
        <f>U338</f>
        <v>8937167B</v>
      </c>
      <c r="AV338" s="116"/>
      <c r="AW338" s="9" t="str">
        <f>CONCATENATE(AH338,AI338,AJ338,AK338,AL338)</f>
        <v>ES2800810466030001087809</v>
      </c>
      <c r="AZ338" s="159">
        <v>43158</v>
      </c>
    </row>
    <row r="339" spans="1:52" ht="15" customHeight="1" x14ac:dyDescent="0.25">
      <c r="A339" s="72">
        <v>340</v>
      </c>
      <c r="B339" s="80"/>
      <c r="C339" s="156" t="s">
        <v>1675</v>
      </c>
      <c r="D339" s="81"/>
      <c r="E339" s="6"/>
      <c r="F339" s="6"/>
      <c r="G339" s="6"/>
      <c r="H339" s="4"/>
      <c r="I339" s="166"/>
      <c r="J339" s="6"/>
      <c r="K339" s="6"/>
      <c r="L339" s="6"/>
      <c r="M339" s="6"/>
      <c r="N339" s="6"/>
      <c r="O339" s="6"/>
      <c r="P339" s="6"/>
      <c r="Q339" s="92"/>
      <c r="R339" s="92"/>
      <c r="S339" s="92"/>
      <c r="T339" s="6"/>
      <c r="U339" s="6"/>
      <c r="V339" s="6"/>
      <c r="W339" s="4"/>
      <c r="X339" s="4"/>
      <c r="Y339" s="6"/>
      <c r="Z339" s="92"/>
      <c r="AA339" s="6"/>
      <c r="AB339" s="6"/>
      <c r="AC339" s="6"/>
      <c r="AD339" s="6"/>
      <c r="AE339" s="6"/>
      <c r="AF339" s="6"/>
      <c r="AG339" s="93"/>
      <c r="AH339" s="110"/>
      <c r="AI339" s="110"/>
      <c r="AJ339" s="110"/>
      <c r="AK339" s="110"/>
      <c r="AL339" s="110"/>
      <c r="AM339" s="84"/>
      <c r="AN339" s="85">
        <v>30</v>
      </c>
      <c r="AO339" s="85"/>
      <c r="AP339" s="117" t="str">
        <f>C339</f>
        <v>0124</v>
      </c>
      <c r="AR339" s="9"/>
      <c r="AS339" s="9"/>
      <c r="AT339" s="162" t="str">
        <f t="shared" si="8"/>
        <v>-</v>
      </c>
      <c r="AU339" s="9"/>
      <c r="AV339" s="116"/>
    </row>
    <row r="340" spans="1:52" ht="15" customHeight="1" x14ac:dyDescent="0.25">
      <c r="A340" s="72">
        <v>341</v>
      </c>
      <c r="B340" s="80"/>
      <c r="C340" s="157" t="s">
        <v>1717</v>
      </c>
      <c r="D340" s="5" t="s">
        <v>1432</v>
      </c>
      <c r="E340" s="5" t="s">
        <v>581</v>
      </c>
      <c r="F340" s="5"/>
      <c r="G340" s="2">
        <v>43179</v>
      </c>
      <c r="H340" s="2"/>
      <c r="I340" s="165">
        <v>43179</v>
      </c>
      <c r="J340" s="5" t="s">
        <v>581</v>
      </c>
      <c r="K340" s="5" t="s">
        <v>1229</v>
      </c>
      <c r="L340" s="5" t="s">
        <v>1231</v>
      </c>
      <c r="M340" s="5" t="str">
        <f t="shared" ref="M340" si="16">CONCATENATE(K340," ",L340)</f>
        <v>ASCAZ HOSPITALARIA</v>
      </c>
      <c r="N340" s="2">
        <v>43191</v>
      </c>
      <c r="O340" s="5"/>
      <c r="P340" s="90" t="s">
        <v>3</v>
      </c>
      <c r="Q340" s="148" t="s">
        <v>927</v>
      </c>
      <c r="R340" s="148" t="s">
        <v>1433</v>
      </c>
      <c r="S340" s="148" t="s">
        <v>174</v>
      </c>
      <c r="T340" s="5" t="s">
        <v>2</v>
      </c>
      <c r="U340" s="5" t="s">
        <v>1434</v>
      </c>
      <c r="V340" s="5" t="s">
        <v>665</v>
      </c>
      <c r="W340" s="2">
        <v>30965</v>
      </c>
      <c r="X340" s="7">
        <f t="shared" ca="1" si="15"/>
        <v>34</v>
      </c>
      <c r="Y340" s="5" t="s">
        <v>171</v>
      </c>
      <c r="Z340" s="148" t="s">
        <v>1435</v>
      </c>
      <c r="AA340" s="5">
        <v>31</v>
      </c>
      <c r="AB340" s="5" t="s">
        <v>270</v>
      </c>
      <c r="AC340" s="5" t="s">
        <v>0</v>
      </c>
      <c r="AD340" s="5" t="s">
        <v>121</v>
      </c>
      <c r="AE340" s="5">
        <v>33207</v>
      </c>
      <c r="AF340" s="5">
        <v>659297993</v>
      </c>
      <c r="AG340" s="146" t="s">
        <v>1436</v>
      </c>
      <c r="AH340" s="105" t="s">
        <v>237</v>
      </c>
      <c r="AI340" s="105" t="s">
        <v>13</v>
      </c>
      <c r="AJ340" s="105" t="s">
        <v>1437</v>
      </c>
      <c r="AK340" s="105" t="s">
        <v>1438</v>
      </c>
      <c r="AL340" s="105" t="s">
        <v>1439</v>
      </c>
      <c r="AM340" s="84"/>
      <c r="AN340" s="8"/>
      <c r="AO340" s="89">
        <v>10</v>
      </c>
      <c r="AQ340" s="116" t="str">
        <f>CONCATENATE("NS",C339,"AZ")</f>
        <v>NS0124AZ</v>
      </c>
      <c r="AR340" s="9" t="str">
        <f>CONCATENATE(Q340," ",R340," ",S340)</f>
        <v>JUAN CARLOS TOLIVIA MENÉNDEZ</v>
      </c>
      <c r="AS340" s="9"/>
      <c r="AT340" s="162" t="str">
        <f t="shared" si="8"/>
        <v>NS0124AZ-JUAN CARLOS TOLIVIA MENÉNDEZ</v>
      </c>
      <c r="AU340" s="9" t="str">
        <f>U340</f>
        <v>53530401V</v>
      </c>
      <c r="AV340" s="116"/>
      <c r="AW340" s="9" t="str">
        <f>CONCATENATE(AH340,AI340,AJ340,AK340,AL340)</f>
        <v>ES7400815658940006212727</v>
      </c>
      <c r="AZ340" s="159">
        <v>43179</v>
      </c>
    </row>
    <row r="341" spans="1:52" ht="15" customHeight="1" x14ac:dyDescent="0.25">
      <c r="A341" s="72">
        <v>342</v>
      </c>
      <c r="B341" s="80"/>
      <c r="C341" s="156" t="s">
        <v>1676</v>
      </c>
      <c r="D341" s="81"/>
      <c r="E341" s="6"/>
      <c r="F341" s="6"/>
      <c r="G341" s="6"/>
      <c r="H341" s="4"/>
      <c r="I341" s="166"/>
      <c r="J341" s="6"/>
      <c r="K341" s="6"/>
      <c r="L341" s="6"/>
      <c r="M341" s="6"/>
      <c r="N341" s="6"/>
      <c r="O341" s="6"/>
      <c r="P341" s="6"/>
      <c r="Q341" s="92"/>
      <c r="R341" s="92"/>
      <c r="S341" s="92"/>
      <c r="T341" s="6"/>
      <c r="U341" s="6"/>
      <c r="V341" s="6"/>
      <c r="W341" s="4"/>
      <c r="X341" s="4"/>
      <c r="Y341" s="6"/>
      <c r="Z341" s="92"/>
      <c r="AA341" s="6"/>
      <c r="AB341" s="6"/>
      <c r="AC341" s="6"/>
      <c r="AD341" s="6"/>
      <c r="AE341" s="6"/>
      <c r="AF341" s="6"/>
      <c r="AG341" s="93"/>
      <c r="AH341" s="110"/>
      <c r="AI341" s="110"/>
      <c r="AJ341" s="110"/>
      <c r="AK341" s="110"/>
      <c r="AL341" s="110"/>
      <c r="AM341" s="84"/>
      <c r="AN341" s="85">
        <v>30</v>
      </c>
      <c r="AO341" s="85"/>
      <c r="AP341" s="117" t="str">
        <f>C341</f>
        <v>0125</v>
      </c>
      <c r="AR341" s="9"/>
      <c r="AS341" s="9"/>
      <c r="AT341" s="162" t="str">
        <f t="shared" si="8"/>
        <v>-</v>
      </c>
      <c r="AU341" s="9"/>
      <c r="AV341" s="116"/>
    </row>
    <row r="342" spans="1:52" ht="15" customHeight="1" x14ac:dyDescent="0.25">
      <c r="A342" s="72">
        <v>343</v>
      </c>
      <c r="B342" s="80"/>
      <c r="C342" s="157" t="s">
        <v>1717</v>
      </c>
      <c r="D342" s="5" t="s">
        <v>1440</v>
      </c>
      <c r="E342" s="5" t="s">
        <v>581</v>
      </c>
      <c r="F342" s="5" t="s">
        <v>580</v>
      </c>
      <c r="G342" s="2"/>
      <c r="H342" s="2"/>
      <c r="I342" s="165">
        <v>43179</v>
      </c>
      <c r="J342" s="5" t="s">
        <v>581</v>
      </c>
      <c r="K342" s="5" t="s">
        <v>1236</v>
      </c>
      <c r="L342" s="5" t="s">
        <v>1231</v>
      </c>
      <c r="M342" s="5" t="str">
        <f t="shared" ref="M342:M343" si="17">CONCATENATE(K342," ",L342)</f>
        <v>ZITRON-ASCAZ HOSPITALARIA</v>
      </c>
      <c r="N342" s="2">
        <v>43221</v>
      </c>
      <c r="O342" s="5"/>
      <c r="P342" s="90" t="s">
        <v>3</v>
      </c>
      <c r="Q342" s="149" t="s">
        <v>1445</v>
      </c>
      <c r="R342" s="149" t="s">
        <v>1446</v>
      </c>
      <c r="S342" s="149" t="s">
        <v>1447</v>
      </c>
      <c r="T342" s="5" t="s">
        <v>2</v>
      </c>
      <c r="U342" s="5" t="s">
        <v>1451</v>
      </c>
      <c r="V342" s="5" t="s">
        <v>665</v>
      </c>
      <c r="W342" s="2">
        <v>28944</v>
      </c>
      <c r="X342" s="7">
        <f t="shared" ref="X342:X344" ca="1" si="18">YEAR($X$1)-YEAR(W342)</f>
        <v>39</v>
      </c>
      <c r="Y342" s="5" t="s">
        <v>1</v>
      </c>
      <c r="Z342" s="149" t="s">
        <v>1455</v>
      </c>
      <c r="AA342" s="5">
        <v>5</v>
      </c>
      <c r="AB342" s="5" t="s">
        <v>1456</v>
      </c>
      <c r="AC342" s="5" t="s">
        <v>0</v>
      </c>
      <c r="AD342" s="5" t="s">
        <v>31</v>
      </c>
      <c r="AE342" s="5">
        <v>33205</v>
      </c>
      <c r="AF342" s="5">
        <v>605249022</v>
      </c>
      <c r="AG342" s="146" t="s">
        <v>1573</v>
      </c>
      <c r="AH342" s="105" t="s">
        <v>1490</v>
      </c>
      <c r="AI342" s="105" t="s">
        <v>1286</v>
      </c>
      <c r="AJ342" s="105" t="s">
        <v>1495</v>
      </c>
      <c r="AK342" s="105" t="s">
        <v>1496</v>
      </c>
      <c r="AL342" s="105" t="s">
        <v>1497</v>
      </c>
      <c r="AM342" s="84"/>
      <c r="AN342" s="8"/>
      <c r="AO342" s="89">
        <v>10</v>
      </c>
      <c r="AQ342" s="116" t="str">
        <f>CONCATENATE("NS",C341,"AZ")</f>
        <v>NS0125AZ</v>
      </c>
      <c r="AR342" s="9" t="str">
        <f>CONCATENATE(Q342," ",R342," ",S342)</f>
        <v>CHRISTIAN RODRIGUEZ TORRE</v>
      </c>
      <c r="AS342" s="9"/>
      <c r="AT342" s="162" t="str">
        <f t="shared" si="8"/>
        <v>NS0125AZ-CHRISTIAN RODRIGUEZ TORRE</v>
      </c>
      <c r="AU342" s="9" t="str">
        <f>U342</f>
        <v>52615849Z</v>
      </c>
      <c r="AV342" s="116"/>
      <c r="AW342" s="9" t="str">
        <f>CONCATENATE(AH342,AI342,AJ342,AK342,AL342)</f>
        <v>ES1320480052813400034596</v>
      </c>
      <c r="AZ342" s="159">
        <v>43179</v>
      </c>
    </row>
    <row r="343" spans="1:52" ht="15" customHeight="1" x14ac:dyDescent="0.25">
      <c r="A343" s="72">
        <v>344</v>
      </c>
      <c r="B343" s="80"/>
      <c r="C343" s="157" t="s">
        <v>1717</v>
      </c>
      <c r="D343" s="5" t="s">
        <v>1441</v>
      </c>
      <c r="E343" s="5" t="s">
        <v>581</v>
      </c>
      <c r="F343" s="5" t="s">
        <v>580</v>
      </c>
      <c r="G343" s="2"/>
      <c r="H343" s="2"/>
      <c r="I343" s="165"/>
      <c r="J343" s="5" t="s">
        <v>581</v>
      </c>
      <c r="K343" s="5" t="s">
        <v>1236</v>
      </c>
      <c r="L343" s="5" t="s">
        <v>1231</v>
      </c>
      <c r="M343" s="5" t="str">
        <f t="shared" si="17"/>
        <v>ZITRON-ASCAZ HOSPITALARIA</v>
      </c>
      <c r="N343" s="2">
        <v>43221</v>
      </c>
      <c r="O343" s="5"/>
      <c r="P343" s="5" t="s">
        <v>43</v>
      </c>
      <c r="Q343" s="149" t="s">
        <v>1448</v>
      </c>
      <c r="R343" s="149" t="s">
        <v>286</v>
      </c>
      <c r="S343" s="149" t="s">
        <v>1414</v>
      </c>
      <c r="T343" s="5" t="s">
        <v>2</v>
      </c>
      <c r="U343" s="5" t="s">
        <v>1452</v>
      </c>
      <c r="V343" s="5" t="s">
        <v>646</v>
      </c>
      <c r="W343" s="2">
        <v>30260</v>
      </c>
      <c r="X343" s="7">
        <f t="shared" ca="1" si="18"/>
        <v>36</v>
      </c>
      <c r="Y343" s="5"/>
      <c r="Z343" s="149"/>
      <c r="AA343" s="5"/>
      <c r="AB343" s="5"/>
      <c r="AC343" s="5"/>
      <c r="AD343" s="5"/>
      <c r="AE343" s="5"/>
      <c r="AF343" s="5">
        <v>667793161</v>
      </c>
      <c r="AG343" s="146"/>
      <c r="AH343" s="105"/>
      <c r="AI343" s="105"/>
      <c r="AJ343" s="105"/>
      <c r="AK343" s="105"/>
      <c r="AL343" s="105"/>
      <c r="AM343" s="84"/>
      <c r="AN343" s="8"/>
      <c r="AO343" s="89">
        <v>10</v>
      </c>
      <c r="AR343" s="9"/>
      <c r="AS343" s="9"/>
      <c r="AT343" s="162" t="str">
        <f t="shared" si="8"/>
        <v>-</v>
      </c>
      <c r="AU343" s="9"/>
      <c r="AV343" s="116"/>
    </row>
    <row r="344" spans="1:52" ht="15" customHeight="1" x14ac:dyDescent="0.25">
      <c r="A344" s="72">
        <v>345</v>
      </c>
      <c r="B344" s="80"/>
      <c r="C344" s="157" t="s">
        <v>1717</v>
      </c>
      <c r="D344" s="5" t="s">
        <v>1443</v>
      </c>
      <c r="E344" s="5" t="s">
        <v>581</v>
      </c>
      <c r="F344" s="5" t="s">
        <v>580</v>
      </c>
      <c r="G344" s="2"/>
      <c r="H344" s="2"/>
      <c r="I344" s="165"/>
      <c r="J344" s="5" t="s">
        <v>581</v>
      </c>
      <c r="K344" s="5" t="s">
        <v>1229</v>
      </c>
      <c r="L344" s="5" t="s">
        <v>1230</v>
      </c>
      <c r="M344" s="5" t="str">
        <f>CONCATENATE(K344," ",L344)</f>
        <v>ASCAZ AMBULATORIA</v>
      </c>
      <c r="N344" s="2">
        <v>43221</v>
      </c>
      <c r="O344" s="5"/>
      <c r="P344" s="90" t="s">
        <v>818</v>
      </c>
      <c r="Q344" s="149" t="s">
        <v>1449</v>
      </c>
      <c r="R344" s="149" t="s">
        <v>1446</v>
      </c>
      <c r="S344" s="149" t="s">
        <v>1446</v>
      </c>
      <c r="T344" s="5" t="s">
        <v>2</v>
      </c>
      <c r="U344" s="5" t="s">
        <v>1454</v>
      </c>
      <c r="V344" s="5" t="s">
        <v>665</v>
      </c>
      <c r="W344" s="2">
        <v>20346</v>
      </c>
      <c r="X344" s="7">
        <f t="shared" ca="1" si="18"/>
        <v>63</v>
      </c>
      <c r="Y344" s="5"/>
      <c r="Z344" s="149"/>
      <c r="AA344" s="5"/>
      <c r="AB344" s="5"/>
      <c r="AC344" s="5"/>
      <c r="AD344" s="5"/>
      <c r="AE344" s="5"/>
      <c r="AF344" s="5">
        <v>649866562</v>
      </c>
      <c r="AG344" s="146"/>
      <c r="AH344" s="105"/>
      <c r="AI344" s="105"/>
      <c r="AJ344" s="105"/>
      <c r="AK344" s="105"/>
      <c r="AL344" s="105"/>
      <c r="AM344" s="84"/>
      <c r="AN344" s="8"/>
      <c r="AO344" s="89">
        <v>10</v>
      </c>
      <c r="AR344" s="9"/>
      <c r="AS344" s="9"/>
      <c r="AT344" s="162" t="str">
        <f t="shared" si="8"/>
        <v>-</v>
      </c>
      <c r="AU344" s="9"/>
      <c r="AV344" s="116"/>
    </row>
    <row r="345" spans="1:52" ht="15" customHeight="1" x14ac:dyDescent="0.25">
      <c r="A345" s="72">
        <v>346</v>
      </c>
      <c r="B345" s="80"/>
      <c r="C345" s="157" t="s">
        <v>1717</v>
      </c>
      <c r="D345" s="5" t="s">
        <v>1444</v>
      </c>
      <c r="E345" s="5" t="s">
        <v>581</v>
      </c>
      <c r="F345" s="5" t="s">
        <v>580</v>
      </c>
      <c r="G345" s="2"/>
      <c r="H345" s="2"/>
      <c r="I345" s="165"/>
      <c r="J345" s="5" t="s">
        <v>581</v>
      </c>
      <c r="K345" s="5" t="s">
        <v>1229</v>
      </c>
      <c r="L345" s="5" t="s">
        <v>1230</v>
      </c>
      <c r="M345" s="5" t="str">
        <f>CONCATENATE(K345," ",L345)</f>
        <v>ASCAZ AMBULATORIA</v>
      </c>
      <c r="N345" s="2">
        <v>43221</v>
      </c>
      <c r="O345" s="5"/>
      <c r="P345" s="90" t="s">
        <v>818</v>
      </c>
      <c r="Q345" s="149" t="s">
        <v>1128</v>
      </c>
      <c r="R345" s="149" t="s">
        <v>1450</v>
      </c>
      <c r="S345" s="149" t="s">
        <v>1447</v>
      </c>
      <c r="T345" s="5" t="s">
        <v>2</v>
      </c>
      <c r="U345" s="5" t="s">
        <v>1453</v>
      </c>
      <c r="V345" s="5" t="s">
        <v>646</v>
      </c>
      <c r="W345" s="2">
        <v>21763</v>
      </c>
      <c r="X345" s="7">
        <f t="shared" ref="X345" ca="1" si="19">YEAR($X$1)-YEAR(W345)</f>
        <v>59</v>
      </c>
      <c r="Y345" s="5"/>
      <c r="Z345" s="149"/>
      <c r="AA345" s="5"/>
      <c r="AB345" s="5"/>
      <c r="AC345" s="5"/>
      <c r="AD345" s="5"/>
      <c r="AE345" s="5"/>
      <c r="AF345" s="5">
        <v>626091587</v>
      </c>
      <c r="AG345" s="146"/>
      <c r="AH345" s="105"/>
      <c r="AI345" s="105"/>
      <c r="AJ345" s="105"/>
      <c r="AK345" s="105"/>
      <c r="AL345" s="105"/>
      <c r="AM345" s="84"/>
      <c r="AN345" s="8"/>
      <c r="AO345" s="89">
        <v>10</v>
      </c>
      <c r="AR345" s="9"/>
      <c r="AS345" s="9"/>
      <c r="AT345" s="162" t="str">
        <f t="shared" si="8"/>
        <v>-</v>
      </c>
      <c r="AU345" s="9"/>
      <c r="AV345" s="116"/>
    </row>
    <row r="346" spans="1:52" ht="15" customHeight="1" x14ac:dyDescent="0.25">
      <c r="A346" s="72">
        <v>347</v>
      </c>
      <c r="B346" s="80"/>
      <c r="C346" s="156" t="s">
        <v>1677</v>
      </c>
      <c r="D346" s="81"/>
      <c r="E346" s="6"/>
      <c r="F346" s="6"/>
      <c r="G346" s="6"/>
      <c r="H346" s="4"/>
      <c r="I346" s="166"/>
      <c r="J346" s="6"/>
      <c r="K346" s="6"/>
      <c r="L346" s="6"/>
      <c r="M346" s="6"/>
      <c r="N346" s="6"/>
      <c r="O346" s="6"/>
      <c r="P346" s="6"/>
      <c r="Q346" s="92"/>
      <c r="R346" s="92"/>
      <c r="S346" s="92"/>
      <c r="T346" s="6"/>
      <c r="U346" s="6"/>
      <c r="V346" s="6"/>
      <c r="W346" s="4"/>
      <c r="X346" s="4"/>
      <c r="Y346" s="6"/>
      <c r="Z346" s="92"/>
      <c r="AA346" s="6"/>
      <c r="AB346" s="6"/>
      <c r="AC346" s="6"/>
      <c r="AD346" s="6"/>
      <c r="AE346" s="6"/>
      <c r="AF346" s="6"/>
      <c r="AG346" s="93"/>
      <c r="AH346" s="110"/>
      <c r="AI346" s="110"/>
      <c r="AJ346" s="110"/>
      <c r="AK346" s="110"/>
      <c r="AL346" s="110"/>
      <c r="AM346" s="84"/>
      <c r="AN346" s="85">
        <v>30</v>
      </c>
      <c r="AO346" s="85"/>
      <c r="AP346" s="117" t="str">
        <f>C346</f>
        <v>0126</v>
      </c>
      <c r="AR346" s="9"/>
      <c r="AS346" s="9"/>
      <c r="AT346" s="162" t="str">
        <f t="shared" si="8"/>
        <v>-</v>
      </c>
      <c r="AU346" s="9"/>
      <c r="AV346" s="116"/>
    </row>
    <row r="347" spans="1:52" ht="15" customHeight="1" x14ac:dyDescent="0.25">
      <c r="A347" s="72">
        <v>348</v>
      </c>
      <c r="B347" s="80"/>
      <c r="C347" s="157" t="s">
        <v>1717</v>
      </c>
      <c r="D347" s="5" t="s">
        <v>1442</v>
      </c>
      <c r="E347" s="5" t="s">
        <v>581</v>
      </c>
      <c r="F347" s="5" t="s">
        <v>580</v>
      </c>
      <c r="G347" s="2">
        <v>43171</v>
      </c>
      <c r="H347" s="2"/>
      <c r="I347" s="165">
        <v>43171</v>
      </c>
      <c r="J347" s="5" t="s">
        <v>581</v>
      </c>
      <c r="K347" s="5" t="s">
        <v>1236</v>
      </c>
      <c r="L347" s="5" t="s">
        <v>1231</v>
      </c>
      <c r="M347" s="5" t="str">
        <f t="shared" ref="M347" si="20">CONCATENATE(K347," ",L347)</f>
        <v>ZITRON-ASCAZ HOSPITALARIA</v>
      </c>
      <c r="N347" s="2">
        <v>43221</v>
      </c>
      <c r="O347" s="5"/>
      <c r="P347" s="90" t="s">
        <v>3</v>
      </c>
      <c r="Q347" s="149" t="s">
        <v>1457</v>
      </c>
      <c r="R347" s="149" t="s">
        <v>1458</v>
      </c>
      <c r="S347" s="149" t="s">
        <v>132</v>
      </c>
      <c r="T347" s="5" t="s">
        <v>2</v>
      </c>
      <c r="U347" s="5" t="s">
        <v>1459</v>
      </c>
      <c r="V347" s="5" t="s">
        <v>665</v>
      </c>
      <c r="W347" s="2">
        <v>28082</v>
      </c>
      <c r="X347" s="7">
        <f t="shared" ref="X347" ca="1" si="21">YEAR($X$1)-YEAR(W347)</f>
        <v>42</v>
      </c>
      <c r="Y347" s="5" t="s">
        <v>856</v>
      </c>
      <c r="Z347" s="149" t="s">
        <v>1460</v>
      </c>
      <c r="AA347" s="5">
        <v>330</v>
      </c>
      <c r="AB347" s="5"/>
      <c r="AC347" s="5" t="s">
        <v>0</v>
      </c>
      <c r="AD347" s="5" t="s">
        <v>31</v>
      </c>
      <c r="AE347" s="5">
        <v>33390</v>
      </c>
      <c r="AF347" s="5">
        <v>677866613</v>
      </c>
      <c r="AG347" s="146" t="s">
        <v>1461</v>
      </c>
      <c r="AH347" s="105" t="s">
        <v>1498</v>
      </c>
      <c r="AI347" s="105" t="s">
        <v>1380</v>
      </c>
      <c r="AJ347" s="105" t="s">
        <v>44</v>
      </c>
      <c r="AK347" s="105" t="s">
        <v>1389</v>
      </c>
      <c r="AL347" s="105" t="s">
        <v>1499</v>
      </c>
      <c r="AM347" s="84"/>
      <c r="AN347" s="8"/>
      <c r="AO347" s="89">
        <v>10</v>
      </c>
      <c r="AQ347" s="116" t="str">
        <f>CONCATENATE("NS",C346,"AZ")</f>
        <v>NS0126AZ</v>
      </c>
      <c r="AR347" s="9" t="str">
        <f>CONCATENATE(Q347," ",R347," ",S347)</f>
        <v>MANUEL VILLA GARCÍA</v>
      </c>
      <c r="AS347" s="9"/>
      <c r="AT347" s="162" t="str">
        <f t="shared" si="8"/>
        <v>NS0126AZ-MANUEL VILLA GARCÍA</v>
      </c>
      <c r="AU347" s="9" t="str">
        <f>U347</f>
        <v>10871306B</v>
      </c>
      <c r="AV347" s="116"/>
      <c r="AW347" s="9" t="str">
        <f>CONCATENATE(AH347,AI347,AJ347,AK347,AL347)</f>
        <v>ES4830070003191541294417</v>
      </c>
      <c r="AZ347" s="159">
        <v>43171</v>
      </c>
    </row>
    <row r="348" spans="1:52" ht="15" customHeight="1" x14ac:dyDescent="0.25">
      <c r="A348" s="72">
        <v>349</v>
      </c>
      <c r="B348" s="80"/>
      <c r="C348" s="156" t="s">
        <v>1678</v>
      </c>
      <c r="D348" s="81"/>
      <c r="E348" s="6"/>
      <c r="F348" s="6"/>
      <c r="G348" s="6"/>
      <c r="H348" s="4"/>
      <c r="I348" s="166"/>
      <c r="J348" s="6"/>
      <c r="K348" s="6"/>
      <c r="L348" s="6"/>
      <c r="M348" s="6"/>
      <c r="N348" s="6"/>
      <c r="O348" s="6"/>
      <c r="P348" s="6"/>
      <c r="Q348" s="92"/>
      <c r="R348" s="92"/>
      <c r="S348" s="92"/>
      <c r="T348" s="6"/>
      <c r="U348" s="6"/>
      <c r="V348" s="6"/>
      <c r="W348" s="4"/>
      <c r="X348" s="4"/>
      <c r="Y348" s="6"/>
      <c r="Z348" s="92"/>
      <c r="AA348" s="6"/>
      <c r="AB348" s="6"/>
      <c r="AC348" s="6"/>
      <c r="AD348" s="6"/>
      <c r="AE348" s="6"/>
      <c r="AF348" s="6"/>
      <c r="AG348" s="93"/>
      <c r="AH348" s="110"/>
      <c r="AI348" s="110"/>
      <c r="AJ348" s="110"/>
      <c r="AK348" s="110"/>
      <c r="AL348" s="110"/>
      <c r="AM348" s="84"/>
      <c r="AN348" s="85">
        <v>30</v>
      </c>
      <c r="AO348" s="85"/>
      <c r="AP348" s="117" t="str">
        <f>C348</f>
        <v>0127</v>
      </c>
      <c r="AR348" s="9"/>
      <c r="AS348" s="9"/>
      <c r="AT348" s="162" t="str">
        <f t="shared" si="8"/>
        <v>-</v>
      </c>
      <c r="AU348" s="9"/>
      <c r="AV348" s="116"/>
    </row>
    <row r="349" spans="1:52" ht="15" customHeight="1" x14ac:dyDescent="0.25">
      <c r="A349" s="72">
        <v>350</v>
      </c>
      <c r="B349" s="80"/>
      <c r="C349" s="157" t="s">
        <v>1717</v>
      </c>
      <c r="D349" s="5" t="s">
        <v>1469</v>
      </c>
      <c r="E349" s="5" t="s">
        <v>729</v>
      </c>
      <c r="F349" s="5" t="s">
        <v>1250</v>
      </c>
      <c r="G349" s="2">
        <v>43208</v>
      </c>
      <c r="H349" s="2"/>
      <c r="I349" s="165">
        <v>43208</v>
      </c>
      <c r="J349" s="5" t="s">
        <v>581</v>
      </c>
      <c r="K349" s="5" t="s">
        <v>1229</v>
      </c>
      <c r="L349" s="5" t="s">
        <v>1231</v>
      </c>
      <c r="M349" s="5" t="str">
        <f t="shared" ref="M349" si="22">CONCATENATE(K349," ",L349)</f>
        <v>ASCAZ HOSPITALARIA</v>
      </c>
      <c r="N349" s="2">
        <v>43221</v>
      </c>
      <c r="O349" s="5"/>
      <c r="P349" s="90" t="s">
        <v>3</v>
      </c>
      <c r="Q349" s="149" t="s">
        <v>1470</v>
      </c>
      <c r="R349" s="149" t="s">
        <v>1471</v>
      </c>
      <c r="S349" s="149" t="s">
        <v>132</v>
      </c>
      <c r="T349" s="5" t="s">
        <v>2</v>
      </c>
      <c r="U349" s="5" t="s">
        <v>1472</v>
      </c>
      <c r="V349" s="5" t="s">
        <v>665</v>
      </c>
      <c r="W349" s="2">
        <v>35469</v>
      </c>
      <c r="X349" s="7">
        <f t="shared" ref="X349" ca="1" si="23">YEAR($X$1)-YEAR(W349)</f>
        <v>21</v>
      </c>
      <c r="Y349" s="5" t="s">
        <v>856</v>
      </c>
      <c r="Z349" s="149" t="s">
        <v>1473</v>
      </c>
      <c r="AA349" s="5">
        <v>24</v>
      </c>
      <c r="AB349" s="5"/>
      <c r="AC349" s="5" t="s">
        <v>0</v>
      </c>
      <c r="AD349" s="5" t="s">
        <v>517</v>
      </c>
      <c r="AE349" s="5">
        <v>33429</v>
      </c>
      <c r="AF349" s="5">
        <v>634684716</v>
      </c>
      <c r="AG349" s="146" t="s">
        <v>1474</v>
      </c>
      <c r="AH349" s="105" t="s">
        <v>18</v>
      </c>
      <c r="AI349" s="105" t="s">
        <v>1484</v>
      </c>
      <c r="AJ349" s="105" t="s">
        <v>1500</v>
      </c>
      <c r="AK349" s="105" t="s">
        <v>1392</v>
      </c>
      <c r="AL349" s="105" t="s">
        <v>1501</v>
      </c>
      <c r="AM349" s="84"/>
      <c r="AN349" s="8"/>
      <c r="AO349" s="89">
        <v>10</v>
      </c>
      <c r="AQ349" s="116" t="str">
        <f>CONCATENATE("NS",C348,"AZ")</f>
        <v>NS0127AZ</v>
      </c>
      <c r="AR349" s="9" t="str">
        <f>CONCATENATE(Q349," ",R349," ",S349)</f>
        <v>MIGUEL BORRAZ GARCÍA</v>
      </c>
      <c r="AS349" s="9"/>
      <c r="AT349" s="162" t="str">
        <f t="shared" si="8"/>
        <v>NS0127AZ-MIGUEL BORRAZ GARCÍA</v>
      </c>
      <c r="AU349" s="9" t="str">
        <f>U349</f>
        <v>71465275C</v>
      </c>
      <c r="AV349" s="116"/>
      <c r="AW349" s="9" t="str">
        <f>CONCATENATE(AH349,AI349,AJ349,AK349,AL349)</f>
        <v>ES7520800960353000025922</v>
      </c>
      <c r="AZ349" s="159">
        <v>43208</v>
      </c>
    </row>
    <row r="350" spans="1:52" ht="15" customHeight="1" x14ac:dyDescent="0.25">
      <c r="A350" s="72">
        <v>351</v>
      </c>
      <c r="B350" s="80"/>
      <c r="C350" s="156" t="s">
        <v>1486</v>
      </c>
      <c r="D350" s="81"/>
      <c r="E350" s="6"/>
      <c r="F350" s="6"/>
      <c r="G350" s="6"/>
      <c r="H350" s="4"/>
      <c r="I350" s="166"/>
      <c r="J350" s="6"/>
      <c r="K350" s="6"/>
      <c r="L350" s="6"/>
      <c r="M350" s="6"/>
      <c r="N350" s="6"/>
      <c r="O350" s="6"/>
      <c r="P350" s="6"/>
      <c r="Q350" s="92"/>
      <c r="R350" s="92"/>
      <c r="S350" s="92"/>
      <c r="T350" s="6"/>
      <c r="U350" s="6"/>
      <c r="V350" s="6"/>
      <c r="W350" s="4"/>
      <c r="X350" s="4"/>
      <c r="Y350" s="6"/>
      <c r="Z350" s="92"/>
      <c r="AA350" s="6"/>
      <c r="AB350" s="6"/>
      <c r="AC350" s="6"/>
      <c r="AD350" s="6"/>
      <c r="AE350" s="6"/>
      <c r="AF350" s="6"/>
      <c r="AG350" s="93"/>
      <c r="AH350" s="110"/>
      <c r="AI350" s="110"/>
      <c r="AJ350" s="110"/>
      <c r="AK350" s="110"/>
      <c r="AL350" s="110"/>
      <c r="AM350" s="84"/>
      <c r="AN350" s="85">
        <v>30</v>
      </c>
      <c r="AO350" s="85"/>
      <c r="AP350" s="117" t="str">
        <f>C350</f>
        <v>0128</v>
      </c>
      <c r="AR350" s="9"/>
      <c r="AS350" s="9"/>
      <c r="AT350" s="162" t="str">
        <f t="shared" ref="AT350" si="24">CONCATENATE(AQ350,"-",AR350,)</f>
        <v>-</v>
      </c>
      <c r="AU350" s="9"/>
      <c r="AV350" s="116"/>
    </row>
    <row r="351" spans="1:52" ht="15" customHeight="1" x14ac:dyDescent="0.25">
      <c r="A351" s="72">
        <v>352</v>
      </c>
      <c r="B351" s="80"/>
      <c r="C351" s="157" t="s">
        <v>1717</v>
      </c>
      <c r="D351" s="5" t="s">
        <v>1690</v>
      </c>
      <c r="E351" s="5" t="s">
        <v>729</v>
      </c>
      <c r="F351" s="5" t="s">
        <v>1475</v>
      </c>
      <c r="G351" s="2">
        <v>43200</v>
      </c>
      <c r="H351" s="2"/>
      <c r="I351" s="165">
        <v>43200</v>
      </c>
      <c r="J351" s="5" t="s">
        <v>581</v>
      </c>
      <c r="K351" s="5" t="s">
        <v>1229</v>
      </c>
      <c r="L351" s="5" t="s">
        <v>1231</v>
      </c>
      <c r="M351" s="5" t="str">
        <f t="shared" ref="M351" si="25">CONCATENATE(K351," ",L351)</f>
        <v>ASCAZ HOSPITALARIA</v>
      </c>
      <c r="N351" s="2">
        <v>43221</v>
      </c>
      <c r="O351" s="5"/>
      <c r="P351" s="90" t="s">
        <v>3</v>
      </c>
      <c r="Q351" s="169" t="s">
        <v>1476</v>
      </c>
      <c r="R351" s="169" t="s">
        <v>1477</v>
      </c>
      <c r="S351" s="169" t="s">
        <v>132</v>
      </c>
      <c r="T351" s="5" t="s">
        <v>2</v>
      </c>
      <c r="U351" s="5" t="s">
        <v>1478</v>
      </c>
      <c r="V351" s="5" t="s">
        <v>646</v>
      </c>
      <c r="W351" s="2">
        <v>28984</v>
      </c>
      <c r="X351" s="7">
        <f t="shared" ref="X351:X357" ca="1" si="26">YEAR($X$1)-YEAR(W351)</f>
        <v>39</v>
      </c>
      <c r="Y351" s="5" t="s">
        <v>1</v>
      </c>
      <c r="Z351" s="169" t="s">
        <v>1479</v>
      </c>
      <c r="AA351" s="5">
        <v>14</v>
      </c>
      <c r="AB351" s="5" t="s">
        <v>350</v>
      </c>
      <c r="AC351" s="5" t="s">
        <v>0</v>
      </c>
      <c r="AD351" s="5" t="s">
        <v>31</v>
      </c>
      <c r="AE351" s="5">
        <v>33201</v>
      </c>
      <c r="AF351" s="5">
        <v>629647741</v>
      </c>
      <c r="AG351" s="146" t="s">
        <v>1480</v>
      </c>
      <c r="AH351" s="105" t="s">
        <v>1689</v>
      </c>
      <c r="AI351" s="105" t="s">
        <v>102</v>
      </c>
      <c r="AJ351" s="114" t="s">
        <v>260</v>
      </c>
      <c r="AK351" s="105" t="s">
        <v>1481</v>
      </c>
      <c r="AL351" s="105" t="s">
        <v>1482</v>
      </c>
      <c r="AM351" s="84"/>
      <c r="AN351" s="8"/>
      <c r="AO351" s="89">
        <v>10</v>
      </c>
      <c r="AQ351" s="116" t="str">
        <f>CONCATENATE("NS",C350,"AZ")</f>
        <v>NS0128AZ</v>
      </c>
      <c r="AR351" s="9" t="str">
        <f t="shared" ref="AR351" si="27">CONCATENATE(Q351," ",R351," ",S351)</f>
        <v>AIDA JUNQUERA GARCÍA</v>
      </c>
      <c r="AS351" s="9"/>
      <c r="AT351" s="162" t="str">
        <f>CONCATENATE(AQ351,"-",AR351,)</f>
        <v>NS0128AZ-AIDA JUNQUERA GARCÍA</v>
      </c>
      <c r="AU351" s="9" t="str">
        <f t="shared" ref="AU351" si="28">U351</f>
        <v>53535960X</v>
      </c>
      <c r="AV351" s="116"/>
      <c r="AW351" s="9" t="str">
        <f t="shared" ref="AW351:AW353" si="29">CONCATENATE(AH351,AI351,AJ351,AK351,AL351)</f>
        <v>ES3714650330831727340297</v>
      </c>
      <c r="AZ351" s="159">
        <v>43200</v>
      </c>
    </row>
    <row r="352" spans="1:52" ht="15" customHeight="1" x14ac:dyDescent="0.25">
      <c r="A352" s="72">
        <v>351</v>
      </c>
      <c r="B352" s="80"/>
      <c r="C352" s="156" t="s">
        <v>1706</v>
      </c>
      <c r="D352" s="81"/>
      <c r="E352" s="6"/>
      <c r="F352" s="6"/>
      <c r="G352" s="6"/>
      <c r="H352" s="4"/>
      <c r="I352" s="166"/>
      <c r="J352" s="6"/>
      <c r="K352" s="6"/>
      <c r="L352" s="6"/>
      <c r="M352" s="6"/>
      <c r="N352" s="6"/>
      <c r="O352" s="6"/>
      <c r="P352" s="6"/>
      <c r="Q352" s="92"/>
      <c r="R352" s="92"/>
      <c r="S352" s="92"/>
      <c r="T352" s="6"/>
      <c r="U352" s="6"/>
      <c r="V352" s="6"/>
      <c r="W352" s="4"/>
      <c r="X352" s="4"/>
      <c r="Y352" s="6"/>
      <c r="Z352" s="92"/>
      <c r="AA352" s="6"/>
      <c r="AB352" s="6"/>
      <c r="AC352" s="6"/>
      <c r="AD352" s="6"/>
      <c r="AE352" s="6"/>
      <c r="AF352" s="6"/>
      <c r="AG352" s="93"/>
      <c r="AH352" s="110"/>
      <c r="AI352" s="110"/>
      <c r="AJ352" s="110"/>
      <c r="AK352" s="110"/>
      <c r="AL352" s="110"/>
      <c r="AM352" s="84"/>
      <c r="AN352" s="85">
        <v>30</v>
      </c>
      <c r="AO352" s="85"/>
      <c r="AP352" s="117" t="str">
        <f>C352</f>
        <v>0129</v>
      </c>
      <c r="AR352" s="9"/>
      <c r="AS352" s="9"/>
      <c r="AT352" s="162" t="str">
        <f>CONCATENATE(AQ352,"-",AR352,)</f>
        <v>-</v>
      </c>
      <c r="AU352" s="9"/>
      <c r="AV352" s="116"/>
    </row>
    <row r="353" spans="1:52" s="178" customFormat="1" ht="15" customHeight="1" x14ac:dyDescent="0.25">
      <c r="A353" s="170"/>
      <c r="B353" s="171"/>
      <c r="C353" s="157" t="s">
        <v>1717</v>
      </c>
      <c r="D353" s="5" t="s">
        <v>1691</v>
      </c>
      <c r="E353" s="7" t="s">
        <v>729</v>
      </c>
      <c r="F353" s="7" t="s">
        <v>1694</v>
      </c>
      <c r="G353" s="172">
        <v>43242</v>
      </c>
      <c r="H353" s="172"/>
      <c r="I353" s="165">
        <v>43242</v>
      </c>
      <c r="J353" s="7" t="s">
        <v>581</v>
      </c>
      <c r="K353" s="7" t="s">
        <v>1229</v>
      </c>
      <c r="L353" s="5" t="s">
        <v>1231</v>
      </c>
      <c r="M353" s="5" t="str">
        <f t="shared" ref="M353:M354" si="30">CONCATENATE(K353," ",L353)</f>
        <v>ASCAZ HOSPITALARIA</v>
      </c>
      <c r="N353" s="172">
        <v>43252</v>
      </c>
      <c r="O353" s="7"/>
      <c r="P353" s="90" t="s">
        <v>3</v>
      </c>
      <c r="Q353" s="173" t="s">
        <v>287</v>
      </c>
      <c r="R353" s="173" t="s">
        <v>1150</v>
      </c>
      <c r="S353" s="173" t="s">
        <v>530</v>
      </c>
      <c r="T353" s="5" t="s">
        <v>2</v>
      </c>
      <c r="U353" s="7" t="s">
        <v>1698</v>
      </c>
      <c r="V353" s="7" t="s">
        <v>665</v>
      </c>
      <c r="W353" s="172">
        <v>29262</v>
      </c>
      <c r="X353" s="7">
        <f t="shared" ca="1" si="26"/>
        <v>38</v>
      </c>
      <c r="Y353" s="7" t="s">
        <v>1</v>
      </c>
      <c r="Z353" s="173" t="s">
        <v>1700</v>
      </c>
      <c r="AA353" s="7">
        <v>7</v>
      </c>
      <c r="AB353" s="7" t="s">
        <v>1701</v>
      </c>
      <c r="AC353" s="5" t="s">
        <v>0</v>
      </c>
      <c r="AD353" s="5" t="s">
        <v>31</v>
      </c>
      <c r="AE353" s="7">
        <v>33202</v>
      </c>
      <c r="AF353" s="7">
        <v>615535346</v>
      </c>
      <c r="AG353" s="180" t="s">
        <v>1702</v>
      </c>
      <c r="AH353" s="174" t="s">
        <v>208</v>
      </c>
      <c r="AI353" s="174" t="s">
        <v>268</v>
      </c>
      <c r="AJ353" s="174" t="s">
        <v>1704</v>
      </c>
      <c r="AK353" s="174" t="s">
        <v>1184</v>
      </c>
      <c r="AL353" s="174" t="s">
        <v>1705</v>
      </c>
      <c r="AM353" s="175"/>
      <c r="AN353" s="176"/>
      <c r="AO353" s="176">
        <v>10</v>
      </c>
      <c r="AP353" s="177"/>
      <c r="AQ353" s="116" t="str">
        <f>CONCATENATE("NS",C352,"AZ")</f>
        <v>NS0129AZ</v>
      </c>
      <c r="AR353" s="9" t="str">
        <f>CONCATENATE(Q353," ",R353," ",S353)</f>
        <v>JAVIER MORÁN PANDO</v>
      </c>
      <c r="AS353" s="9"/>
      <c r="AT353" s="162" t="str">
        <f>CONCATENATE(AQ353,"-",AR353,)</f>
        <v>NS0129AZ-JAVIER MORÁN PANDO</v>
      </c>
      <c r="AU353" s="9" t="str">
        <f>U353</f>
        <v>10902084S</v>
      </c>
      <c r="AV353" s="177"/>
      <c r="AW353" s="9" t="str">
        <f t="shared" si="29"/>
        <v>ES4700308720100001027271</v>
      </c>
      <c r="AZ353" s="159">
        <v>43242</v>
      </c>
    </row>
    <row r="354" spans="1:52" s="178" customFormat="1" ht="15" customHeight="1" x14ac:dyDescent="0.25">
      <c r="A354" s="170"/>
      <c r="B354" s="171"/>
      <c r="C354" s="157" t="s">
        <v>1717</v>
      </c>
      <c r="D354" s="5" t="s">
        <v>1692</v>
      </c>
      <c r="E354" s="7" t="s">
        <v>729</v>
      </c>
      <c r="F354" s="7" t="s">
        <v>1694</v>
      </c>
      <c r="G354" s="172">
        <v>43242</v>
      </c>
      <c r="H354" s="172"/>
      <c r="I354" s="165"/>
      <c r="J354" s="7" t="s">
        <v>581</v>
      </c>
      <c r="K354" s="7" t="s">
        <v>1229</v>
      </c>
      <c r="L354" s="5" t="s">
        <v>1231</v>
      </c>
      <c r="M354" s="5" t="str">
        <f t="shared" si="30"/>
        <v>ASCAZ HOSPITALARIA</v>
      </c>
      <c r="N354" s="172">
        <v>43252</v>
      </c>
      <c r="O354" s="7"/>
      <c r="P354" s="5" t="s">
        <v>43</v>
      </c>
      <c r="Q354" s="173" t="s">
        <v>1695</v>
      </c>
      <c r="R354" s="173" t="s">
        <v>63</v>
      </c>
      <c r="S354" s="173" t="s">
        <v>54</v>
      </c>
      <c r="T354" s="5" t="s">
        <v>2</v>
      </c>
      <c r="U354" s="7" t="s">
        <v>1699</v>
      </c>
      <c r="V354" s="7" t="s">
        <v>646</v>
      </c>
      <c r="W354" s="172">
        <v>29449</v>
      </c>
      <c r="X354" s="7">
        <f t="shared" ca="1" si="26"/>
        <v>38</v>
      </c>
      <c r="Y354" s="7"/>
      <c r="Z354" s="173"/>
      <c r="AA354" s="7"/>
      <c r="AB354" s="7"/>
      <c r="AC354" s="7"/>
      <c r="AD354" s="7"/>
      <c r="AE354" s="7"/>
      <c r="AF354" s="7">
        <v>656877106</v>
      </c>
      <c r="AG354" s="180" t="s">
        <v>1703</v>
      </c>
      <c r="AH354" s="174"/>
      <c r="AI354" s="174"/>
      <c r="AJ354" s="174"/>
      <c r="AK354" s="174"/>
      <c r="AL354" s="174"/>
      <c r="AM354" s="175"/>
      <c r="AN354" s="176"/>
      <c r="AO354" s="176">
        <v>10</v>
      </c>
      <c r="AP354" s="177"/>
      <c r="AQ354" s="177"/>
      <c r="AT354" s="162" t="str">
        <f t="shared" ref="AT354:AT356" si="31">CONCATENATE(AQ354,"-",AR354,)</f>
        <v>-</v>
      </c>
      <c r="AV354" s="177"/>
      <c r="AZ354" s="179"/>
    </row>
    <row r="355" spans="1:52" ht="15" customHeight="1" x14ac:dyDescent="0.25">
      <c r="A355" s="72">
        <v>352</v>
      </c>
      <c r="B355" s="80"/>
      <c r="C355" s="157" t="s">
        <v>1717</v>
      </c>
      <c r="D355" s="5" t="s">
        <v>1693</v>
      </c>
      <c r="E355" s="5" t="s">
        <v>729</v>
      </c>
      <c r="F355" s="5" t="s">
        <v>1694</v>
      </c>
      <c r="G355" s="172">
        <v>43242</v>
      </c>
      <c r="H355" s="2"/>
      <c r="I355" s="165"/>
      <c r="J355" s="5" t="s">
        <v>581</v>
      </c>
      <c r="K355" s="5" t="s">
        <v>1229</v>
      </c>
      <c r="L355" s="5" t="s">
        <v>1230</v>
      </c>
      <c r="M355" s="5" t="str">
        <f t="shared" ref="M355" si="32">CONCATENATE(K355," ",L355)</f>
        <v>ASCAZ AMBULATORIA</v>
      </c>
      <c r="N355" s="172">
        <v>43252</v>
      </c>
      <c r="O355" s="5"/>
      <c r="P355" s="90" t="s">
        <v>815</v>
      </c>
      <c r="Q355" s="149" t="s">
        <v>1696</v>
      </c>
      <c r="R355" s="149" t="s">
        <v>1150</v>
      </c>
      <c r="S355" s="149" t="s">
        <v>63</v>
      </c>
      <c r="T355" s="5" t="s">
        <v>2</v>
      </c>
      <c r="U355" s="5" t="s">
        <v>1697</v>
      </c>
      <c r="V355" s="5" t="s">
        <v>646</v>
      </c>
      <c r="W355" s="2">
        <v>42431</v>
      </c>
      <c r="X355" s="7">
        <f t="shared" ca="1" si="26"/>
        <v>2</v>
      </c>
      <c r="Y355" s="5"/>
      <c r="Z355" s="149"/>
      <c r="AA355" s="5"/>
      <c r="AB355" s="5"/>
      <c r="AC355" s="5"/>
      <c r="AD355" s="5"/>
      <c r="AE355" s="5"/>
      <c r="AF355" s="5"/>
      <c r="AG355" s="146"/>
      <c r="AH355" s="105"/>
      <c r="AI355" s="105"/>
      <c r="AK355" s="105"/>
      <c r="AL355" s="105"/>
      <c r="AM355" s="175"/>
      <c r="AN355" s="8"/>
      <c r="AO355" s="89">
        <v>10</v>
      </c>
      <c r="AQ355" s="9"/>
      <c r="AR355" s="9"/>
      <c r="AS355" s="9"/>
      <c r="AT355" s="162" t="str">
        <f t="shared" si="31"/>
        <v>-</v>
      </c>
      <c r="AU355" s="9"/>
      <c r="AV355" s="116"/>
      <c r="AW355" s="9" t="str">
        <f>CONCATENATE(AH355,AI355,AJ355,AK355,AL355)</f>
        <v/>
      </c>
    </row>
    <row r="356" spans="1:52" s="194" customFormat="1" ht="15" customHeight="1" x14ac:dyDescent="0.25">
      <c r="A356" s="182">
        <v>351</v>
      </c>
      <c r="B356" s="183"/>
      <c r="C356" s="197" t="s">
        <v>1511</v>
      </c>
      <c r="D356" s="184"/>
      <c r="E356" s="185"/>
      <c r="F356" s="185"/>
      <c r="G356" s="185"/>
      <c r="H356" s="186"/>
      <c r="I356" s="187"/>
      <c r="J356" s="185"/>
      <c r="K356" s="185"/>
      <c r="L356" s="185"/>
      <c r="M356" s="185"/>
      <c r="N356" s="185"/>
      <c r="O356" s="185"/>
      <c r="P356" s="185"/>
      <c r="Q356" s="188"/>
      <c r="R356" s="188"/>
      <c r="S356" s="188"/>
      <c r="T356" s="185"/>
      <c r="U356" s="185"/>
      <c r="V356" s="185"/>
      <c r="W356" s="186"/>
      <c r="X356" s="186"/>
      <c r="Y356" s="185"/>
      <c r="Z356" s="188"/>
      <c r="AA356" s="185"/>
      <c r="AB356" s="185"/>
      <c r="AC356" s="185"/>
      <c r="AD356" s="185"/>
      <c r="AE356" s="185"/>
      <c r="AF356" s="185"/>
      <c r="AG356" s="189"/>
      <c r="AH356" s="190"/>
      <c r="AI356" s="190"/>
      <c r="AJ356" s="190"/>
      <c r="AK356" s="190"/>
      <c r="AL356" s="190"/>
      <c r="AM356" s="191"/>
      <c r="AN356" s="192">
        <v>30</v>
      </c>
      <c r="AO356" s="192"/>
      <c r="AP356" s="193" t="str">
        <f>C356</f>
        <v>0130</v>
      </c>
      <c r="AQ356" s="193"/>
      <c r="AT356" s="195" t="str">
        <f t="shared" si="31"/>
        <v>-</v>
      </c>
      <c r="AV356" s="193"/>
      <c r="AZ356" s="196"/>
    </row>
    <row r="357" spans="1:52" s="178" customFormat="1" ht="15" customHeight="1" x14ac:dyDescent="0.25">
      <c r="A357" s="170"/>
      <c r="B357" s="171"/>
      <c r="C357" s="157" t="s">
        <v>1717</v>
      </c>
      <c r="D357" s="5" t="s">
        <v>1707</v>
      </c>
      <c r="E357" s="7" t="s">
        <v>729</v>
      </c>
      <c r="F357" s="7" t="s">
        <v>1708</v>
      </c>
      <c r="G357" s="172">
        <v>43249</v>
      </c>
      <c r="H357" s="172"/>
      <c r="I357" s="165">
        <v>43249</v>
      </c>
      <c r="J357" s="7" t="s">
        <v>581</v>
      </c>
      <c r="K357" s="7" t="s">
        <v>1229</v>
      </c>
      <c r="L357" s="5" t="s">
        <v>1230</v>
      </c>
      <c r="M357" s="5" t="str">
        <f t="shared" ref="M357" si="33">CONCATENATE(K357," ",L357)</f>
        <v>ASCAZ AMBULATORIA</v>
      </c>
      <c r="N357" s="172">
        <v>43221</v>
      </c>
      <c r="O357" s="7"/>
      <c r="P357" s="90" t="s">
        <v>3</v>
      </c>
      <c r="Q357" s="173" t="s">
        <v>1709</v>
      </c>
      <c r="R357" s="173" t="s">
        <v>1710</v>
      </c>
      <c r="S357" s="173" t="s">
        <v>1711</v>
      </c>
      <c r="T357" s="5" t="s">
        <v>2</v>
      </c>
      <c r="U357" s="7" t="s">
        <v>1721</v>
      </c>
      <c r="V357" s="7" t="s">
        <v>665</v>
      </c>
      <c r="W357" s="172">
        <v>29444</v>
      </c>
      <c r="X357" s="7">
        <f t="shared" ca="1" si="26"/>
        <v>38</v>
      </c>
      <c r="Y357" s="7" t="s">
        <v>1</v>
      </c>
      <c r="Z357" s="173" t="s">
        <v>1712</v>
      </c>
      <c r="AA357" s="7">
        <v>2</v>
      </c>
      <c r="AB357" s="7" t="s">
        <v>1713</v>
      </c>
      <c r="AC357" s="5" t="s">
        <v>0</v>
      </c>
      <c r="AD357" s="5" t="s">
        <v>31</v>
      </c>
      <c r="AE357" s="7">
        <v>33208</v>
      </c>
      <c r="AF357" s="7">
        <v>626104106</v>
      </c>
      <c r="AG357" s="180" t="s">
        <v>1714</v>
      </c>
      <c r="AH357" s="174" t="s">
        <v>1498</v>
      </c>
      <c r="AI357" s="174" t="s">
        <v>1286</v>
      </c>
      <c r="AJ357" s="174" t="s">
        <v>1612</v>
      </c>
      <c r="AK357" s="174" t="s">
        <v>1715</v>
      </c>
      <c r="AL357" s="174" t="s">
        <v>1716</v>
      </c>
      <c r="AM357" s="175"/>
      <c r="AN357" s="176"/>
      <c r="AO357" s="176">
        <v>10</v>
      </c>
      <c r="AP357" s="177"/>
      <c r="AQ357" s="116" t="str">
        <f>CONCATENATE("NS",C356,"AZ")</f>
        <v>NS0130AZ</v>
      </c>
      <c r="AR357" s="9" t="str">
        <f>CONCATENATE(Q357," ",R357," ",S357)</f>
        <v>OMAR PARDO CHICHAS</v>
      </c>
      <c r="AS357" s="9"/>
      <c r="AT357" s="162" t="str">
        <f>CONCATENATE(AQ357,"-",AR357,)</f>
        <v>NS0130AZ-OMAR PARDO CHICHAS</v>
      </c>
      <c r="AU357" s="9" t="str">
        <f>U357</f>
        <v>53531727D</v>
      </c>
      <c r="AV357" s="177"/>
      <c r="AW357" s="9" t="str">
        <f t="shared" ref="AW357" si="34">CONCATENATE(AH357,AI357,AJ357,AK357,AL357)</f>
        <v>ES4820480047323404001492</v>
      </c>
      <c r="AZ357" s="159"/>
    </row>
    <row r="358" spans="1:52" s="194" customFormat="1" ht="15" customHeight="1" x14ac:dyDescent="0.25">
      <c r="A358" s="182">
        <v>351</v>
      </c>
      <c r="B358" s="183"/>
      <c r="C358" s="198" t="s">
        <v>1724</v>
      </c>
      <c r="D358" s="184"/>
      <c r="E358" s="185"/>
      <c r="F358" s="185"/>
      <c r="G358" s="185"/>
      <c r="H358" s="186"/>
      <c r="I358" s="187"/>
      <c r="J358" s="185"/>
      <c r="K358" s="185"/>
      <c r="L358" s="185"/>
      <c r="M358" s="185"/>
      <c r="N358" s="185"/>
      <c r="O358" s="185"/>
      <c r="P358" s="185"/>
      <c r="Q358" s="188"/>
      <c r="R358" s="188"/>
      <c r="S358" s="188"/>
      <c r="T358" s="185"/>
      <c r="U358" s="185"/>
      <c r="V358" s="185"/>
      <c r="W358" s="186"/>
      <c r="X358" s="186"/>
      <c r="Y358" s="185"/>
      <c r="Z358" s="188"/>
      <c r="AA358" s="185"/>
      <c r="AB358" s="185"/>
      <c r="AC358" s="185"/>
      <c r="AD358" s="185"/>
      <c r="AE358" s="185"/>
      <c r="AF358" s="185"/>
      <c r="AG358" s="189"/>
      <c r="AH358" s="190"/>
      <c r="AI358" s="190"/>
      <c r="AJ358" s="190"/>
      <c r="AK358" s="190"/>
      <c r="AL358" s="190"/>
      <c r="AM358" s="191"/>
      <c r="AN358" s="192">
        <v>30</v>
      </c>
      <c r="AO358" s="192"/>
      <c r="AP358" s="193" t="str">
        <f>C358</f>
        <v>0131</v>
      </c>
      <c r="AQ358" s="193"/>
      <c r="AT358" s="195" t="str">
        <f t="shared" ref="AT358" si="35">CONCATENATE(AQ358,"-",AR358,)</f>
        <v>-</v>
      </c>
      <c r="AV358" s="193"/>
      <c r="AZ358" s="196"/>
    </row>
    <row r="359" spans="1:52" s="178" customFormat="1" ht="15" customHeight="1" x14ac:dyDescent="0.25">
      <c r="A359" s="170"/>
      <c r="B359" s="171"/>
      <c r="C359" s="157" t="s">
        <v>1717</v>
      </c>
      <c r="D359" s="5" t="s">
        <v>1719</v>
      </c>
      <c r="E359" s="7" t="s">
        <v>729</v>
      </c>
      <c r="F359" s="7" t="s">
        <v>1723</v>
      </c>
      <c r="G359" s="172">
        <v>43249</v>
      </c>
      <c r="H359" s="172"/>
      <c r="I359" s="165">
        <v>43249</v>
      </c>
      <c r="J359" s="7" t="s">
        <v>581</v>
      </c>
      <c r="K359" s="7" t="s">
        <v>1229</v>
      </c>
      <c r="L359" s="5" t="s">
        <v>1231</v>
      </c>
      <c r="M359" s="5" t="str">
        <f t="shared" ref="M359" si="36">CONCATENATE(K359," ",L359)</f>
        <v>ASCAZ HOSPITALARIA</v>
      </c>
      <c r="N359" s="172">
        <v>43344</v>
      </c>
      <c r="O359" s="7"/>
      <c r="P359" s="90" t="s">
        <v>3</v>
      </c>
      <c r="Q359" s="173" t="s">
        <v>267</v>
      </c>
      <c r="R359" s="173" t="s">
        <v>1720</v>
      </c>
      <c r="S359" s="173" t="s">
        <v>132</v>
      </c>
      <c r="T359" s="5" t="s">
        <v>2</v>
      </c>
      <c r="U359" s="7" t="s">
        <v>1722</v>
      </c>
      <c r="V359" s="7" t="s">
        <v>646</v>
      </c>
      <c r="W359" s="172">
        <v>30705</v>
      </c>
      <c r="X359" s="7">
        <f t="shared" ref="X359" ca="1" si="37">YEAR($X$1)-YEAR(W359)</f>
        <v>34</v>
      </c>
      <c r="Y359" s="7" t="s">
        <v>1</v>
      </c>
      <c r="Z359" s="173" t="s">
        <v>1725</v>
      </c>
      <c r="AA359" s="7">
        <v>365</v>
      </c>
      <c r="AB359" s="7" t="s">
        <v>239</v>
      </c>
      <c r="AC359" s="5" t="s">
        <v>0</v>
      </c>
      <c r="AD359" s="5" t="s">
        <v>31</v>
      </c>
      <c r="AE359" s="7">
        <v>33209</v>
      </c>
      <c r="AF359" s="7">
        <v>647179123</v>
      </c>
      <c r="AG359" s="180" t="s">
        <v>1726</v>
      </c>
      <c r="AH359" s="174" t="s">
        <v>1727</v>
      </c>
      <c r="AI359" s="174" t="s">
        <v>1286</v>
      </c>
      <c r="AJ359" s="174" t="s">
        <v>1728</v>
      </c>
      <c r="AK359" s="174" t="s">
        <v>1216</v>
      </c>
      <c r="AL359" s="174" t="s">
        <v>1729</v>
      </c>
      <c r="AM359" s="175"/>
      <c r="AN359" s="176"/>
      <c r="AO359" s="176">
        <v>10</v>
      </c>
      <c r="AP359" s="177"/>
      <c r="AQ359" s="116" t="str">
        <f>CONCATENATE("NS",C358,"AZ")</f>
        <v>NS0131AZ</v>
      </c>
      <c r="AR359" s="9" t="str">
        <f>CONCATENATE(Q359," ",R359," ",S359)</f>
        <v>PATRICIA RUBIO GARCÍA</v>
      </c>
      <c r="AS359" s="9"/>
      <c r="AT359" s="162" t="str">
        <f>CONCATENATE(AQ359,"-",AR359,)</f>
        <v>NS0131AZ-PATRICIA RUBIO GARCÍA</v>
      </c>
      <c r="AU359" s="9" t="str">
        <f>U359</f>
        <v>53532705K</v>
      </c>
      <c r="AV359" s="177"/>
      <c r="AW359" s="9" t="str">
        <f t="shared" ref="AW359" si="38">CONCATENATE(AH359,AI359,AJ359,AK359,AL359)</f>
        <v>ES7020480160113000041430</v>
      </c>
      <c r="AZ359" s="159"/>
    </row>
    <row r="360" spans="1:52" s="194" customFormat="1" ht="15" customHeight="1" x14ac:dyDescent="0.25">
      <c r="A360" s="182">
        <v>351</v>
      </c>
      <c r="B360" s="183"/>
      <c r="C360" s="198" t="s">
        <v>1736</v>
      </c>
      <c r="D360" s="184"/>
      <c r="E360" s="185"/>
      <c r="F360" s="185"/>
      <c r="G360" s="185"/>
      <c r="H360" s="186"/>
      <c r="I360" s="187"/>
      <c r="J360" s="185"/>
      <c r="K360" s="185"/>
      <c r="L360" s="185"/>
      <c r="M360" s="185"/>
      <c r="N360" s="185"/>
      <c r="O360" s="185"/>
      <c r="P360" s="185"/>
      <c r="Q360" s="188"/>
      <c r="R360" s="188"/>
      <c r="S360" s="188"/>
      <c r="T360" s="185"/>
      <c r="U360" s="185"/>
      <c r="V360" s="185"/>
      <c r="W360" s="186"/>
      <c r="X360" s="186"/>
      <c r="Y360" s="185"/>
      <c r="Z360" s="188"/>
      <c r="AA360" s="185"/>
      <c r="AB360" s="185"/>
      <c r="AC360" s="185"/>
      <c r="AD360" s="185"/>
      <c r="AE360" s="185"/>
      <c r="AF360" s="185"/>
      <c r="AG360" s="189"/>
      <c r="AH360" s="190"/>
      <c r="AI360" s="190"/>
      <c r="AJ360" s="190"/>
      <c r="AK360" s="190"/>
      <c r="AL360" s="190"/>
      <c r="AM360" s="191"/>
      <c r="AN360" s="192">
        <v>30</v>
      </c>
      <c r="AO360" s="192"/>
      <c r="AP360" s="193" t="str">
        <f>C360</f>
        <v>0132</v>
      </c>
      <c r="AQ360" s="193"/>
      <c r="AT360" s="195" t="str">
        <f t="shared" ref="AT360" si="39">CONCATENATE(AQ360,"-",AR360,)</f>
        <v>-</v>
      </c>
      <c r="AV360" s="193"/>
      <c r="AZ360" s="196"/>
    </row>
    <row r="361" spans="1:52" s="178" customFormat="1" ht="15" customHeight="1" x14ac:dyDescent="0.25">
      <c r="A361" s="170"/>
      <c r="B361" s="171"/>
      <c r="C361" s="157" t="s">
        <v>1717</v>
      </c>
      <c r="D361" s="5" t="s">
        <v>1737</v>
      </c>
      <c r="E361" s="7" t="s">
        <v>729</v>
      </c>
      <c r="F361" s="7" t="s">
        <v>1738</v>
      </c>
      <c r="G361" s="172">
        <v>43340</v>
      </c>
      <c r="H361" s="172"/>
      <c r="I361" s="165">
        <v>43340</v>
      </c>
      <c r="J361" s="7" t="s">
        <v>581</v>
      </c>
      <c r="K361" s="7" t="s">
        <v>1229</v>
      </c>
      <c r="L361" s="5" t="s">
        <v>1230</v>
      </c>
      <c r="M361" s="5" t="str">
        <f t="shared" ref="M361" si="40">CONCATENATE(K361," ",L361)</f>
        <v>ASCAZ AMBULATORIA</v>
      </c>
      <c r="N361" s="172">
        <v>43374</v>
      </c>
      <c r="O361" s="7"/>
      <c r="P361" s="90" t="s">
        <v>3</v>
      </c>
      <c r="Q361" s="173" t="s">
        <v>1741</v>
      </c>
      <c r="R361" s="173" t="s">
        <v>1739</v>
      </c>
      <c r="S361" s="173" t="s">
        <v>1740</v>
      </c>
      <c r="T361" s="5" t="s">
        <v>2</v>
      </c>
      <c r="U361" s="7" t="s">
        <v>1742</v>
      </c>
      <c r="V361" s="7" t="s">
        <v>646</v>
      </c>
      <c r="W361" s="172">
        <v>33020</v>
      </c>
      <c r="X361" s="7">
        <f t="shared" ref="X361" ca="1" si="41">YEAR($X$1)-YEAR(W361)</f>
        <v>28</v>
      </c>
      <c r="Y361" s="7" t="s">
        <v>1</v>
      </c>
      <c r="Z361" s="173" t="s">
        <v>1037</v>
      </c>
      <c r="AA361" s="7">
        <v>51</v>
      </c>
      <c r="AB361" s="7" t="s">
        <v>1743</v>
      </c>
      <c r="AC361" s="5" t="s">
        <v>0</v>
      </c>
      <c r="AD361" s="5" t="s">
        <v>31</v>
      </c>
      <c r="AE361" s="7">
        <v>33208</v>
      </c>
      <c r="AF361" s="7">
        <v>654100861</v>
      </c>
      <c r="AG361" s="180" t="s">
        <v>1734</v>
      </c>
      <c r="AH361" s="174" t="s">
        <v>1744</v>
      </c>
      <c r="AI361" s="174" t="s">
        <v>1679</v>
      </c>
      <c r="AJ361" s="174" t="s">
        <v>66</v>
      </c>
      <c r="AK361" s="174" t="s">
        <v>1563</v>
      </c>
      <c r="AL361" s="174" t="s">
        <v>1745</v>
      </c>
      <c r="AM361" s="175"/>
      <c r="AN361" s="176"/>
      <c r="AO361" s="176">
        <v>10</v>
      </c>
      <c r="AP361" s="177"/>
      <c r="AQ361" s="116" t="str">
        <f>CONCATENATE("NS",C360,"AZ")</f>
        <v>NS0132AZ</v>
      </c>
      <c r="AR361" s="9" t="str">
        <f>CONCATENATE(Q361," ",R361," ",S361)</f>
        <v>JÉSSICA MARTINEZ MÁRQUEZ</v>
      </c>
      <c r="AS361" s="9"/>
      <c r="AT361" s="162" t="str">
        <f>CONCATENATE(AQ361,"-",AR361,)</f>
        <v>NS0132AZ-JÉSSICA MARTINEZ MÁRQUEZ</v>
      </c>
      <c r="AU361" s="9" t="str">
        <f>U361</f>
        <v>53647418X</v>
      </c>
      <c r="AV361" s="177"/>
      <c r="AW361" s="9" t="str">
        <f t="shared" ref="AW361" si="42">CONCATENATE(AH361,AI361,AJ361,AK361,AL361)</f>
        <v>ES3930350373653730013166</v>
      </c>
      <c r="AZ361" s="159"/>
    </row>
    <row r="362" spans="1:52" s="194" customFormat="1" ht="15" customHeight="1" x14ac:dyDescent="0.25">
      <c r="A362" s="182">
        <v>351</v>
      </c>
      <c r="B362" s="183"/>
      <c r="C362" s="198" t="s">
        <v>1746</v>
      </c>
      <c r="D362" s="184"/>
      <c r="E362" s="185"/>
      <c r="F362" s="185"/>
      <c r="G362" s="185"/>
      <c r="H362" s="186"/>
      <c r="I362" s="187"/>
      <c r="J362" s="185"/>
      <c r="K362" s="185"/>
      <c r="L362" s="185"/>
      <c r="M362" s="185"/>
      <c r="N362" s="185"/>
      <c r="O362" s="185"/>
      <c r="P362" s="185"/>
      <c r="Q362" s="188"/>
      <c r="R362" s="188"/>
      <c r="S362" s="188"/>
      <c r="T362" s="185"/>
      <c r="U362" s="185"/>
      <c r="V362" s="185"/>
      <c r="W362" s="186"/>
      <c r="X362" s="186"/>
      <c r="Y362" s="185"/>
      <c r="Z362" s="188"/>
      <c r="AA362" s="185"/>
      <c r="AB362" s="185"/>
      <c r="AC362" s="185"/>
      <c r="AD362" s="185"/>
      <c r="AE362" s="185"/>
      <c r="AF362" s="185"/>
      <c r="AG362" s="189"/>
      <c r="AH362" s="190"/>
      <c r="AI362" s="190"/>
      <c r="AJ362" s="190"/>
      <c r="AK362" s="190"/>
      <c r="AL362" s="190"/>
      <c r="AM362" s="191"/>
      <c r="AN362" s="192">
        <v>30</v>
      </c>
      <c r="AO362" s="192"/>
      <c r="AP362" s="193" t="str">
        <f>C362</f>
        <v>0133</v>
      </c>
      <c r="AQ362" s="193"/>
      <c r="AT362" s="195" t="str">
        <f t="shared" ref="AT362" si="43">CONCATENATE(AQ362,"-",AR362,)</f>
        <v>-</v>
      </c>
      <c r="AV362" s="193"/>
      <c r="AZ362" s="196"/>
    </row>
    <row r="363" spans="1:52" s="178" customFormat="1" ht="15" customHeight="1" x14ac:dyDescent="0.25">
      <c r="A363" s="170"/>
      <c r="B363" s="171"/>
      <c r="C363" s="157" t="s">
        <v>1717</v>
      </c>
      <c r="D363" s="5" t="s">
        <v>1747</v>
      </c>
      <c r="E363" s="7" t="s">
        <v>729</v>
      </c>
      <c r="F363" s="7"/>
      <c r="G363" s="172">
        <v>43348</v>
      </c>
      <c r="H363" s="172"/>
      <c r="I363" s="165">
        <v>43348</v>
      </c>
      <c r="J363" s="7" t="s">
        <v>581</v>
      </c>
      <c r="K363" s="7" t="s">
        <v>1229</v>
      </c>
      <c r="L363" s="5" t="s">
        <v>1231</v>
      </c>
      <c r="M363" s="5" t="str">
        <f t="shared" ref="M363:M364" si="44">CONCATENATE(K363," ",L363)</f>
        <v>ASCAZ HOSPITALARIA</v>
      </c>
      <c r="N363" s="172">
        <v>43374</v>
      </c>
      <c r="O363" s="7"/>
      <c r="P363" s="90" t="s">
        <v>3</v>
      </c>
      <c r="Q363" s="173" t="s">
        <v>1748</v>
      </c>
      <c r="R363" s="173" t="s">
        <v>396</v>
      </c>
      <c r="S363" s="173" t="s">
        <v>1749</v>
      </c>
      <c r="T363" s="5" t="s">
        <v>2</v>
      </c>
      <c r="U363" s="7" t="s">
        <v>1752</v>
      </c>
      <c r="V363" s="7" t="s">
        <v>646</v>
      </c>
      <c r="W363" s="172">
        <v>25960</v>
      </c>
      <c r="X363" s="7">
        <f t="shared" ref="X363:X364" ca="1" si="45">YEAR($X$1)-YEAR(W363)</f>
        <v>47</v>
      </c>
      <c r="Y363" s="7" t="s">
        <v>1</v>
      </c>
      <c r="Z363" s="173" t="s">
        <v>1754</v>
      </c>
      <c r="AA363" s="7">
        <v>13</v>
      </c>
      <c r="AB363" s="7" t="s">
        <v>295</v>
      </c>
      <c r="AC363" s="5" t="s">
        <v>0</v>
      </c>
      <c r="AD363" s="5" t="s">
        <v>7</v>
      </c>
      <c r="AE363" s="7">
        <v>33008</v>
      </c>
      <c r="AF363" s="7">
        <v>627417988</v>
      </c>
      <c r="AG363" s="180" t="s">
        <v>1732</v>
      </c>
      <c r="AH363" s="174" t="s">
        <v>1503</v>
      </c>
      <c r="AI363" s="174" t="s">
        <v>13</v>
      </c>
      <c r="AJ363" s="174" t="s">
        <v>1755</v>
      </c>
      <c r="AK363" s="174" t="s">
        <v>1362</v>
      </c>
      <c r="AL363" s="174" t="s">
        <v>1756</v>
      </c>
      <c r="AM363" s="175"/>
      <c r="AN363" s="176"/>
      <c r="AO363" s="176">
        <v>10</v>
      </c>
      <c r="AP363" s="177"/>
      <c r="AQ363" s="116" t="str">
        <f>CONCATENATE("NS",C362,"AZ")</f>
        <v>NS0133AZ</v>
      </c>
      <c r="AR363" s="9" t="str">
        <f>CONCATENATE(Q363," ",R363," ",S363)</f>
        <v>MARÍA CONCEPCIÓN DÍAZ CORDERO</v>
      </c>
      <c r="AS363" s="9"/>
      <c r="AT363" s="162" t="str">
        <f>CONCATENATE(AQ363,"-",AR363,)</f>
        <v>NS0133AZ-MARÍA CONCEPCIÓN DÍAZ CORDERO</v>
      </c>
      <c r="AU363" s="9" t="str">
        <f>U363</f>
        <v>9404630E</v>
      </c>
      <c r="AV363" s="177"/>
      <c r="AW363" s="9" t="str">
        <f t="shared" ref="AW363" si="46">CONCATENATE(AH363,AI363,AJ363,AK363,AL363)</f>
        <v>ES1700815300510006347444</v>
      </c>
      <c r="AZ363" s="159"/>
    </row>
    <row r="364" spans="1:52" s="178" customFormat="1" ht="15" customHeight="1" x14ac:dyDescent="0.25">
      <c r="A364" s="170"/>
      <c r="B364" s="171"/>
      <c r="C364" s="157" t="s">
        <v>1717</v>
      </c>
      <c r="D364" s="5" t="s">
        <v>1757</v>
      </c>
      <c r="E364" s="7" t="s">
        <v>729</v>
      </c>
      <c r="F364" s="7"/>
      <c r="G364" s="172">
        <v>43348</v>
      </c>
      <c r="H364" s="172"/>
      <c r="I364" s="165"/>
      <c r="J364" s="7" t="s">
        <v>1765</v>
      </c>
      <c r="K364" s="7" t="s">
        <v>1229</v>
      </c>
      <c r="L364" s="5" t="s">
        <v>1231</v>
      </c>
      <c r="M364" s="5" t="str">
        <f t="shared" si="44"/>
        <v>ASCAZ HOSPITALARIA</v>
      </c>
      <c r="N364" s="172">
        <v>43374</v>
      </c>
      <c r="O364" s="7"/>
      <c r="P364" s="90" t="s">
        <v>43</v>
      </c>
      <c r="Q364" s="173" t="s">
        <v>1423</v>
      </c>
      <c r="R364" s="173" t="s">
        <v>1750</v>
      </c>
      <c r="S364" s="173" t="s">
        <v>1751</v>
      </c>
      <c r="T364" s="5" t="s">
        <v>2</v>
      </c>
      <c r="U364" s="7" t="s">
        <v>1753</v>
      </c>
      <c r="V364" s="7" t="s">
        <v>665</v>
      </c>
      <c r="W364" s="172">
        <v>24810</v>
      </c>
      <c r="X364" s="7">
        <f t="shared" ca="1" si="45"/>
        <v>51</v>
      </c>
      <c r="Y364" s="7"/>
      <c r="Z364" s="173"/>
      <c r="AA364" s="7"/>
      <c r="AB364" s="7"/>
      <c r="AC364" s="5"/>
      <c r="AD364" s="5"/>
      <c r="AE364" s="7"/>
      <c r="AF364" s="7">
        <v>985088108</v>
      </c>
      <c r="AG364" s="180"/>
      <c r="AH364" s="174"/>
      <c r="AI364" s="174"/>
      <c r="AJ364" s="174"/>
      <c r="AK364" s="174"/>
      <c r="AL364" s="174"/>
      <c r="AM364" s="175"/>
      <c r="AN364" s="176"/>
      <c r="AO364" s="176">
        <v>10</v>
      </c>
      <c r="AP364" s="177"/>
      <c r="AQ364" s="116"/>
      <c r="AR364" s="9"/>
      <c r="AS364" s="9"/>
      <c r="AT364" s="162" t="str">
        <f t="shared" ref="AT364" si="47">CONCATENATE(AQ364,"-",AR364,)</f>
        <v>-</v>
      </c>
      <c r="AU364" s="9"/>
      <c r="AV364" s="177"/>
      <c r="AW364" s="9"/>
      <c r="AZ364" s="159"/>
    </row>
  </sheetData>
  <autoFilter ref="A1:AY356">
    <filterColumn colId="10" showButton="0"/>
    <filterColumn colId="11" showButton="0"/>
  </autoFilter>
  <mergeCells count="2">
    <mergeCell ref="S104:T104"/>
    <mergeCell ref="K1:M1"/>
  </mergeCells>
  <conditionalFormatting sqref="C365:C1048576 C1:C78 C80:C355">
    <cfRule type="cellIs" dxfId="17" priority="21" operator="equal">
      <formula>"N"</formula>
    </cfRule>
    <cfRule type="cellIs" dxfId="16" priority="22" operator="equal">
      <formula>"Y"</formula>
    </cfRule>
  </conditionalFormatting>
  <conditionalFormatting sqref="C79">
    <cfRule type="cellIs" dxfId="15" priority="9" operator="equal">
      <formula>"N"</formula>
    </cfRule>
    <cfRule type="cellIs" dxfId="14" priority="10" operator="equal">
      <formula>"Y"</formula>
    </cfRule>
  </conditionalFormatting>
  <conditionalFormatting sqref="C357">
    <cfRule type="cellIs" dxfId="13" priority="7" operator="equal">
      <formula>"N"</formula>
    </cfRule>
    <cfRule type="cellIs" dxfId="12" priority="8" operator="equal">
      <formula>"Y"</formula>
    </cfRule>
  </conditionalFormatting>
  <conditionalFormatting sqref="C359">
    <cfRule type="cellIs" dxfId="11" priority="5" operator="equal">
      <formula>"N"</formula>
    </cfRule>
    <cfRule type="cellIs" dxfId="10" priority="6" operator="equal">
      <formula>"Y"</formula>
    </cfRule>
  </conditionalFormatting>
  <conditionalFormatting sqref="C361">
    <cfRule type="cellIs" dxfId="9" priority="3" operator="equal">
      <formula>"N"</formula>
    </cfRule>
    <cfRule type="cellIs" dxfId="8" priority="4" operator="equal">
      <formula>"Y"</formula>
    </cfRule>
  </conditionalFormatting>
  <conditionalFormatting sqref="C363:C364">
    <cfRule type="cellIs" dxfId="7" priority="1" operator="equal">
      <formula>"N"</formula>
    </cfRule>
    <cfRule type="cellIs" dxfId="6" priority="2" operator="equal">
      <formula>"Y"</formula>
    </cfRule>
  </conditionalFormatting>
  <hyperlinks>
    <hyperlink ref="AG335" r:id="rId1"/>
    <hyperlink ref="AG336" r:id="rId2"/>
    <hyperlink ref="AG338" r:id="rId3"/>
    <hyperlink ref="AG340" r:id="rId4"/>
    <hyperlink ref="AG347" r:id="rId5"/>
    <hyperlink ref="AG349" r:id="rId6"/>
    <hyperlink ref="AG207" r:id="rId7"/>
    <hyperlink ref="AG206" r:id="rId8"/>
    <hyperlink ref="AG329" r:id="rId9"/>
    <hyperlink ref="AG316" r:id="rId10"/>
    <hyperlink ref="AG342" r:id="rId11"/>
    <hyperlink ref="AG10" r:id="rId12"/>
    <hyperlink ref="AG351" r:id="rId13"/>
    <hyperlink ref="AG353" r:id="rId14"/>
    <hyperlink ref="AG354" r:id="rId15"/>
    <hyperlink ref="AG201" r:id="rId16"/>
    <hyperlink ref="AG331" r:id="rId17"/>
    <hyperlink ref="AG160" r:id="rId18"/>
    <hyperlink ref="AG248" r:id="rId19"/>
    <hyperlink ref="AG357" r:id="rId20"/>
    <hyperlink ref="AG109" r:id="rId21"/>
    <hyperlink ref="AG359" r:id="rId22"/>
    <hyperlink ref="AG3" r:id="rId23"/>
  </hyperlinks>
  <pageMargins left="0.65" right="0.23" top="0.27" bottom="0.28999999999999998" header="0.1" footer="0.3"/>
  <pageSetup paperSize="9" scale="23" fitToHeight="0" orientation="landscape" r:id="rId24"/>
  <rowBreaks count="6" manualBreakCount="6">
    <brk id="156" min="1" max="41" man="1"/>
    <brk id="186" min="1" max="41" man="1"/>
    <brk id="262" min="1" max="41" man="1"/>
    <brk id="289" min="1" max="41" man="1"/>
    <brk id="319" min="1" max="41" man="1"/>
    <brk id="351" min="1" max="41" man="1"/>
  </rowBreaks>
  <colBreaks count="1" manualBreakCount="1">
    <brk id="18" max="35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33"/>
  <sheetViews>
    <sheetView workbookViewId="0">
      <selection activeCell="T26" sqref="T26"/>
    </sheetView>
  </sheetViews>
  <sheetFormatPr baseColWidth="10" defaultRowHeight="15" x14ac:dyDescent="0.25"/>
  <cols>
    <col min="1" max="1" width="5.85546875" style="9" customWidth="1"/>
    <col min="2" max="2" width="15" style="9" bestFit="1" customWidth="1"/>
    <col min="3" max="5" width="17" style="94" customWidth="1"/>
    <col min="6" max="6" width="5" style="9" bestFit="1" customWidth="1"/>
    <col min="7" max="7" width="11" style="9" bestFit="1" customWidth="1"/>
    <col min="8" max="8" width="5.5703125" style="9" customWidth="1"/>
    <col min="9" max="9" width="12.85546875" style="1" bestFit="1" customWidth="1"/>
    <col min="10" max="10" width="5.42578125" style="9" bestFit="1" customWidth="1"/>
    <col min="11" max="11" width="4.42578125" customWidth="1"/>
    <col min="12" max="15" width="3.5703125" style="232" bestFit="1" customWidth="1"/>
  </cols>
  <sheetData>
    <row r="1" spans="1:15" ht="15.75" thickBot="1" x14ac:dyDescent="0.3">
      <c r="A1" s="223"/>
      <c r="B1" s="224" t="s">
        <v>825</v>
      </c>
      <c r="C1" s="225" t="s">
        <v>826</v>
      </c>
      <c r="D1" s="225" t="s">
        <v>1766</v>
      </c>
      <c r="E1" s="225" t="s">
        <v>828</v>
      </c>
      <c r="F1" s="224" t="s">
        <v>829</v>
      </c>
      <c r="G1" s="224" t="s">
        <v>830</v>
      </c>
      <c r="H1" s="224" t="s">
        <v>831</v>
      </c>
      <c r="I1" s="226" t="s">
        <v>1241</v>
      </c>
      <c r="J1" s="227" t="s">
        <v>1767</v>
      </c>
    </row>
    <row r="2" spans="1:15" x14ac:dyDescent="0.25">
      <c r="A2" s="229" t="s">
        <v>772</v>
      </c>
      <c r="B2" s="228" t="s">
        <v>3</v>
      </c>
      <c r="C2" s="204" t="s">
        <v>1124</v>
      </c>
      <c r="D2" s="204" t="s">
        <v>146</v>
      </c>
      <c r="E2" s="204" t="s">
        <v>291</v>
      </c>
      <c r="F2" s="203" t="s">
        <v>2</v>
      </c>
      <c r="G2" s="203" t="s">
        <v>145</v>
      </c>
      <c r="H2" s="203" t="s">
        <v>646</v>
      </c>
      <c r="I2" s="205">
        <v>31084</v>
      </c>
      <c r="J2" s="206">
        <v>33</v>
      </c>
      <c r="L2" s="233">
        <v>1</v>
      </c>
      <c r="M2" s="234">
        <v>454</v>
      </c>
      <c r="N2" s="234">
        <v>692</v>
      </c>
      <c r="O2" s="235">
        <v>902</v>
      </c>
    </row>
    <row r="3" spans="1:15" x14ac:dyDescent="0.25">
      <c r="A3" s="230" t="s">
        <v>659</v>
      </c>
      <c r="B3" s="209" t="s">
        <v>3</v>
      </c>
      <c r="C3" s="208" t="s">
        <v>424</v>
      </c>
      <c r="D3" s="208" t="s">
        <v>286</v>
      </c>
      <c r="E3" s="208" t="s">
        <v>547</v>
      </c>
      <c r="F3" s="209" t="s">
        <v>2</v>
      </c>
      <c r="G3" s="209" t="s">
        <v>423</v>
      </c>
      <c r="H3" s="209" t="s">
        <v>646</v>
      </c>
      <c r="I3" s="210">
        <v>29860</v>
      </c>
      <c r="J3" s="211">
        <v>37</v>
      </c>
      <c r="L3" s="236">
        <v>2</v>
      </c>
      <c r="M3" s="237">
        <v>455</v>
      </c>
      <c r="N3" s="237">
        <v>693</v>
      </c>
      <c r="O3" s="238">
        <v>903</v>
      </c>
    </row>
    <row r="4" spans="1:15" x14ac:dyDescent="0.25">
      <c r="A4" s="230" t="s">
        <v>616</v>
      </c>
      <c r="B4" s="207" t="s">
        <v>815</v>
      </c>
      <c r="C4" s="208" t="s">
        <v>455</v>
      </c>
      <c r="D4" s="208" t="s">
        <v>286</v>
      </c>
      <c r="E4" s="208" t="s">
        <v>118</v>
      </c>
      <c r="F4" s="209" t="s">
        <v>2</v>
      </c>
      <c r="G4" s="209" t="s">
        <v>454</v>
      </c>
      <c r="H4" s="209" t="s">
        <v>665</v>
      </c>
      <c r="I4" s="210">
        <v>40955</v>
      </c>
      <c r="J4" s="211">
        <v>6</v>
      </c>
      <c r="L4" s="236">
        <v>3</v>
      </c>
      <c r="M4" s="237">
        <v>456</v>
      </c>
      <c r="N4" s="237">
        <v>694</v>
      </c>
      <c r="O4" s="238">
        <v>904</v>
      </c>
    </row>
    <row r="5" spans="1:15" x14ac:dyDescent="0.25">
      <c r="A5" s="230" t="s">
        <v>654</v>
      </c>
      <c r="B5" s="207" t="s">
        <v>815</v>
      </c>
      <c r="C5" s="208" t="s">
        <v>938</v>
      </c>
      <c r="D5" s="208" t="s">
        <v>286</v>
      </c>
      <c r="E5" s="208" t="s">
        <v>935</v>
      </c>
      <c r="F5" s="209"/>
      <c r="G5" s="209"/>
      <c r="H5" s="209" t="s">
        <v>646</v>
      </c>
      <c r="I5" s="210">
        <v>43090</v>
      </c>
      <c r="J5" s="211">
        <v>1</v>
      </c>
      <c r="L5" s="236">
        <v>4</v>
      </c>
      <c r="M5" s="237">
        <v>457</v>
      </c>
      <c r="N5" s="237">
        <v>695</v>
      </c>
      <c r="O5" s="238">
        <v>905</v>
      </c>
    </row>
    <row r="6" spans="1:15" x14ac:dyDescent="0.25">
      <c r="A6" s="230" t="s">
        <v>1441</v>
      </c>
      <c r="B6" s="209" t="s">
        <v>43</v>
      </c>
      <c r="C6" s="208" t="s">
        <v>1448</v>
      </c>
      <c r="D6" s="208" t="s">
        <v>286</v>
      </c>
      <c r="E6" s="208" t="s">
        <v>1414</v>
      </c>
      <c r="F6" s="209" t="s">
        <v>2</v>
      </c>
      <c r="G6" s="209" t="s">
        <v>1452</v>
      </c>
      <c r="H6" s="209" t="s">
        <v>646</v>
      </c>
      <c r="I6" s="210">
        <v>30260</v>
      </c>
      <c r="J6" s="211">
        <v>36</v>
      </c>
      <c r="L6" s="236">
        <v>5</v>
      </c>
      <c r="M6" s="237">
        <v>458</v>
      </c>
      <c r="N6" s="237">
        <v>696</v>
      </c>
      <c r="O6" s="238">
        <v>906</v>
      </c>
    </row>
    <row r="7" spans="1:15" x14ac:dyDescent="0.25">
      <c r="A7" s="230" t="s">
        <v>614</v>
      </c>
      <c r="B7" s="209" t="s">
        <v>154</v>
      </c>
      <c r="C7" s="208" t="s">
        <v>461</v>
      </c>
      <c r="D7" s="208" t="s">
        <v>286</v>
      </c>
      <c r="E7" s="208" t="s">
        <v>460</v>
      </c>
      <c r="F7" s="209" t="s">
        <v>2</v>
      </c>
      <c r="G7" s="209" t="s">
        <v>459</v>
      </c>
      <c r="H7" s="209" t="s">
        <v>665</v>
      </c>
      <c r="I7" s="210">
        <v>29542</v>
      </c>
      <c r="J7" s="211">
        <v>38</v>
      </c>
      <c r="L7" s="236">
        <v>6</v>
      </c>
      <c r="M7" s="237">
        <v>459</v>
      </c>
      <c r="N7" s="237">
        <v>465</v>
      </c>
      <c r="O7" s="238">
        <v>907</v>
      </c>
    </row>
    <row r="8" spans="1:15" x14ac:dyDescent="0.25">
      <c r="A8" s="230" t="s">
        <v>710</v>
      </c>
      <c r="B8" s="209" t="s">
        <v>154</v>
      </c>
      <c r="C8" s="208" t="s">
        <v>333</v>
      </c>
      <c r="D8" s="208" t="s">
        <v>286</v>
      </c>
      <c r="E8" s="208" t="s">
        <v>174</v>
      </c>
      <c r="F8" s="209" t="s">
        <v>2</v>
      </c>
      <c r="G8" s="209" t="s">
        <v>332</v>
      </c>
      <c r="H8" s="209" t="s">
        <v>665</v>
      </c>
      <c r="I8" s="210">
        <v>20836</v>
      </c>
      <c r="J8" s="211">
        <v>61</v>
      </c>
      <c r="L8" s="236">
        <v>7</v>
      </c>
      <c r="M8" s="237">
        <v>460</v>
      </c>
      <c r="N8" s="237">
        <v>466</v>
      </c>
      <c r="O8" s="238">
        <v>908</v>
      </c>
    </row>
    <row r="9" spans="1:15" x14ac:dyDescent="0.25">
      <c r="A9" s="230" t="s">
        <v>652</v>
      </c>
      <c r="B9" s="209" t="s">
        <v>3</v>
      </c>
      <c r="C9" s="208" t="s">
        <v>927</v>
      </c>
      <c r="D9" s="208" t="s">
        <v>928</v>
      </c>
      <c r="E9" s="208" t="s">
        <v>929</v>
      </c>
      <c r="F9" s="209" t="s">
        <v>2</v>
      </c>
      <c r="G9" s="209" t="s">
        <v>469</v>
      </c>
      <c r="H9" s="209" t="s">
        <v>665</v>
      </c>
      <c r="I9" s="210">
        <v>30644</v>
      </c>
      <c r="J9" s="211">
        <v>35</v>
      </c>
      <c r="L9" s="236">
        <v>8</v>
      </c>
      <c r="M9" s="237">
        <v>461</v>
      </c>
      <c r="N9" s="237">
        <v>467</v>
      </c>
      <c r="O9" s="238">
        <v>909</v>
      </c>
    </row>
    <row r="10" spans="1:15" x14ac:dyDescent="0.25">
      <c r="A10" s="230" t="s">
        <v>757</v>
      </c>
      <c r="B10" s="207" t="s">
        <v>815</v>
      </c>
      <c r="C10" s="208" t="s">
        <v>438</v>
      </c>
      <c r="D10" s="208" t="s">
        <v>546</v>
      </c>
      <c r="E10" s="208" t="s">
        <v>1043</v>
      </c>
      <c r="F10" s="209" t="s">
        <v>2</v>
      </c>
      <c r="G10" s="209" t="s">
        <v>1045</v>
      </c>
      <c r="H10" s="209" t="s">
        <v>646</v>
      </c>
      <c r="I10" s="210">
        <v>41241</v>
      </c>
      <c r="J10" s="211">
        <v>6</v>
      </c>
      <c r="L10" s="236">
        <v>9</v>
      </c>
      <c r="M10" s="237">
        <v>462</v>
      </c>
      <c r="N10" s="237">
        <v>468</v>
      </c>
      <c r="O10" s="238">
        <v>910</v>
      </c>
    </row>
    <row r="11" spans="1:15" x14ac:dyDescent="0.25">
      <c r="A11" s="230" t="s">
        <v>773</v>
      </c>
      <c r="B11" s="207" t="s">
        <v>3</v>
      </c>
      <c r="C11" s="208" t="s">
        <v>139</v>
      </c>
      <c r="D11" s="208" t="s">
        <v>546</v>
      </c>
      <c r="E11" s="208" t="s">
        <v>396</v>
      </c>
      <c r="F11" s="209" t="s">
        <v>2</v>
      </c>
      <c r="G11" s="209" t="s">
        <v>138</v>
      </c>
      <c r="H11" s="209" t="s">
        <v>646</v>
      </c>
      <c r="I11" s="210">
        <v>27828</v>
      </c>
      <c r="J11" s="211">
        <v>42</v>
      </c>
      <c r="L11" s="236">
        <v>10</v>
      </c>
      <c r="M11" s="237">
        <v>463</v>
      </c>
      <c r="N11" s="237">
        <v>469</v>
      </c>
      <c r="O11" s="238">
        <v>911</v>
      </c>
    </row>
    <row r="12" spans="1:15" x14ac:dyDescent="0.25">
      <c r="A12" s="230" t="s">
        <v>755</v>
      </c>
      <c r="B12" s="207" t="s">
        <v>3</v>
      </c>
      <c r="C12" s="208" t="s">
        <v>1038</v>
      </c>
      <c r="D12" s="208" t="s">
        <v>546</v>
      </c>
      <c r="E12" s="208" t="s">
        <v>1154</v>
      </c>
      <c r="F12" s="209" t="s">
        <v>2</v>
      </c>
      <c r="G12" s="209" t="s">
        <v>25</v>
      </c>
      <c r="H12" s="209" t="s">
        <v>665</v>
      </c>
      <c r="I12" s="210">
        <v>26856</v>
      </c>
      <c r="J12" s="211">
        <v>45</v>
      </c>
      <c r="L12" s="236">
        <v>11</v>
      </c>
      <c r="M12" s="237">
        <v>464</v>
      </c>
      <c r="N12" s="237">
        <v>470</v>
      </c>
      <c r="O12" s="238">
        <v>912</v>
      </c>
    </row>
    <row r="13" spans="1:15" x14ac:dyDescent="0.25">
      <c r="A13" s="230" t="s">
        <v>699</v>
      </c>
      <c r="B13" s="209" t="s">
        <v>154</v>
      </c>
      <c r="C13" s="208" t="s">
        <v>978</v>
      </c>
      <c r="D13" s="208" t="s">
        <v>546</v>
      </c>
      <c r="E13" s="208" t="s">
        <v>979</v>
      </c>
      <c r="F13" s="209" t="s">
        <v>2</v>
      </c>
      <c r="G13" s="209" t="s">
        <v>370</v>
      </c>
      <c r="H13" s="209" t="s">
        <v>665</v>
      </c>
      <c r="I13" s="210">
        <v>26220</v>
      </c>
      <c r="J13" s="211">
        <v>47</v>
      </c>
      <c r="L13" s="236">
        <v>12</v>
      </c>
      <c r="M13" s="237">
        <v>233</v>
      </c>
      <c r="N13" s="237">
        <v>471</v>
      </c>
      <c r="O13" s="238">
        <v>913</v>
      </c>
    </row>
    <row r="14" spans="1:15" x14ac:dyDescent="0.25">
      <c r="A14" s="230" t="s">
        <v>751</v>
      </c>
      <c r="B14" s="207" t="s">
        <v>815</v>
      </c>
      <c r="C14" s="208" t="s">
        <v>397</v>
      </c>
      <c r="D14" s="208" t="s">
        <v>546</v>
      </c>
      <c r="E14" s="208" t="s">
        <v>233</v>
      </c>
      <c r="F14" s="209"/>
      <c r="G14" s="209"/>
      <c r="H14" s="209" t="s">
        <v>646</v>
      </c>
      <c r="I14" s="210">
        <v>42085</v>
      </c>
      <c r="J14" s="211">
        <v>3</v>
      </c>
      <c r="L14" s="236">
        <v>13</v>
      </c>
      <c r="M14" s="237">
        <v>234</v>
      </c>
      <c r="N14" s="237">
        <v>472</v>
      </c>
      <c r="O14" s="238">
        <v>914</v>
      </c>
    </row>
    <row r="15" spans="1:15" x14ac:dyDescent="0.25">
      <c r="A15" s="230" t="s">
        <v>717</v>
      </c>
      <c r="B15" s="209" t="s">
        <v>154</v>
      </c>
      <c r="C15" s="208" t="s">
        <v>1005</v>
      </c>
      <c r="D15" s="208" t="s">
        <v>546</v>
      </c>
      <c r="E15" s="208" t="s">
        <v>174</v>
      </c>
      <c r="F15" s="209" t="s">
        <v>2</v>
      </c>
      <c r="G15" s="209" t="s">
        <v>306</v>
      </c>
      <c r="H15" s="209" t="s">
        <v>646</v>
      </c>
      <c r="I15" s="210">
        <v>29865</v>
      </c>
      <c r="J15" s="211">
        <v>37</v>
      </c>
      <c r="L15" s="236">
        <v>14</v>
      </c>
      <c r="M15" s="237">
        <v>235</v>
      </c>
      <c r="N15" s="237">
        <v>473</v>
      </c>
      <c r="O15" s="238">
        <v>915</v>
      </c>
    </row>
    <row r="16" spans="1:15" x14ac:dyDescent="0.25">
      <c r="A16" s="230" t="s">
        <v>750</v>
      </c>
      <c r="B16" s="209" t="s">
        <v>43</v>
      </c>
      <c r="C16" s="208" t="s">
        <v>1127</v>
      </c>
      <c r="D16" s="208" t="s">
        <v>546</v>
      </c>
      <c r="E16" s="208" t="s">
        <v>235</v>
      </c>
      <c r="F16" s="209" t="s">
        <v>2</v>
      </c>
      <c r="G16" s="209" t="s">
        <v>234</v>
      </c>
      <c r="H16" s="209" t="s">
        <v>665</v>
      </c>
      <c r="I16" s="210">
        <v>27002</v>
      </c>
      <c r="J16" s="211">
        <v>45</v>
      </c>
      <c r="L16" s="236">
        <v>15</v>
      </c>
      <c r="M16" s="237">
        <v>236</v>
      </c>
      <c r="N16" s="237">
        <v>474</v>
      </c>
      <c r="O16" s="238">
        <v>916</v>
      </c>
    </row>
    <row r="17" spans="1:15" x14ac:dyDescent="0.25">
      <c r="A17" s="230" t="s">
        <v>745</v>
      </c>
      <c r="B17" s="207" t="s">
        <v>3</v>
      </c>
      <c r="C17" s="208" t="s">
        <v>249</v>
      </c>
      <c r="D17" s="208" t="s">
        <v>254</v>
      </c>
      <c r="E17" s="208" t="s">
        <v>228</v>
      </c>
      <c r="F17" s="209" t="s">
        <v>2</v>
      </c>
      <c r="G17" s="209" t="s">
        <v>253</v>
      </c>
      <c r="H17" s="209" t="s">
        <v>665</v>
      </c>
      <c r="I17" s="210">
        <v>29044</v>
      </c>
      <c r="J17" s="211">
        <v>39</v>
      </c>
      <c r="L17" s="236">
        <v>16</v>
      </c>
      <c r="M17" s="237">
        <v>237</v>
      </c>
      <c r="N17" s="237">
        <v>475</v>
      </c>
      <c r="O17" s="238">
        <v>917</v>
      </c>
    </row>
    <row r="18" spans="1:15" x14ac:dyDescent="0.25">
      <c r="A18" s="230" t="s">
        <v>746</v>
      </c>
      <c r="B18" s="207" t="s">
        <v>818</v>
      </c>
      <c r="C18" s="208" t="s">
        <v>249</v>
      </c>
      <c r="D18" s="208" t="s">
        <v>248</v>
      </c>
      <c r="E18" s="208" t="s">
        <v>63</v>
      </c>
      <c r="F18" s="209" t="s">
        <v>2</v>
      </c>
      <c r="G18" s="209" t="s">
        <v>247</v>
      </c>
      <c r="H18" s="209" t="s">
        <v>665</v>
      </c>
      <c r="I18" s="210">
        <v>16060</v>
      </c>
      <c r="J18" s="211">
        <v>75</v>
      </c>
      <c r="L18" s="236">
        <v>17</v>
      </c>
      <c r="M18" s="237">
        <v>238</v>
      </c>
      <c r="N18" s="237">
        <v>476</v>
      </c>
      <c r="O18" s="238">
        <v>918</v>
      </c>
    </row>
    <row r="19" spans="1:15" x14ac:dyDescent="0.25">
      <c r="A19" s="230" t="s">
        <v>1444</v>
      </c>
      <c r="B19" s="207" t="s">
        <v>818</v>
      </c>
      <c r="C19" s="208" t="s">
        <v>1128</v>
      </c>
      <c r="D19" s="208" t="s">
        <v>1450</v>
      </c>
      <c r="E19" s="208" t="s">
        <v>1447</v>
      </c>
      <c r="F19" s="209" t="s">
        <v>2</v>
      </c>
      <c r="G19" s="209" t="s">
        <v>1453</v>
      </c>
      <c r="H19" s="209" t="s">
        <v>646</v>
      </c>
      <c r="I19" s="210">
        <v>21763</v>
      </c>
      <c r="J19" s="211">
        <v>59</v>
      </c>
      <c r="L19" s="236">
        <v>18</v>
      </c>
      <c r="M19" s="237">
        <v>239</v>
      </c>
      <c r="N19" s="237">
        <v>477</v>
      </c>
      <c r="O19" s="238">
        <v>919</v>
      </c>
    </row>
    <row r="20" spans="1:15" x14ac:dyDescent="0.25">
      <c r="A20" s="230" t="s">
        <v>612</v>
      </c>
      <c r="B20" s="209" t="s">
        <v>43</v>
      </c>
      <c r="C20" s="208" t="s">
        <v>874</v>
      </c>
      <c r="D20" s="208" t="s">
        <v>875</v>
      </c>
      <c r="E20" s="208" t="s">
        <v>1152</v>
      </c>
      <c r="F20" s="209" t="s">
        <v>2</v>
      </c>
      <c r="G20" s="209" t="s">
        <v>1162</v>
      </c>
      <c r="H20" s="209" t="s">
        <v>646</v>
      </c>
      <c r="I20" s="210">
        <v>23788</v>
      </c>
      <c r="J20" s="211">
        <v>53</v>
      </c>
      <c r="L20" s="236">
        <v>19</v>
      </c>
      <c r="M20" s="237">
        <v>240</v>
      </c>
      <c r="N20" s="237">
        <v>478</v>
      </c>
      <c r="O20" s="238">
        <v>920</v>
      </c>
    </row>
    <row r="21" spans="1:15" x14ac:dyDescent="0.25">
      <c r="A21" s="230" t="s">
        <v>657</v>
      </c>
      <c r="B21" s="209" t="s">
        <v>43</v>
      </c>
      <c r="C21" s="208" t="s">
        <v>946</v>
      </c>
      <c r="D21" s="208" t="s">
        <v>947</v>
      </c>
      <c r="E21" s="208" t="s">
        <v>1160</v>
      </c>
      <c r="F21" s="209" t="s">
        <v>2</v>
      </c>
      <c r="G21" s="209" t="s">
        <v>465</v>
      </c>
      <c r="H21" s="209" t="s">
        <v>665</v>
      </c>
      <c r="I21" s="210">
        <v>28218</v>
      </c>
      <c r="J21" s="211">
        <v>41</v>
      </c>
      <c r="L21" s="236">
        <v>20</v>
      </c>
      <c r="M21" s="237">
        <v>241</v>
      </c>
      <c r="N21" s="237">
        <v>479</v>
      </c>
      <c r="O21" s="238">
        <v>921</v>
      </c>
    </row>
    <row r="22" spans="1:15" x14ac:dyDescent="0.25">
      <c r="A22" s="230" t="s">
        <v>782</v>
      </c>
      <c r="B22" s="207" t="s">
        <v>3</v>
      </c>
      <c r="C22" s="208" t="s">
        <v>109</v>
      </c>
      <c r="D22" s="208" t="s">
        <v>108</v>
      </c>
      <c r="E22" s="208" t="s">
        <v>107</v>
      </c>
      <c r="F22" s="209" t="s">
        <v>2</v>
      </c>
      <c r="G22" s="209" t="s">
        <v>106</v>
      </c>
      <c r="H22" s="209" t="s">
        <v>665</v>
      </c>
      <c r="I22" s="210">
        <v>31176</v>
      </c>
      <c r="J22" s="211">
        <v>33</v>
      </c>
      <c r="L22" s="236">
        <v>21</v>
      </c>
      <c r="M22" s="237">
        <v>242</v>
      </c>
      <c r="N22" s="237">
        <v>480</v>
      </c>
      <c r="O22" s="238">
        <v>922</v>
      </c>
    </row>
    <row r="23" spans="1:15" x14ac:dyDescent="0.25">
      <c r="A23" s="230" t="s">
        <v>630</v>
      </c>
      <c r="B23" s="209" t="s">
        <v>154</v>
      </c>
      <c r="C23" s="208" t="s">
        <v>502</v>
      </c>
      <c r="D23" s="208" t="s">
        <v>84</v>
      </c>
      <c r="E23" s="208" t="s">
        <v>501</v>
      </c>
      <c r="F23" s="209" t="s">
        <v>2</v>
      </c>
      <c r="G23" s="209" t="s">
        <v>500</v>
      </c>
      <c r="H23" s="209" t="s">
        <v>665</v>
      </c>
      <c r="I23" s="210">
        <v>20478</v>
      </c>
      <c r="J23" s="211">
        <v>62</v>
      </c>
      <c r="L23" s="236">
        <v>22</v>
      </c>
      <c r="M23" s="237">
        <v>243</v>
      </c>
      <c r="N23" s="237">
        <v>481</v>
      </c>
      <c r="O23" s="238">
        <v>923</v>
      </c>
    </row>
    <row r="24" spans="1:15" x14ac:dyDescent="0.25">
      <c r="A24" s="230" t="s">
        <v>632</v>
      </c>
      <c r="B24" s="209" t="s">
        <v>154</v>
      </c>
      <c r="C24" s="208" t="s">
        <v>497</v>
      </c>
      <c r="D24" s="208" t="s">
        <v>84</v>
      </c>
      <c r="E24" s="208" t="s">
        <v>83</v>
      </c>
      <c r="F24" s="209" t="s">
        <v>2</v>
      </c>
      <c r="G24" s="209" t="s">
        <v>496</v>
      </c>
      <c r="H24" s="209" t="s">
        <v>665</v>
      </c>
      <c r="I24" s="210">
        <v>33043</v>
      </c>
      <c r="J24" s="211">
        <v>28</v>
      </c>
      <c r="L24" s="236">
        <v>23</v>
      </c>
      <c r="M24" s="237">
        <v>244</v>
      </c>
      <c r="N24" s="237">
        <v>482</v>
      </c>
      <c r="O24" s="238">
        <v>924</v>
      </c>
    </row>
    <row r="25" spans="1:15" x14ac:dyDescent="0.25">
      <c r="A25" s="230" t="s">
        <v>784</v>
      </c>
      <c r="B25" s="207" t="s">
        <v>3</v>
      </c>
      <c r="C25" s="208" t="s">
        <v>1071</v>
      </c>
      <c r="D25" s="208" t="s">
        <v>84</v>
      </c>
      <c r="E25" s="208" t="s">
        <v>83</v>
      </c>
      <c r="F25" s="209" t="s">
        <v>2</v>
      </c>
      <c r="G25" s="209" t="s">
        <v>82</v>
      </c>
      <c r="H25" s="209" t="s">
        <v>665</v>
      </c>
      <c r="I25" s="210">
        <v>31926</v>
      </c>
      <c r="J25" s="211">
        <v>31</v>
      </c>
      <c r="L25" s="236">
        <v>24</v>
      </c>
      <c r="M25" s="237">
        <v>245</v>
      </c>
      <c r="N25" s="237">
        <v>483</v>
      </c>
      <c r="O25" s="238">
        <v>925</v>
      </c>
    </row>
    <row r="26" spans="1:15" x14ac:dyDescent="0.25">
      <c r="A26" s="230" t="s">
        <v>629</v>
      </c>
      <c r="B26" s="209" t="s">
        <v>43</v>
      </c>
      <c r="C26" s="208" t="s">
        <v>890</v>
      </c>
      <c r="D26" s="208" t="s">
        <v>891</v>
      </c>
      <c r="E26" s="208" t="s">
        <v>21</v>
      </c>
      <c r="F26" s="209" t="s">
        <v>2</v>
      </c>
      <c r="G26" s="209" t="s">
        <v>892</v>
      </c>
      <c r="H26" s="209" t="s">
        <v>646</v>
      </c>
      <c r="I26" s="210">
        <v>28821</v>
      </c>
      <c r="J26" s="211">
        <v>40</v>
      </c>
      <c r="L26" s="236">
        <v>25</v>
      </c>
      <c r="M26" s="237">
        <v>246</v>
      </c>
      <c r="N26" s="237">
        <v>484</v>
      </c>
      <c r="O26" s="238">
        <v>926</v>
      </c>
    </row>
    <row r="27" spans="1:15" x14ac:dyDescent="0.25">
      <c r="A27" s="230" t="s">
        <v>688</v>
      </c>
      <c r="B27" s="209" t="s">
        <v>43</v>
      </c>
      <c r="C27" s="208" t="s">
        <v>413</v>
      </c>
      <c r="D27" s="208" t="s">
        <v>412</v>
      </c>
      <c r="E27" s="208" t="s">
        <v>63</v>
      </c>
      <c r="F27" s="209" t="s">
        <v>411</v>
      </c>
      <c r="G27" s="209" t="s">
        <v>410</v>
      </c>
      <c r="H27" s="209" t="s">
        <v>665</v>
      </c>
      <c r="I27" s="210">
        <v>29723</v>
      </c>
      <c r="J27" s="211">
        <v>37</v>
      </c>
      <c r="L27" s="236">
        <v>26</v>
      </c>
      <c r="M27" s="237">
        <v>247</v>
      </c>
      <c r="N27" s="237">
        <v>485</v>
      </c>
      <c r="O27" s="238">
        <v>927</v>
      </c>
    </row>
    <row r="28" spans="1:15" x14ac:dyDescent="0.25">
      <c r="A28" s="230" t="s">
        <v>605</v>
      </c>
      <c r="B28" s="209" t="s">
        <v>154</v>
      </c>
      <c r="C28" s="208" t="s">
        <v>548</v>
      </c>
      <c r="D28" s="208" t="s">
        <v>547</v>
      </c>
      <c r="E28" s="208" t="s">
        <v>546</v>
      </c>
      <c r="F28" s="209" t="s">
        <v>2</v>
      </c>
      <c r="G28" s="209" t="s">
        <v>545</v>
      </c>
      <c r="H28" s="209" t="s">
        <v>665</v>
      </c>
      <c r="I28" s="210">
        <v>26723</v>
      </c>
      <c r="J28" s="211">
        <v>45</v>
      </c>
      <c r="L28" s="236">
        <v>27</v>
      </c>
      <c r="M28" s="237">
        <v>248</v>
      </c>
      <c r="N28" s="237">
        <v>486</v>
      </c>
      <c r="O28" s="238">
        <v>928</v>
      </c>
    </row>
    <row r="29" spans="1:15" x14ac:dyDescent="0.25">
      <c r="A29" s="230" t="s">
        <v>762</v>
      </c>
      <c r="B29" s="207" t="s">
        <v>154</v>
      </c>
      <c r="C29" s="208" t="s">
        <v>197</v>
      </c>
      <c r="D29" s="208" t="s">
        <v>196</v>
      </c>
      <c r="E29" s="208" t="s">
        <v>195</v>
      </c>
      <c r="F29" s="209" t="s">
        <v>2</v>
      </c>
      <c r="G29" s="209" t="s">
        <v>1052</v>
      </c>
      <c r="H29" s="209" t="s">
        <v>665</v>
      </c>
      <c r="I29" s="210">
        <v>25132</v>
      </c>
      <c r="J29" s="211">
        <v>50</v>
      </c>
      <c r="L29" s="236">
        <v>28</v>
      </c>
      <c r="M29" s="237">
        <v>249</v>
      </c>
      <c r="N29" s="237">
        <v>487</v>
      </c>
      <c r="O29" s="238">
        <v>697</v>
      </c>
    </row>
    <row r="30" spans="1:15" x14ac:dyDescent="0.25">
      <c r="A30" s="230" t="s">
        <v>708</v>
      </c>
      <c r="B30" s="209" t="s">
        <v>43</v>
      </c>
      <c r="C30" s="208" t="s">
        <v>336</v>
      </c>
      <c r="D30" s="208" t="s">
        <v>334</v>
      </c>
      <c r="E30" s="208" t="s">
        <v>1154</v>
      </c>
      <c r="F30" s="209" t="s">
        <v>2</v>
      </c>
      <c r="G30" s="209" t="s">
        <v>335</v>
      </c>
      <c r="H30" s="209" t="s">
        <v>646</v>
      </c>
      <c r="I30" s="210">
        <v>28697</v>
      </c>
      <c r="J30" s="211">
        <v>40</v>
      </c>
      <c r="L30" s="236">
        <v>29</v>
      </c>
      <c r="M30" s="237">
        <v>250</v>
      </c>
      <c r="N30" s="237">
        <v>488</v>
      </c>
      <c r="O30" s="238">
        <v>698</v>
      </c>
    </row>
    <row r="31" spans="1:15" x14ac:dyDescent="0.25">
      <c r="A31" s="230" t="s">
        <v>1197</v>
      </c>
      <c r="B31" s="207" t="s">
        <v>3</v>
      </c>
      <c r="C31" s="208" t="s">
        <v>1199</v>
      </c>
      <c r="D31" s="208" t="s">
        <v>1200</v>
      </c>
      <c r="E31" s="208" t="s">
        <v>174</v>
      </c>
      <c r="F31" s="209" t="s">
        <v>2</v>
      </c>
      <c r="G31" s="209" t="s">
        <v>1201</v>
      </c>
      <c r="H31" s="209" t="s">
        <v>665</v>
      </c>
      <c r="I31" s="210">
        <v>27749</v>
      </c>
      <c r="J31" s="211">
        <v>43</v>
      </c>
      <c r="L31" s="236">
        <v>30</v>
      </c>
      <c r="M31" s="237">
        <v>251</v>
      </c>
      <c r="N31" s="237">
        <v>489</v>
      </c>
      <c r="O31" s="238">
        <v>699</v>
      </c>
    </row>
    <row r="32" spans="1:15" x14ac:dyDescent="0.25">
      <c r="A32" s="230" t="s">
        <v>756</v>
      </c>
      <c r="B32" s="209" t="s">
        <v>43</v>
      </c>
      <c r="C32" s="208" t="s">
        <v>1042</v>
      </c>
      <c r="D32" s="208" t="s">
        <v>1043</v>
      </c>
      <c r="E32" s="208" t="s">
        <v>1044</v>
      </c>
      <c r="F32" s="209" t="s">
        <v>2</v>
      </c>
      <c r="G32" s="209" t="s">
        <v>212</v>
      </c>
      <c r="H32" s="209" t="s">
        <v>646</v>
      </c>
      <c r="I32" s="210">
        <v>27512</v>
      </c>
      <c r="J32" s="211">
        <v>43</v>
      </c>
      <c r="L32" s="236">
        <v>31</v>
      </c>
      <c r="M32" s="237">
        <v>252</v>
      </c>
      <c r="N32" s="237">
        <v>490</v>
      </c>
      <c r="O32" s="238">
        <v>700</v>
      </c>
    </row>
    <row r="33" spans="1:15" x14ac:dyDescent="0.25">
      <c r="A33" s="230" t="s">
        <v>179</v>
      </c>
      <c r="B33" s="209" t="s">
        <v>154</v>
      </c>
      <c r="C33" s="208" t="s">
        <v>851</v>
      </c>
      <c r="D33" s="208" t="s">
        <v>403</v>
      </c>
      <c r="E33" s="208" t="s">
        <v>852</v>
      </c>
      <c r="F33" s="209" t="s">
        <v>2</v>
      </c>
      <c r="G33" s="209" t="s">
        <v>573</v>
      </c>
      <c r="H33" s="209" t="s">
        <v>646</v>
      </c>
      <c r="I33" s="210">
        <v>27457</v>
      </c>
      <c r="J33" s="211">
        <v>43</v>
      </c>
      <c r="L33" s="236">
        <v>32</v>
      </c>
      <c r="M33" s="237">
        <v>253</v>
      </c>
      <c r="N33" s="237">
        <v>491</v>
      </c>
      <c r="O33" s="238">
        <v>701</v>
      </c>
    </row>
    <row r="34" spans="1:15" x14ac:dyDescent="0.25">
      <c r="A34" s="230" t="s">
        <v>752</v>
      </c>
      <c r="B34" s="207" t="s">
        <v>3</v>
      </c>
      <c r="C34" s="208" t="s">
        <v>528</v>
      </c>
      <c r="D34" s="208" t="s">
        <v>403</v>
      </c>
      <c r="E34" s="208" t="s">
        <v>852</v>
      </c>
      <c r="F34" s="209" t="s">
        <v>2</v>
      </c>
      <c r="G34" s="209" t="s">
        <v>219</v>
      </c>
      <c r="H34" s="209" t="s">
        <v>646</v>
      </c>
      <c r="I34" s="210">
        <v>27834</v>
      </c>
      <c r="J34" s="211">
        <v>42</v>
      </c>
      <c r="L34" s="236">
        <v>33</v>
      </c>
      <c r="M34" s="237">
        <v>254</v>
      </c>
      <c r="N34" s="237">
        <v>492</v>
      </c>
      <c r="O34" s="238">
        <v>702</v>
      </c>
    </row>
    <row r="35" spans="1:15" x14ac:dyDescent="0.25">
      <c r="A35" s="230" t="s">
        <v>689</v>
      </c>
      <c r="B35" s="209" t="s">
        <v>154</v>
      </c>
      <c r="C35" s="208" t="s">
        <v>1144</v>
      </c>
      <c r="D35" s="208" t="s">
        <v>409</v>
      </c>
      <c r="E35" s="208" t="s">
        <v>408</v>
      </c>
      <c r="F35" s="209" t="s">
        <v>2</v>
      </c>
      <c r="G35" s="209" t="s">
        <v>1163</v>
      </c>
      <c r="H35" s="209" t="s">
        <v>646</v>
      </c>
      <c r="I35" s="210">
        <v>20495</v>
      </c>
      <c r="J35" s="211">
        <v>62</v>
      </c>
      <c r="L35" s="236">
        <v>34</v>
      </c>
      <c r="M35" s="237">
        <v>255</v>
      </c>
      <c r="N35" s="237">
        <v>493</v>
      </c>
      <c r="O35" s="238">
        <v>703</v>
      </c>
    </row>
    <row r="36" spans="1:15" x14ac:dyDescent="0.25">
      <c r="A36" s="230" t="s">
        <v>1469</v>
      </c>
      <c r="B36" s="207" t="s">
        <v>3</v>
      </c>
      <c r="C36" s="208" t="s">
        <v>1470</v>
      </c>
      <c r="D36" s="208" t="s">
        <v>1471</v>
      </c>
      <c r="E36" s="208" t="s">
        <v>132</v>
      </c>
      <c r="F36" s="209" t="s">
        <v>2</v>
      </c>
      <c r="G36" s="209" t="s">
        <v>1472</v>
      </c>
      <c r="H36" s="209" t="s">
        <v>665</v>
      </c>
      <c r="I36" s="210">
        <v>35469</v>
      </c>
      <c r="J36" s="211">
        <v>21</v>
      </c>
      <c r="L36" s="236">
        <v>35</v>
      </c>
      <c r="M36" s="237">
        <v>256</v>
      </c>
      <c r="N36" s="237">
        <v>494</v>
      </c>
      <c r="O36" s="238">
        <v>704</v>
      </c>
    </row>
    <row r="37" spans="1:15" x14ac:dyDescent="0.25">
      <c r="A37" s="230" t="s">
        <v>734</v>
      </c>
      <c r="B37" s="207" t="s">
        <v>816</v>
      </c>
      <c r="C37" s="208" t="s">
        <v>1129</v>
      </c>
      <c r="D37" s="208" t="s">
        <v>904</v>
      </c>
      <c r="E37" s="208" t="s">
        <v>907</v>
      </c>
      <c r="F37" s="209" t="s">
        <v>2</v>
      </c>
      <c r="G37" s="209" t="s">
        <v>231</v>
      </c>
      <c r="H37" s="209" t="s">
        <v>646</v>
      </c>
      <c r="I37" s="210">
        <v>23701</v>
      </c>
      <c r="J37" s="211">
        <v>54</v>
      </c>
      <c r="L37" s="236">
        <v>36</v>
      </c>
      <c r="M37" s="237">
        <v>257</v>
      </c>
      <c r="N37" s="237">
        <v>495</v>
      </c>
      <c r="O37" s="238">
        <v>705</v>
      </c>
    </row>
    <row r="38" spans="1:15" x14ac:dyDescent="0.25">
      <c r="A38" s="230" t="s">
        <v>735</v>
      </c>
      <c r="B38" s="207" t="s">
        <v>816</v>
      </c>
      <c r="C38" s="208" t="s">
        <v>1135</v>
      </c>
      <c r="D38" s="208" t="s">
        <v>904</v>
      </c>
      <c r="E38" s="208" t="s">
        <v>907</v>
      </c>
      <c r="F38" s="209" t="s">
        <v>2</v>
      </c>
      <c r="G38" s="209" t="s">
        <v>230</v>
      </c>
      <c r="H38" s="209" t="s">
        <v>646</v>
      </c>
      <c r="I38" s="210">
        <v>23098</v>
      </c>
      <c r="J38" s="211">
        <v>55</v>
      </c>
      <c r="L38" s="236">
        <v>37</v>
      </c>
      <c r="M38" s="237">
        <v>258</v>
      </c>
      <c r="N38" s="237">
        <v>496</v>
      </c>
      <c r="O38" s="238">
        <v>706</v>
      </c>
    </row>
    <row r="39" spans="1:15" x14ac:dyDescent="0.25">
      <c r="A39" s="230" t="s">
        <v>599</v>
      </c>
      <c r="B39" s="209" t="s">
        <v>154</v>
      </c>
      <c r="C39" s="208" t="s">
        <v>512</v>
      </c>
      <c r="D39" s="208" t="s">
        <v>560</v>
      </c>
      <c r="E39" s="208" t="s">
        <v>1146</v>
      </c>
      <c r="F39" s="209" t="s">
        <v>2</v>
      </c>
      <c r="G39" s="209" t="s">
        <v>568</v>
      </c>
      <c r="H39" s="209" t="s">
        <v>665</v>
      </c>
      <c r="I39" s="210">
        <v>26314</v>
      </c>
      <c r="J39" s="211">
        <v>46</v>
      </c>
      <c r="L39" s="236">
        <v>38</v>
      </c>
      <c r="M39" s="237">
        <v>259</v>
      </c>
      <c r="N39" s="237">
        <v>497</v>
      </c>
      <c r="O39" s="238">
        <v>707</v>
      </c>
    </row>
    <row r="40" spans="1:15" x14ac:dyDescent="0.25">
      <c r="A40" s="230" t="s">
        <v>601</v>
      </c>
      <c r="B40" s="207" t="s">
        <v>815</v>
      </c>
      <c r="C40" s="208" t="s">
        <v>561</v>
      </c>
      <c r="D40" s="208" t="s">
        <v>560</v>
      </c>
      <c r="E40" s="208" t="s">
        <v>559</v>
      </c>
      <c r="F40" s="209" t="s">
        <v>2</v>
      </c>
      <c r="G40" s="209" t="s">
        <v>558</v>
      </c>
      <c r="H40" s="209" t="s">
        <v>646</v>
      </c>
      <c r="I40" s="210">
        <v>37908</v>
      </c>
      <c r="J40" s="211">
        <v>15</v>
      </c>
      <c r="L40" s="236">
        <v>39</v>
      </c>
      <c r="M40" s="237">
        <v>260</v>
      </c>
      <c r="N40" s="237">
        <v>498</v>
      </c>
      <c r="O40" s="238">
        <v>708</v>
      </c>
    </row>
    <row r="41" spans="1:15" x14ac:dyDescent="0.25">
      <c r="A41" s="230" t="s">
        <v>684</v>
      </c>
      <c r="B41" s="209" t="s">
        <v>3</v>
      </c>
      <c r="C41" s="208" t="s">
        <v>512</v>
      </c>
      <c r="D41" s="208" t="s">
        <v>679</v>
      </c>
      <c r="E41" s="208" t="s">
        <v>680</v>
      </c>
      <c r="F41" s="209" t="s">
        <v>2</v>
      </c>
      <c r="G41" s="209" t="s">
        <v>681</v>
      </c>
      <c r="H41" s="209" t="s">
        <v>665</v>
      </c>
      <c r="I41" s="210">
        <v>31231</v>
      </c>
      <c r="J41" s="211">
        <v>33</v>
      </c>
      <c r="L41" s="236">
        <v>40</v>
      </c>
      <c r="M41" s="237">
        <v>261</v>
      </c>
      <c r="N41" s="237">
        <v>499</v>
      </c>
      <c r="O41" s="238">
        <v>709</v>
      </c>
    </row>
    <row r="42" spans="1:15" x14ac:dyDescent="0.25">
      <c r="A42" s="230" t="s">
        <v>615</v>
      </c>
      <c r="B42" s="209" t="s">
        <v>43</v>
      </c>
      <c r="C42" s="208" t="s">
        <v>523</v>
      </c>
      <c r="D42" s="208" t="s">
        <v>118</v>
      </c>
      <c r="E42" s="208" t="s">
        <v>132</v>
      </c>
      <c r="F42" s="209" t="s">
        <v>2</v>
      </c>
      <c r="G42" s="209" t="s">
        <v>522</v>
      </c>
      <c r="H42" s="209" t="s">
        <v>646</v>
      </c>
      <c r="I42" s="210">
        <v>28242</v>
      </c>
      <c r="J42" s="211">
        <v>41</v>
      </c>
      <c r="L42" s="236">
        <v>41</v>
      </c>
      <c r="M42" s="237">
        <v>262</v>
      </c>
      <c r="N42" s="237">
        <v>500</v>
      </c>
      <c r="O42" s="238">
        <v>710</v>
      </c>
    </row>
    <row r="43" spans="1:15" x14ac:dyDescent="0.25">
      <c r="A43" s="230" t="s">
        <v>777</v>
      </c>
      <c r="B43" s="207" t="s">
        <v>3</v>
      </c>
      <c r="C43" s="208" t="s">
        <v>119</v>
      </c>
      <c r="D43" s="208" t="s">
        <v>118</v>
      </c>
      <c r="E43" s="208" t="s">
        <v>1146</v>
      </c>
      <c r="F43" s="209" t="s">
        <v>2</v>
      </c>
      <c r="G43" s="209" t="s">
        <v>1166</v>
      </c>
      <c r="H43" s="209" t="s">
        <v>665</v>
      </c>
      <c r="I43" s="210">
        <v>26061</v>
      </c>
      <c r="J43" s="211">
        <v>47</v>
      </c>
      <c r="L43" s="236">
        <v>42</v>
      </c>
      <c r="M43" s="237">
        <v>263</v>
      </c>
      <c r="N43" s="237">
        <v>501</v>
      </c>
      <c r="O43" s="238">
        <v>711</v>
      </c>
    </row>
    <row r="44" spans="1:15" x14ac:dyDescent="0.25">
      <c r="A44" s="230" t="s">
        <v>713</v>
      </c>
      <c r="B44" s="209" t="s">
        <v>43</v>
      </c>
      <c r="C44" s="208" t="s">
        <v>324</v>
      </c>
      <c r="D44" s="208" t="s">
        <v>118</v>
      </c>
      <c r="E44" s="208" t="s">
        <v>323</v>
      </c>
      <c r="F44" s="209"/>
      <c r="G44" s="209" t="s">
        <v>322</v>
      </c>
      <c r="H44" s="209" t="s">
        <v>665</v>
      </c>
      <c r="I44" s="210">
        <v>17551</v>
      </c>
      <c r="J44" s="211">
        <v>70</v>
      </c>
      <c r="L44" s="236">
        <v>43</v>
      </c>
      <c r="M44" s="237">
        <v>264</v>
      </c>
      <c r="N44" s="237">
        <v>502</v>
      </c>
      <c r="O44" s="238">
        <v>712</v>
      </c>
    </row>
    <row r="45" spans="1:15" x14ac:dyDescent="0.25">
      <c r="A45" s="230" t="s">
        <v>572</v>
      </c>
      <c r="B45" s="209" t="s">
        <v>43</v>
      </c>
      <c r="C45" s="208" t="s">
        <v>1135</v>
      </c>
      <c r="D45" s="208" t="s">
        <v>847</v>
      </c>
      <c r="E45" s="208" t="s">
        <v>848</v>
      </c>
      <c r="F45" s="209" t="s">
        <v>2</v>
      </c>
      <c r="G45" s="209" t="s">
        <v>575</v>
      </c>
      <c r="H45" s="209" t="s">
        <v>646</v>
      </c>
      <c r="I45" s="210">
        <v>29128</v>
      </c>
      <c r="J45" s="211">
        <v>39</v>
      </c>
      <c r="L45" s="236">
        <v>44</v>
      </c>
      <c r="M45" s="237">
        <v>265</v>
      </c>
      <c r="N45" s="237">
        <v>503</v>
      </c>
      <c r="O45" s="238">
        <v>713</v>
      </c>
    </row>
    <row r="46" spans="1:15" x14ac:dyDescent="0.25">
      <c r="A46" s="230" t="s">
        <v>604</v>
      </c>
      <c r="B46" s="209" t="s">
        <v>43</v>
      </c>
      <c r="C46" s="208" t="s">
        <v>1137</v>
      </c>
      <c r="D46" s="208" t="s">
        <v>551</v>
      </c>
      <c r="E46" s="208" t="s">
        <v>550</v>
      </c>
      <c r="F46" s="209" t="s">
        <v>2</v>
      </c>
      <c r="G46" s="209" t="s">
        <v>549</v>
      </c>
      <c r="H46" s="209" t="s">
        <v>646</v>
      </c>
      <c r="I46" s="210">
        <v>21093</v>
      </c>
      <c r="J46" s="211">
        <v>61</v>
      </c>
      <c r="L46" s="236">
        <v>45</v>
      </c>
      <c r="M46" s="237">
        <v>266</v>
      </c>
      <c r="N46" s="237">
        <v>504</v>
      </c>
      <c r="O46" s="238">
        <v>714</v>
      </c>
    </row>
    <row r="47" spans="1:15" x14ac:dyDescent="0.25">
      <c r="A47" s="230" t="s">
        <v>185</v>
      </c>
      <c r="B47" s="209" t="s">
        <v>3</v>
      </c>
      <c r="C47" s="208" t="s">
        <v>1126</v>
      </c>
      <c r="D47" s="208" t="s">
        <v>1148</v>
      </c>
      <c r="E47" s="208" t="s">
        <v>63</v>
      </c>
      <c r="F47" s="209" t="s">
        <v>2</v>
      </c>
      <c r="G47" s="209" t="s">
        <v>187</v>
      </c>
      <c r="H47" s="209" t="s">
        <v>665</v>
      </c>
      <c r="I47" s="210">
        <v>28670</v>
      </c>
      <c r="J47" s="211">
        <v>40</v>
      </c>
      <c r="L47" s="236">
        <v>46</v>
      </c>
      <c r="M47" s="237">
        <v>267</v>
      </c>
      <c r="N47" s="237">
        <v>505</v>
      </c>
      <c r="O47" s="238">
        <v>715</v>
      </c>
    </row>
    <row r="48" spans="1:15" x14ac:dyDescent="0.25">
      <c r="A48" s="230" t="s">
        <v>583</v>
      </c>
      <c r="B48" s="207" t="s">
        <v>815</v>
      </c>
      <c r="C48" s="208" t="s">
        <v>436</v>
      </c>
      <c r="D48" s="208" t="s">
        <v>1148</v>
      </c>
      <c r="E48" s="208" t="s">
        <v>434</v>
      </c>
      <c r="F48" s="209" t="s">
        <v>2</v>
      </c>
      <c r="G48" s="209" t="s">
        <v>435</v>
      </c>
      <c r="H48" s="209" t="s">
        <v>665</v>
      </c>
      <c r="I48" s="210">
        <v>42435</v>
      </c>
      <c r="J48" s="211">
        <v>2</v>
      </c>
      <c r="L48" s="236">
        <v>47</v>
      </c>
      <c r="M48" s="237">
        <v>268</v>
      </c>
      <c r="N48" s="237">
        <v>506</v>
      </c>
      <c r="O48" s="238">
        <v>716</v>
      </c>
    </row>
    <row r="49" spans="1:15" x14ac:dyDescent="0.25">
      <c r="A49" s="230" t="s">
        <v>593</v>
      </c>
      <c r="B49" s="207" t="s">
        <v>815</v>
      </c>
      <c r="C49" s="208" t="s">
        <v>287</v>
      </c>
      <c r="D49" s="208" t="s">
        <v>1148</v>
      </c>
      <c r="E49" s="208" t="s">
        <v>434</v>
      </c>
      <c r="F49" s="209" t="s">
        <v>2</v>
      </c>
      <c r="G49" s="209"/>
      <c r="H49" s="209" t="s">
        <v>665</v>
      </c>
      <c r="I49" s="210">
        <v>42849</v>
      </c>
      <c r="J49" s="211">
        <v>1</v>
      </c>
      <c r="L49" s="236">
        <v>48</v>
      </c>
      <c r="M49" s="237">
        <v>269</v>
      </c>
      <c r="N49" s="237">
        <v>507</v>
      </c>
      <c r="O49" s="238">
        <v>717</v>
      </c>
    </row>
    <row r="50" spans="1:15" x14ac:dyDescent="0.25">
      <c r="A50" s="230" t="s">
        <v>702</v>
      </c>
      <c r="B50" s="209" t="s">
        <v>3</v>
      </c>
      <c r="C50" s="208" t="s">
        <v>355</v>
      </c>
      <c r="D50" s="208" t="s">
        <v>354</v>
      </c>
      <c r="E50" s="208" t="s">
        <v>353</v>
      </c>
      <c r="F50" s="209" t="s">
        <v>2</v>
      </c>
      <c r="G50" s="209" t="s">
        <v>352</v>
      </c>
      <c r="H50" s="209" t="s">
        <v>646</v>
      </c>
      <c r="I50" s="210">
        <v>20908</v>
      </c>
      <c r="J50" s="211">
        <v>61</v>
      </c>
      <c r="L50" s="236">
        <v>49</v>
      </c>
      <c r="M50" s="237">
        <v>270</v>
      </c>
      <c r="N50" s="237">
        <v>508</v>
      </c>
      <c r="O50" s="238">
        <v>718</v>
      </c>
    </row>
    <row r="51" spans="1:15" x14ac:dyDescent="0.25">
      <c r="A51" s="230" t="s">
        <v>644</v>
      </c>
      <c r="B51" s="207" t="s">
        <v>815</v>
      </c>
      <c r="C51" s="208" t="s">
        <v>447</v>
      </c>
      <c r="D51" s="208" t="s">
        <v>445</v>
      </c>
      <c r="E51" s="208" t="s">
        <v>444</v>
      </c>
      <c r="F51" s="209"/>
      <c r="G51" s="209"/>
      <c r="H51" s="209" t="s">
        <v>665</v>
      </c>
      <c r="I51" s="210">
        <v>37414</v>
      </c>
      <c r="J51" s="211">
        <v>16</v>
      </c>
      <c r="L51" s="236">
        <v>50</v>
      </c>
      <c r="M51" s="237">
        <v>271</v>
      </c>
      <c r="N51" s="237">
        <v>509</v>
      </c>
      <c r="O51" s="238">
        <v>719</v>
      </c>
    </row>
    <row r="52" spans="1:15" x14ac:dyDescent="0.25">
      <c r="A52" s="230" t="s">
        <v>645</v>
      </c>
      <c r="B52" s="207" t="s">
        <v>815</v>
      </c>
      <c r="C52" s="208" t="s">
        <v>446</v>
      </c>
      <c r="D52" s="208" t="s">
        <v>445</v>
      </c>
      <c r="E52" s="208" t="s">
        <v>444</v>
      </c>
      <c r="F52" s="209"/>
      <c r="G52" s="209"/>
      <c r="H52" s="209" t="s">
        <v>665</v>
      </c>
      <c r="I52" s="210">
        <v>38851</v>
      </c>
      <c r="J52" s="211">
        <v>12</v>
      </c>
      <c r="L52" s="236">
        <v>51</v>
      </c>
      <c r="M52" s="237">
        <v>272</v>
      </c>
      <c r="N52" s="237">
        <v>510</v>
      </c>
      <c r="O52" s="238">
        <v>720</v>
      </c>
    </row>
    <row r="53" spans="1:15" x14ac:dyDescent="0.25">
      <c r="A53" s="230" t="s">
        <v>643</v>
      </c>
      <c r="B53" s="209" t="s">
        <v>43</v>
      </c>
      <c r="C53" s="208" t="s">
        <v>486</v>
      </c>
      <c r="D53" s="208" t="s">
        <v>445</v>
      </c>
      <c r="E53" s="208"/>
      <c r="F53" s="209" t="s">
        <v>451</v>
      </c>
      <c r="G53" s="209" t="s">
        <v>485</v>
      </c>
      <c r="H53" s="209" t="s">
        <v>646</v>
      </c>
      <c r="I53" s="210">
        <v>29816</v>
      </c>
      <c r="J53" s="211">
        <v>37</v>
      </c>
      <c r="L53" s="236">
        <v>52</v>
      </c>
      <c r="M53" s="237">
        <v>273</v>
      </c>
      <c r="N53" s="237">
        <v>511</v>
      </c>
      <c r="O53" s="238">
        <v>721</v>
      </c>
    </row>
    <row r="54" spans="1:15" x14ac:dyDescent="0.25">
      <c r="A54" s="230" t="s">
        <v>796</v>
      </c>
      <c r="B54" s="209" t="s">
        <v>43</v>
      </c>
      <c r="C54" s="208" t="s">
        <v>1106</v>
      </c>
      <c r="D54" s="208" t="s">
        <v>1107</v>
      </c>
      <c r="E54" s="208" t="s">
        <v>132</v>
      </c>
      <c r="F54" s="209" t="s">
        <v>2</v>
      </c>
      <c r="G54" s="209" t="s">
        <v>48</v>
      </c>
      <c r="H54" s="209" t="s">
        <v>646</v>
      </c>
      <c r="I54" s="210">
        <v>29976</v>
      </c>
      <c r="J54" s="211">
        <v>36</v>
      </c>
      <c r="L54" s="236">
        <v>53</v>
      </c>
      <c r="M54" s="237">
        <v>274</v>
      </c>
      <c r="N54" s="237">
        <v>512</v>
      </c>
      <c r="O54" s="238">
        <v>722</v>
      </c>
    </row>
    <row r="55" spans="1:15" x14ac:dyDescent="0.25">
      <c r="A55" s="230" t="s">
        <v>653</v>
      </c>
      <c r="B55" s="209" t="s">
        <v>43</v>
      </c>
      <c r="C55" s="208" t="s">
        <v>934</v>
      </c>
      <c r="D55" s="208" t="s">
        <v>935</v>
      </c>
      <c r="E55" s="208" t="s">
        <v>936</v>
      </c>
      <c r="F55" s="209" t="s">
        <v>2</v>
      </c>
      <c r="G55" s="209" t="s">
        <v>468</v>
      </c>
      <c r="H55" s="209" t="s">
        <v>646</v>
      </c>
      <c r="I55" s="210">
        <v>32461</v>
      </c>
      <c r="J55" s="211">
        <v>30</v>
      </c>
      <c r="L55" s="236">
        <v>54</v>
      </c>
      <c r="M55" s="237">
        <v>275</v>
      </c>
      <c r="N55" s="237">
        <v>513</v>
      </c>
      <c r="O55" s="238">
        <v>723</v>
      </c>
    </row>
    <row r="56" spans="1:15" x14ac:dyDescent="0.25">
      <c r="A56" s="230" t="s">
        <v>678</v>
      </c>
      <c r="B56" s="209" t="s">
        <v>3</v>
      </c>
      <c r="C56" s="208" t="s">
        <v>673</v>
      </c>
      <c r="D56" s="208" t="s">
        <v>674</v>
      </c>
      <c r="E56" s="208" t="s">
        <v>1149</v>
      </c>
      <c r="F56" s="209" t="s">
        <v>2</v>
      </c>
      <c r="G56" s="209" t="s">
        <v>675</v>
      </c>
      <c r="H56" s="209" t="s">
        <v>665</v>
      </c>
      <c r="I56" s="210">
        <v>27377</v>
      </c>
      <c r="J56" s="211">
        <v>44</v>
      </c>
      <c r="L56" s="236">
        <v>55</v>
      </c>
      <c r="M56" s="237">
        <v>276</v>
      </c>
      <c r="N56" s="237">
        <v>514</v>
      </c>
      <c r="O56" s="238">
        <v>724</v>
      </c>
    </row>
    <row r="57" spans="1:15" x14ac:dyDescent="0.25">
      <c r="A57" s="230" t="s">
        <v>635</v>
      </c>
      <c r="B57" s="209" t="s">
        <v>3</v>
      </c>
      <c r="C57" s="208" t="s">
        <v>903</v>
      </c>
      <c r="D57" s="208" t="s">
        <v>396</v>
      </c>
      <c r="E57" s="208" t="s">
        <v>904</v>
      </c>
      <c r="F57" s="209" t="s">
        <v>2</v>
      </c>
      <c r="G57" s="209" t="s">
        <v>232</v>
      </c>
      <c r="H57" s="209" t="s">
        <v>665</v>
      </c>
      <c r="I57" s="210">
        <v>32014</v>
      </c>
      <c r="J57" s="211">
        <v>31</v>
      </c>
      <c r="L57" s="236">
        <v>56</v>
      </c>
      <c r="M57" s="237">
        <v>277</v>
      </c>
      <c r="N57" s="237">
        <v>515</v>
      </c>
      <c r="O57" s="238">
        <v>725</v>
      </c>
    </row>
    <row r="58" spans="1:15" x14ac:dyDescent="0.25">
      <c r="A58" s="230" t="s">
        <v>1747</v>
      </c>
      <c r="B58" s="207" t="s">
        <v>3</v>
      </c>
      <c r="C58" s="212" t="s">
        <v>1748</v>
      </c>
      <c r="D58" s="212" t="s">
        <v>396</v>
      </c>
      <c r="E58" s="212" t="s">
        <v>1749</v>
      </c>
      <c r="F58" s="209" t="s">
        <v>2</v>
      </c>
      <c r="G58" s="213" t="s">
        <v>1752</v>
      </c>
      <c r="H58" s="213" t="s">
        <v>646</v>
      </c>
      <c r="I58" s="214">
        <v>25960</v>
      </c>
      <c r="J58" s="211">
        <v>47</v>
      </c>
      <c r="L58" s="236">
        <v>57</v>
      </c>
      <c r="M58" s="237">
        <v>278</v>
      </c>
      <c r="N58" s="237">
        <v>516</v>
      </c>
      <c r="O58" s="238">
        <v>726</v>
      </c>
    </row>
    <row r="59" spans="1:15" x14ac:dyDescent="0.25">
      <c r="A59" s="230" t="s">
        <v>697</v>
      </c>
      <c r="B59" s="209" t="s">
        <v>43</v>
      </c>
      <c r="C59" s="208" t="s">
        <v>376</v>
      </c>
      <c r="D59" s="208" t="s">
        <v>396</v>
      </c>
      <c r="E59" s="208" t="s">
        <v>375</v>
      </c>
      <c r="F59" s="209"/>
      <c r="G59" s="209" t="s">
        <v>374</v>
      </c>
      <c r="H59" s="209" t="s">
        <v>646</v>
      </c>
      <c r="I59" s="210">
        <v>25404</v>
      </c>
      <c r="J59" s="211">
        <v>49</v>
      </c>
      <c r="L59" s="236">
        <v>58</v>
      </c>
      <c r="M59" s="237">
        <v>279</v>
      </c>
      <c r="N59" s="237">
        <v>517</v>
      </c>
      <c r="O59" s="238">
        <v>727</v>
      </c>
    </row>
    <row r="60" spans="1:15" x14ac:dyDescent="0.25">
      <c r="A60" s="230" t="s">
        <v>700</v>
      </c>
      <c r="B60" s="209" t="s">
        <v>154</v>
      </c>
      <c r="C60" s="208" t="s">
        <v>367</v>
      </c>
      <c r="D60" s="208" t="s">
        <v>396</v>
      </c>
      <c r="E60" s="208" t="s">
        <v>366</v>
      </c>
      <c r="F60" s="209" t="s">
        <v>2</v>
      </c>
      <c r="G60" s="209" t="s">
        <v>365</v>
      </c>
      <c r="H60" s="209" t="s">
        <v>665</v>
      </c>
      <c r="I60" s="210">
        <v>42232</v>
      </c>
      <c r="J60" s="211">
        <v>3</v>
      </c>
      <c r="L60" s="236">
        <v>59</v>
      </c>
      <c r="M60" s="237">
        <v>280</v>
      </c>
      <c r="N60" s="237">
        <v>518</v>
      </c>
      <c r="O60" s="238">
        <v>728</v>
      </c>
    </row>
    <row r="61" spans="1:15" x14ac:dyDescent="0.25">
      <c r="A61" s="230" t="s">
        <v>718</v>
      </c>
      <c r="B61" s="209" t="s">
        <v>154</v>
      </c>
      <c r="C61" s="208" t="s">
        <v>1007</v>
      </c>
      <c r="D61" s="208" t="s">
        <v>396</v>
      </c>
      <c r="E61" s="208" t="s">
        <v>913</v>
      </c>
      <c r="F61" s="209" t="s">
        <v>2</v>
      </c>
      <c r="G61" s="209" t="s">
        <v>1008</v>
      </c>
      <c r="H61" s="209" t="s">
        <v>665</v>
      </c>
      <c r="I61" s="210">
        <v>28157</v>
      </c>
      <c r="J61" s="211">
        <v>41</v>
      </c>
      <c r="L61" s="236">
        <v>60</v>
      </c>
      <c r="M61" s="237">
        <v>281</v>
      </c>
      <c r="N61" s="237">
        <v>519</v>
      </c>
      <c r="O61" s="238">
        <v>729</v>
      </c>
    </row>
    <row r="62" spans="1:15" x14ac:dyDescent="0.25">
      <c r="A62" s="230" t="s">
        <v>661</v>
      </c>
      <c r="B62" s="209" t="s">
        <v>3</v>
      </c>
      <c r="C62" s="208" t="s">
        <v>876</v>
      </c>
      <c r="D62" s="208" t="s">
        <v>951</v>
      </c>
      <c r="E62" s="208" t="s">
        <v>21</v>
      </c>
      <c r="F62" s="209" t="s">
        <v>2</v>
      </c>
      <c r="G62" s="209" t="s">
        <v>425</v>
      </c>
      <c r="H62" s="209" t="s">
        <v>665</v>
      </c>
      <c r="I62" s="210">
        <v>27612</v>
      </c>
      <c r="J62" s="211">
        <v>43</v>
      </c>
      <c r="L62" s="236">
        <v>61</v>
      </c>
      <c r="M62" s="237">
        <v>282</v>
      </c>
      <c r="N62" s="237">
        <v>520</v>
      </c>
      <c r="O62" s="238">
        <v>730</v>
      </c>
    </row>
    <row r="63" spans="1:15" x14ac:dyDescent="0.25">
      <c r="A63" s="230" t="s">
        <v>802</v>
      </c>
      <c r="B63" s="207" t="s">
        <v>3</v>
      </c>
      <c r="C63" s="208" t="s">
        <v>22</v>
      </c>
      <c r="D63" s="208" t="s">
        <v>951</v>
      </c>
      <c r="E63" s="208" t="s">
        <v>21</v>
      </c>
      <c r="F63" s="209" t="s">
        <v>2</v>
      </c>
      <c r="G63" s="209" t="s">
        <v>20</v>
      </c>
      <c r="H63" s="209" t="s">
        <v>665</v>
      </c>
      <c r="I63" s="210">
        <v>26821</v>
      </c>
      <c r="J63" s="211">
        <v>45</v>
      </c>
      <c r="L63" s="236">
        <v>62</v>
      </c>
      <c r="M63" s="237">
        <v>283</v>
      </c>
      <c r="N63" s="237">
        <v>521</v>
      </c>
      <c r="O63" s="238">
        <v>731</v>
      </c>
    </row>
    <row r="64" spans="1:15" x14ac:dyDescent="0.25">
      <c r="A64" s="230" t="s">
        <v>1278</v>
      </c>
      <c r="B64" s="207" t="s">
        <v>815</v>
      </c>
      <c r="C64" s="208" t="s">
        <v>1279</v>
      </c>
      <c r="D64" s="208" t="s">
        <v>951</v>
      </c>
      <c r="E64" s="208" t="s">
        <v>956</v>
      </c>
      <c r="F64" s="209" t="s">
        <v>2</v>
      </c>
      <c r="G64" s="209" t="s">
        <v>1280</v>
      </c>
      <c r="H64" s="209" t="s">
        <v>646</v>
      </c>
      <c r="I64" s="210">
        <v>40391</v>
      </c>
      <c r="J64" s="211">
        <v>8</v>
      </c>
      <c r="L64" s="236">
        <v>63</v>
      </c>
      <c r="M64" s="237">
        <v>284</v>
      </c>
      <c r="N64" s="237">
        <v>522</v>
      </c>
      <c r="O64" s="238">
        <v>732</v>
      </c>
    </row>
    <row r="65" spans="1:15" x14ac:dyDescent="0.25">
      <c r="A65" s="230" t="s">
        <v>692</v>
      </c>
      <c r="B65" s="209" t="s">
        <v>43</v>
      </c>
      <c r="C65" s="208" t="s">
        <v>391</v>
      </c>
      <c r="D65" s="208" t="s">
        <v>390</v>
      </c>
      <c r="E65" s="208" t="s">
        <v>389</v>
      </c>
      <c r="F65" s="209"/>
      <c r="G65" s="209"/>
      <c r="H65" s="209" t="s">
        <v>665</v>
      </c>
      <c r="I65" s="210">
        <v>29754</v>
      </c>
      <c r="J65" s="211">
        <v>37</v>
      </c>
      <c r="L65" s="236">
        <v>64</v>
      </c>
      <c r="M65" s="237">
        <v>285</v>
      </c>
      <c r="N65" s="237">
        <v>523</v>
      </c>
      <c r="O65" s="238">
        <v>733</v>
      </c>
    </row>
    <row r="66" spans="1:15" x14ac:dyDescent="0.25">
      <c r="A66" s="230" t="s">
        <v>690</v>
      </c>
      <c r="B66" s="209" t="s">
        <v>154</v>
      </c>
      <c r="C66" s="208" t="s">
        <v>404</v>
      </c>
      <c r="D66" s="208" t="s">
        <v>63</v>
      </c>
      <c r="E66" s="208" t="s">
        <v>403</v>
      </c>
      <c r="F66" s="209" t="s">
        <v>2</v>
      </c>
      <c r="G66" s="209" t="s">
        <v>402</v>
      </c>
      <c r="H66" s="209" t="s">
        <v>646</v>
      </c>
      <c r="I66" s="210">
        <v>29561</v>
      </c>
      <c r="J66" s="211">
        <v>38</v>
      </c>
      <c r="L66" s="236">
        <v>65</v>
      </c>
      <c r="M66" s="237">
        <v>286</v>
      </c>
      <c r="N66" s="237">
        <v>524</v>
      </c>
      <c r="O66" s="238">
        <v>734</v>
      </c>
    </row>
    <row r="67" spans="1:15" x14ac:dyDescent="0.25">
      <c r="A67" s="230" t="s">
        <v>1692</v>
      </c>
      <c r="B67" s="209" t="s">
        <v>43</v>
      </c>
      <c r="C67" s="212" t="s">
        <v>1695</v>
      </c>
      <c r="D67" s="212" t="s">
        <v>63</v>
      </c>
      <c r="E67" s="212" t="s">
        <v>54</v>
      </c>
      <c r="F67" s="209" t="s">
        <v>2</v>
      </c>
      <c r="G67" s="213" t="s">
        <v>1699</v>
      </c>
      <c r="H67" s="213" t="s">
        <v>646</v>
      </c>
      <c r="I67" s="214">
        <v>29449</v>
      </c>
      <c r="J67" s="211">
        <v>38</v>
      </c>
      <c r="L67" s="236">
        <v>66</v>
      </c>
      <c r="M67" s="237">
        <v>287</v>
      </c>
      <c r="N67" s="237">
        <v>525</v>
      </c>
      <c r="O67" s="238">
        <v>735</v>
      </c>
    </row>
    <row r="68" spans="1:15" x14ac:dyDescent="0.25">
      <c r="A68" s="230" t="s">
        <v>763</v>
      </c>
      <c r="B68" s="209" t="s">
        <v>43</v>
      </c>
      <c r="C68" s="208" t="s">
        <v>190</v>
      </c>
      <c r="D68" s="208" t="s">
        <v>63</v>
      </c>
      <c r="E68" s="208" t="s">
        <v>189</v>
      </c>
      <c r="F68" s="209" t="s">
        <v>2</v>
      </c>
      <c r="G68" s="209" t="s">
        <v>188</v>
      </c>
      <c r="H68" s="209" t="s">
        <v>646</v>
      </c>
      <c r="I68" s="210">
        <v>24789</v>
      </c>
      <c r="J68" s="211">
        <v>51</v>
      </c>
      <c r="L68" s="236">
        <v>67</v>
      </c>
      <c r="M68" s="237">
        <v>288</v>
      </c>
      <c r="N68" s="237">
        <v>526</v>
      </c>
      <c r="O68" s="238">
        <v>736</v>
      </c>
    </row>
    <row r="69" spans="1:15" x14ac:dyDescent="0.25">
      <c r="A69" s="230" t="s">
        <v>51</v>
      </c>
      <c r="B69" s="207" t="s">
        <v>818</v>
      </c>
      <c r="C69" s="208" t="s">
        <v>182</v>
      </c>
      <c r="D69" s="208" t="s">
        <v>63</v>
      </c>
      <c r="E69" s="208" t="s">
        <v>63</v>
      </c>
      <c r="F69" s="209" t="s">
        <v>2</v>
      </c>
      <c r="G69" s="209" t="s">
        <v>181</v>
      </c>
      <c r="H69" s="209" t="s">
        <v>646</v>
      </c>
      <c r="I69" s="210">
        <v>19887</v>
      </c>
      <c r="J69" s="211">
        <v>64</v>
      </c>
      <c r="L69" s="236">
        <v>68</v>
      </c>
      <c r="M69" s="237">
        <v>289</v>
      </c>
      <c r="N69" s="237">
        <v>527</v>
      </c>
      <c r="O69" s="238">
        <v>737</v>
      </c>
    </row>
    <row r="70" spans="1:15" x14ac:dyDescent="0.25">
      <c r="A70" s="230" t="s">
        <v>638</v>
      </c>
      <c r="B70" s="209" t="s">
        <v>43</v>
      </c>
      <c r="C70" s="208" t="s">
        <v>917</v>
      </c>
      <c r="D70" s="208" t="s">
        <v>63</v>
      </c>
      <c r="E70" s="208" t="s">
        <v>63</v>
      </c>
      <c r="F70" s="209" t="s">
        <v>2</v>
      </c>
      <c r="G70" s="209" t="s">
        <v>489</v>
      </c>
      <c r="H70" s="209" t="s">
        <v>646</v>
      </c>
      <c r="I70" s="210">
        <v>30611</v>
      </c>
      <c r="J70" s="211">
        <v>35</v>
      </c>
      <c r="L70" s="236">
        <v>69</v>
      </c>
      <c r="M70" s="237">
        <v>290</v>
      </c>
      <c r="N70" s="237">
        <v>528</v>
      </c>
      <c r="O70" s="238">
        <v>738</v>
      </c>
    </row>
    <row r="71" spans="1:15" x14ac:dyDescent="0.25">
      <c r="A71" s="230" t="s">
        <v>801</v>
      </c>
      <c r="B71" s="207" t="s">
        <v>818</v>
      </c>
      <c r="C71" s="208" t="s">
        <v>1142</v>
      </c>
      <c r="D71" s="208" t="s">
        <v>63</v>
      </c>
      <c r="E71" s="208" t="s">
        <v>1146</v>
      </c>
      <c r="F71" s="209"/>
      <c r="G71" s="209" t="s">
        <v>1169</v>
      </c>
      <c r="H71" s="209" t="s">
        <v>646</v>
      </c>
      <c r="I71" s="210">
        <v>20133</v>
      </c>
      <c r="J71" s="211">
        <v>63</v>
      </c>
      <c r="L71" s="236">
        <v>70</v>
      </c>
      <c r="M71" s="237">
        <v>291</v>
      </c>
      <c r="N71" s="237">
        <v>529</v>
      </c>
      <c r="O71" s="238">
        <v>739</v>
      </c>
    </row>
    <row r="72" spans="1:15" x14ac:dyDescent="0.25">
      <c r="A72" s="230" t="s">
        <v>620</v>
      </c>
      <c r="B72" s="209" t="s">
        <v>154</v>
      </c>
      <c r="C72" s="208" t="s">
        <v>95</v>
      </c>
      <c r="D72" s="208" t="s">
        <v>63</v>
      </c>
      <c r="E72" s="208" t="s">
        <v>1149</v>
      </c>
      <c r="F72" s="209" t="s">
        <v>2</v>
      </c>
      <c r="G72" s="209" t="s">
        <v>515</v>
      </c>
      <c r="H72" s="209" t="s">
        <v>646</v>
      </c>
      <c r="I72" s="210">
        <v>26270</v>
      </c>
      <c r="J72" s="211">
        <v>47</v>
      </c>
      <c r="L72" s="236">
        <v>71</v>
      </c>
      <c r="M72" s="237">
        <v>292</v>
      </c>
      <c r="N72" s="237">
        <v>530</v>
      </c>
      <c r="O72" s="238">
        <v>740</v>
      </c>
    </row>
    <row r="73" spans="1:15" x14ac:dyDescent="0.25">
      <c r="A73" s="230" t="s">
        <v>619</v>
      </c>
      <c r="B73" s="207" t="s">
        <v>815</v>
      </c>
      <c r="C73" s="208" t="s">
        <v>254</v>
      </c>
      <c r="D73" s="208" t="s">
        <v>63</v>
      </c>
      <c r="E73" s="208" t="s">
        <v>195</v>
      </c>
      <c r="F73" s="209"/>
      <c r="G73" s="209"/>
      <c r="H73" s="209" t="s">
        <v>665</v>
      </c>
      <c r="I73" s="210">
        <v>41253</v>
      </c>
      <c r="J73" s="211">
        <v>6</v>
      </c>
      <c r="L73" s="236">
        <v>72</v>
      </c>
      <c r="M73" s="237">
        <v>293</v>
      </c>
      <c r="N73" s="237">
        <v>531</v>
      </c>
      <c r="O73" s="238">
        <v>741</v>
      </c>
    </row>
    <row r="74" spans="1:15" x14ac:dyDescent="0.25">
      <c r="A74" s="230" t="s">
        <v>641</v>
      </c>
      <c r="B74" s="207" t="s">
        <v>815</v>
      </c>
      <c r="C74" s="208" t="s">
        <v>397</v>
      </c>
      <c r="D74" s="208" t="s">
        <v>63</v>
      </c>
      <c r="E74" s="208" t="s">
        <v>195</v>
      </c>
      <c r="F74" s="209" t="s">
        <v>2</v>
      </c>
      <c r="G74" s="209" t="s">
        <v>426</v>
      </c>
      <c r="H74" s="209" t="s">
        <v>646</v>
      </c>
      <c r="I74" s="210">
        <v>32658</v>
      </c>
      <c r="J74" s="211">
        <v>29</v>
      </c>
      <c r="L74" s="236">
        <v>73</v>
      </c>
      <c r="M74" s="237">
        <v>294</v>
      </c>
      <c r="N74" s="237">
        <v>532</v>
      </c>
      <c r="O74" s="238">
        <v>742</v>
      </c>
    </row>
    <row r="75" spans="1:15" x14ac:dyDescent="0.25">
      <c r="A75" s="230" t="s">
        <v>617</v>
      </c>
      <c r="B75" s="209" t="s">
        <v>154</v>
      </c>
      <c r="C75" s="208" t="s">
        <v>521</v>
      </c>
      <c r="D75" s="208" t="s">
        <v>63</v>
      </c>
      <c r="E75" s="208" t="s">
        <v>314</v>
      </c>
      <c r="F75" s="209" t="s">
        <v>2</v>
      </c>
      <c r="G75" s="209" t="s">
        <v>520</v>
      </c>
      <c r="H75" s="209" t="s">
        <v>665</v>
      </c>
      <c r="I75" s="210">
        <v>30063</v>
      </c>
      <c r="J75" s="211">
        <v>36</v>
      </c>
      <c r="L75" s="236">
        <v>74</v>
      </c>
      <c r="M75" s="237">
        <v>295</v>
      </c>
      <c r="N75" s="237">
        <v>533</v>
      </c>
      <c r="O75" s="238">
        <v>743</v>
      </c>
    </row>
    <row r="76" spans="1:15" x14ac:dyDescent="0.25">
      <c r="A76" s="230" t="s">
        <v>715</v>
      </c>
      <c r="B76" s="209" t="s">
        <v>154</v>
      </c>
      <c r="C76" s="208" t="s">
        <v>1139</v>
      </c>
      <c r="D76" s="208" t="s">
        <v>63</v>
      </c>
      <c r="E76" s="208" t="s">
        <v>314</v>
      </c>
      <c r="F76" s="209" t="s">
        <v>2</v>
      </c>
      <c r="G76" s="209" t="s">
        <v>728</v>
      </c>
      <c r="H76" s="209" t="s">
        <v>646</v>
      </c>
      <c r="I76" s="210">
        <v>28451</v>
      </c>
      <c r="J76" s="211">
        <v>41</v>
      </c>
      <c r="L76" s="236">
        <v>75</v>
      </c>
      <c r="M76" s="237">
        <v>296</v>
      </c>
      <c r="N76" s="237">
        <v>534</v>
      </c>
      <c r="O76" s="238">
        <v>744</v>
      </c>
    </row>
    <row r="77" spans="1:15" x14ac:dyDescent="0.25">
      <c r="A77" s="230" t="s">
        <v>743</v>
      </c>
      <c r="B77" s="209" t="s">
        <v>43</v>
      </c>
      <c r="C77" s="208" t="s">
        <v>1138</v>
      </c>
      <c r="D77" s="208" t="s">
        <v>63</v>
      </c>
      <c r="E77" s="208" t="s">
        <v>913</v>
      </c>
      <c r="F77" s="209" t="s">
        <v>2</v>
      </c>
      <c r="G77" s="209" t="s">
        <v>256</v>
      </c>
      <c r="H77" s="209" t="s">
        <v>646</v>
      </c>
      <c r="I77" s="210">
        <v>20708</v>
      </c>
      <c r="J77" s="211">
        <v>62</v>
      </c>
      <c r="L77" s="236">
        <v>76</v>
      </c>
      <c r="M77" s="237">
        <v>297</v>
      </c>
      <c r="N77" s="237">
        <v>535</v>
      </c>
      <c r="O77" s="238">
        <v>745</v>
      </c>
    </row>
    <row r="78" spans="1:15" x14ac:dyDescent="0.25">
      <c r="A78" s="230" t="s">
        <v>639</v>
      </c>
      <c r="B78" s="209" t="s">
        <v>3</v>
      </c>
      <c r="C78" s="208" t="s">
        <v>430</v>
      </c>
      <c r="D78" s="208" t="s">
        <v>63</v>
      </c>
      <c r="E78" s="208" t="s">
        <v>62</v>
      </c>
      <c r="F78" s="209" t="s">
        <v>2</v>
      </c>
      <c r="G78" s="209" t="s">
        <v>429</v>
      </c>
      <c r="H78" s="209" t="s">
        <v>665</v>
      </c>
      <c r="I78" s="210">
        <v>21965</v>
      </c>
      <c r="J78" s="211">
        <v>58</v>
      </c>
      <c r="L78" s="236">
        <v>77</v>
      </c>
      <c r="M78" s="237">
        <v>298</v>
      </c>
      <c r="N78" s="237">
        <v>536</v>
      </c>
      <c r="O78" s="238">
        <v>746</v>
      </c>
    </row>
    <row r="79" spans="1:15" x14ac:dyDescent="0.25">
      <c r="A79" s="230" t="s">
        <v>793</v>
      </c>
      <c r="B79" s="207" t="s">
        <v>3</v>
      </c>
      <c r="C79" s="208" t="s">
        <v>64</v>
      </c>
      <c r="D79" s="208" t="s">
        <v>63</v>
      </c>
      <c r="E79" s="208" t="s">
        <v>62</v>
      </c>
      <c r="F79" s="209" t="s">
        <v>2</v>
      </c>
      <c r="G79" s="209" t="s">
        <v>61</v>
      </c>
      <c r="H79" s="209" t="s">
        <v>665</v>
      </c>
      <c r="I79" s="210">
        <v>23131</v>
      </c>
      <c r="J79" s="211">
        <v>55</v>
      </c>
      <c r="L79" s="236">
        <v>78</v>
      </c>
      <c r="M79" s="237">
        <v>299</v>
      </c>
      <c r="N79" s="237">
        <v>537</v>
      </c>
      <c r="O79" s="238">
        <v>747</v>
      </c>
    </row>
    <row r="80" spans="1:15" x14ac:dyDescent="0.25">
      <c r="A80" s="230" t="s">
        <v>790</v>
      </c>
      <c r="B80" s="207" t="s">
        <v>815</v>
      </c>
      <c r="C80" s="208" t="s">
        <v>438</v>
      </c>
      <c r="D80" s="208" t="s">
        <v>63</v>
      </c>
      <c r="E80" s="208" t="s">
        <v>1094</v>
      </c>
      <c r="F80" s="209" t="s">
        <v>2</v>
      </c>
      <c r="G80" s="209" t="s">
        <v>68</v>
      </c>
      <c r="H80" s="209" t="s">
        <v>646</v>
      </c>
      <c r="I80" s="210">
        <v>35338</v>
      </c>
      <c r="J80" s="211">
        <v>22</v>
      </c>
      <c r="L80" s="236">
        <v>79</v>
      </c>
      <c r="M80" s="237">
        <v>300</v>
      </c>
      <c r="N80" s="237">
        <v>538</v>
      </c>
      <c r="O80" s="238">
        <v>748</v>
      </c>
    </row>
    <row r="81" spans="1:15" x14ac:dyDescent="0.25">
      <c r="A81" s="230" t="s">
        <v>648</v>
      </c>
      <c r="B81" s="209" t="s">
        <v>43</v>
      </c>
      <c r="C81" s="208" t="s">
        <v>397</v>
      </c>
      <c r="D81" s="208" t="s">
        <v>1145</v>
      </c>
      <c r="E81" s="208" t="s">
        <v>481</v>
      </c>
      <c r="F81" s="209" t="s">
        <v>2</v>
      </c>
      <c r="G81" s="209" t="s">
        <v>480</v>
      </c>
      <c r="H81" s="209" t="s">
        <v>646</v>
      </c>
      <c r="I81" s="210">
        <v>30880</v>
      </c>
      <c r="J81" s="211">
        <v>34</v>
      </c>
      <c r="L81" s="236">
        <v>80</v>
      </c>
      <c r="M81" s="237">
        <v>301</v>
      </c>
      <c r="N81" s="237">
        <v>539</v>
      </c>
      <c r="O81" s="238">
        <v>749</v>
      </c>
    </row>
    <row r="82" spans="1:15" x14ac:dyDescent="0.25">
      <c r="A82" s="230" t="s">
        <v>671</v>
      </c>
      <c r="B82" s="209" t="s">
        <v>3</v>
      </c>
      <c r="C82" s="208" t="s">
        <v>229</v>
      </c>
      <c r="D82" s="208" t="s">
        <v>663</v>
      </c>
      <c r="E82" s="208" t="s">
        <v>403</v>
      </c>
      <c r="F82" s="209" t="s">
        <v>2</v>
      </c>
      <c r="G82" s="209" t="s">
        <v>664</v>
      </c>
      <c r="H82" s="209" t="s">
        <v>665</v>
      </c>
      <c r="I82" s="210">
        <v>30654</v>
      </c>
      <c r="J82" s="211">
        <v>35</v>
      </c>
      <c r="L82" s="236">
        <v>81</v>
      </c>
      <c r="M82" s="237">
        <v>302</v>
      </c>
      <c r="N82" s="237">
        <v>540</v>
      </c>
      <c r="O82" s="238">
        <v>750</v>
      </c>
    </row>
    <row r="83" spans="1:15" x14ac:dyDescent="0.25">
      <c r="A83" s="230" t="s">
        <v>598</v>
      </c>
      <c r="B83" s="209" t="s">
        <v>154</v>
      </c>
      <c r="C83" s="208" t="s">
        <v>571</v>
      </c>
      <c r="D83" s="208" t="s">
        <v>570</v>
      </c>
      <c r="E83" s="208"/>
      <c r="F83" s="209" t="s">
        <v>451</v>
      </c>
      <c r="G83" s="209" t="s">
        <v>569</v>
      </c>
      <c r="H83" s="209" t="s">
        <v>665</v>
      </c>
      <c r="I83" s="210">
        <v>26955</v>
      </c>
      <c r="J83" s="211">
        <v>45</v>
      </c>
      <c r="L83" s="236">
        <v>82</v>
      </c>
      <c r="M83" s="237">
        <v>303</v>
      </c>
      <c r="N83" s="237">
        <v>541</v>
      </c>
      <c r="O83" s="238">
        <v>751</v>
      </c>
    </row>
    <row r="84" spans="1:15" x14ac:dyDescent="0.25">
      <c r="A84" s="230" t="s">
        <v>687</v>
      </c>
      <c r="B84" s="209" t="s">
        <v>154</v>
      </c>
      <c r="C84" s="208" t="s">
        <v>420</v>
      </c>
      <c r="D84" s="208" t="s">
        <v>419</v>
      </c>
      <c r="E84" s="208" t="s">
        <v>418</v>
      </c>
      <c r="F84" s="209" t="s">
        <v>411</v>
      </c>
      <c r="G84" s="209" t="s">
        <v>417</v>
      </c>
      <c r="H84" s="209" t="s">
        <v>646</v>
      </c>
      <c r="I84" s="210">
        <v>30236</v>
      </c>
      <c r="J84" s="211">
        <v>36</v>
      </c>
      <c r="L84" s="236">
        <v>83</v>
      </c>
      <c r="M84" s="237">
        <v>304</v>
      </c>
      <c r="N84" s="237">
        <v>542</v>
      </c>
      <c r="O84" s="238">
        <v>752</v>
      </c>
    </row>
    <row r="85" spans="1:15" x14ac:dyDescent="0.25">
      <c r="A85" s="230" t="s">
        <v>795</v>
      </c>
      <c r="B85" s="207" t="s">
        <v>3</v>
      </c>
      <c r="C85" s="208" t="s">
        <v>512</v>
      </c>
      <c r="D85" s="208" t="s">
        <v>132</v>
      </c>
      <c r="E85" s="208" t="s">
        <v>1103</v>
      </c>
      <c r="F85" s="209" t="s">
        <v>2</v>
      </c>
      <c r="G85" s="209" t="s">
        <v>52</v>
      </c>
      <c r="H85" s="209" t="s">
        <v>665</v>
      </c>
      <c r="I85" s="210">
        <v>30117</v>
      </c>
      <c r="J85" s="211">
        <v>36</v>
      </c>
      <c r="L85" s="236">
        <v>84</v>
      </c>
      <c r="M85" s="237">
        <v>305</v>
      </c>
      <c r="N85" s="237">
        <v>543</v>
      </c>
      <c r="O85" s="238">
        <v>753</v>
      </c>
    </row>
    <row r="86" spans="1:15" x14ac:dyDescent="0.25">
      <c r="A86" s="230" t="s">
        <v>709</v>
      </c>
      <c r="B86" s="207" t="s">
        <v>815</v>
      </c>
      <c r="C86" s="208" t="s">
        <v>233</v>
      </c>
      <c r="D86" s="208" t="s">
        <v>132</v>
      </c>
      <c r="E86" s="208" t="s">
        <v>334</v>
      </c>
      <c r="F86" s="209" t="s">
        <v>2</v>
      </c>
      <c r="G86" s="209"/>
      <c r="H86" s="209" t="s">
        <v>665</v>
      </c>
      <c r="I86" s="210">
        <v>40372</v>
      </c>
      <c r="J86" s="211">
        <v>8</v>
      </c>
      <c r="L86" s="236">
        <v>85</v>
      </c>
      <c r="M86" s="237">
        <v>306</v>
      </c>
      <c r="N86" s="237">
        <v>544</v>
      </c>
      <c r="O86" s="238">
        <v>754</v>
      </c>
    </row>
    <row r="87" spans="1:15" x14ac:dyDescent="0.25">
      <c r="A87" s="230" t="s">
        <v>602</v>
      </c>
      <c r="B87" s="209" t="s">
        <v>154</v>
      </c>
      <c r="C87" s="208" t="s">
        <v>557</v>
      </c>
      <c r="D87" s="208" t="s">
        <v>132</v>
      </c>
      <c r="E87" s="208" t="s">
        <v>551</v>
      </c>
      <c r="F87" s="209" t="s">
        <v>2</v>
      </c>
      <c r="G87" s="209" t="s">
        <v>556</v>
      </c>
      <c r="H87" s="209" t="s">
        <v>665</v>
      </c>
      <c r="I87" s="210">
        <v>28024</v>
      </c>
      <c r="J87" s="211">
        <v>42</v>
      </c>
      <c r="L87" s="236">
        <v>86</v>
      </c>
      <c r="M87" s="237">
        <v>307</v>
      </c>
      <c r="N87" s="237">
        <v>545</v>
      </c>
      <c r="O87" s="238">
        <v>755</v>
      </c>
    </row>
    <row r="88" spans="1:15" x14ac:dyDescent="0.25">
      <c r="A88" s="230" t="s">
        <v>1422</v>
      </c>
      <c r="B88" s="207" t="s">
        <v>3</v>
      </c>
      <c r="C88" s="208" t="s">
        <v>1423</v>
      </c>
      <c r="D88" s="208" t="s">
        <v>132</v>
      </c>
      <c r="E88" s="208" t="s">
        <v>1424</v>
      </c>
      <c r="F88" s="209" t="s">
        <v>2</v>
      </c>
      <c r="G88" s="209" t="s">
        <v>1425</v>
      </c>
      <c r="H88" s="209" t="s">
        <v>665</v>
      </c>
      <c r="I88" s="210">
        <v>25616</v>
      </c>
      <c r="J88" s="211">
        <v>48</v>
      </c>
      <c r="L88" s="236">
        <v>87</v>
      </c>
      <c r="M88" s="237">
        <v>308</v>
      </c>
      <c r="N88" s="237">
        <v>546</v>
      </c>
      <c r="O88" s="238">
        <v>756</v>
      </c>
    </row>
    <row r="89" spans="1:15" x14ac:dyDescent="0.25">
      <c r="A89" s="230" t="s">
        <v>603</v>
      </c>
      <c r="B89" s="209" t="s">
        <v>154</v>
      </c>
      <c r="C89" s="208" t="s">
        <v>554</v>
      </c>
      <c r="D89" s="208" t="s">
        <v>132</v>
      </c>
      <c r="E89" s="208" t="s">
        <v>533</v>
      </c>
      <c r="F89" s="209" t="s">
        <v>2</v>
      </c>
      <c r="G89" s="209" t="s">
        <v>553</v>
      </c>
      <c r="H89" s="209" t="s">
        <v>665</v>
      </c>
      <c r="I89" s="210">
        <v>20160</v>
      </c>
      <c r="J89" s="211">
        <v>63</v>
      </c>
      <c r="L89" s="236">
        <v>88</v>
      </c>
      <c r="M89" s="237">
        <v>309</v>
      </c>
      <c r="N89" s="237">
        <v>547</v>
      </c>
      <c r="O89" s="238">
        <v>757</v>
      </c>
    </row>
    <row r="90" spans="1:15" x14ac:dyDescent="0.25">
      <c r="A90" s="230" t="s">
        <v>707</v>
      </c>
      <c r="B90" s="209" t="s">
        <v>154</v>
      </c>
      <c r="C90" s="208" t="s">
        <v>343</v>
      </c>
      <c r="D90" s="208" t="s">
        <v>132</v>
      </c>
      <c r="E90" s="208" t="s">
        <v>132</v>
      </c>
      <c r="F90" s="209" t="s">
        <v>2</v>
      </c>
      <c r="G90" s="209" t="s">
        <v>342</v>
      </c>
      <c r="H90" s="209" t="s">
        <v>665</v>
      </c>
      <c r="I90" s="210">
        <v>28669</v>
      </c>
      <c r="J90" s="211">
        <v>40</v>
      </c>
      <c r="L90" s="236">
        <v>89</v>
      </c>
      <c r="M90" s="237">
        <v>310</v>
      </c>
      <c r="N90" s="237">
        <v>548</v>
      </c>
      <c r="O90" s="238">
        <v>758</v>
      </c>
    </row>
    <row r="91" spans="1:15" x14ac:dyDescent="0.25">
      <c r="A91" s="230" t="s">
        <v>712</v>
      </c>
      <c r="B91" s="209" t="s">
        <v>154</v>
      </c>
      <c r="C91" s="208" t="s">
        <v>1132</v>
      </c>
      <c r="D91" s="208" t="s">
        <v>132</v>
      </c>
      <c r="E91" s="208" t="s">
        <v>132</v>
      </c>
      <c r="F91" s="209" t="s">
        <v>2</v>
      </c>
      <c r="G91" s="209" t="s">
        <v>326</v>
      </c>
      <c r="H91" s="209" t="s">
        <v>646</v>
      </c>
      <c r="I91" s="210">
        <v>20123</v>
      </c>
      <c r="J91" s="211">
        <v>63</v>
      </c>
      <c r="L91" s="236">
        <v>90</v>
      </c>
      <c r="M91" s="237">
        <v>311</v>
      </c>
      <c r="N91" s="237">
        <v>549</v>
      </c>
      <c r="O91" s="238">
        <v>759</v>
      </c>
    </row>
    <row r="92" spans="1:15" x14ac:dyDescent="0.25">
      <c r="A92" s="230" t="s">
        <v>714</v>
      </c>
      <c r="B92" s="209" t="s">
        <v>154</v>
      </c>
      <c r="C92" s="208" t="s">
        <v>1133</v>
      </c>
      <c r="D92" s="208" t="s">
        <v>132</v>
      </c>
      <c r="E92" s="208" t="s">
        <v>132</v>
      </c>
      <c r="F92" s="209" t="s">
        <v>2</v>
      </c>
      <c r="G92" s="209" t="s">
        <v>319</v>
      </c>
      <c r="H92" s="209" t="s">
        <v>646</v>
      </c>
      <c r="I92" s="210">
        <v>21103</v>
      </c>
      <c r="J92" s="211">
        <v>61</v>
      </c>
      <c r="L92" s="236">
        <v>91</v>
      </c>
      <c r="M92" s="237">
        <v>312</v>
      </c>
      <c r="N92" s="237">
        <v>550</v>
      </c>
      <c r="O92" s="238">
        <v>760</v>
      </c>
    </row>
    <row r="93" spans="1:15" x14ac:dyDescent="0.25">
      <c r="A93" s="230" t="s">
        <v>797</v>
      </c>
      <c r="B93" s="207" t="s">
        <v>3</v>
      </c>
      <c r="C93" s="208" t="s">
        <v>47</v>
      </c>
      <c r="D93" s="208" t="s">
        <v>132</v>
      </c>
      <c r="E93" s="208" t="s">
        <v>132</v>
      </c>
      <c r="F93" s="209" t="s">
        <v>2</v>
      </c>
      <c r="G93" s="209" t="s">
        <v>46</v>
      </c>
      <c r="H93" s="209" t="s">
        <v>665</v>
      </c>
      <c r="I93" s="210">
        <v>15641</v>
      </c>
      <c r="J93" s="211">
        <v>76</v>
      </c>
      <c r="L93" s="236">
        <v>92</v>
      </c>
      <c r="M93" s="237">
        <v>313</v>
      </c>
      <c r="N93" s="237">
        <v>551</v>
      </c>
      <c r="O93" s="238">
        <v>761</v>
      </c>
    </row>
    <row r="94" spans="1:15" x14ac:dyDescent="0.25">
      <c r="A94" s="230" t="s">
        <v>685</v>
      </c>
      <c r="B94" s="209" t="s">
        <v>154</v>
      </c>
      <c r="C94" s="208" t="s">
        <v>1124</v>
      </c>
      <c r="D94" s="208" t="s">
        <v>132</v>
      </c>
      <c r="E94" s="208" t="s">
        <v>585</v>
      </c>
      <c r="F94" s="209" t="s">
        <v>2</v>
      </c>
      <c r="G94" s="209" t="s">
        <v>586</v>
      </c>
      <c r="H94" s="209" t="s">
        <v>646</v>
      </c>
      <c r="I94" s="210">
        <v>27521</v>
      </c>
      <c r="J94" s="211">
        <v>43</v>
      </c>
      <c r="L94" s="236">
        <v>93</v>
      </c>
      <c r="M94" s="237">
        <v>314</v>
      </c>
      <c r="N94" s="237">
        <v>552</v>
      </c>
      <c r="O94" s="238">
        <v>762</v>
      </c>
    </row>
    <row r="95" spans="1:15" x14ac:dyDescent="0.25">
      <c r="A95" s="230" t="s">
        <v>701</v>
      </c>
      <c r="B95" s="209" t="s">
        <v>154</v>
      </c>
      <c r="C95" s="208" t="s">
        <v>983</v>
      </c>
      <c r="D95" s="208" t="s">
        <v>132</v>
      </c>
      <c r="E95" s="208" t="s">
        <v>1152</v>
      </c>
      <c r="F95" s="209" t="s">
        <v>2</v>
      </c>
      <c r="G95" s="209" t="s">
        <v>359</v>
      </c>
      <c r="H95" s="209" t="s">
        <v>665</v>
      </c>
      <c r="I95" s="210">
        <v>28485</v>
      </c>
      <c r="J95" s="211">
        <v>41</v>
      </c>
      <c r="L95" s="236">
        <v>94</v>
      </c>
      <c r="M95" s="237">
        <v>315</v>
      </c>
      <c r="N95" s="237">
        <v>553</v>
      </c>
      <c r="O95" s="238">
        <v>763</v>
      </c>
    </row>
    <row r="96" spans="1:15" x14ac:dyDescent="0.25">
      <c r="A96" s="230" t="s">
        <v>774</v>
      </c>
      <c r="B96" s="207" t="s">
        <v>3</v>
      </c>
      <c r="C96" s="208" t="s">
        <v>133</v>
      </c>
      <c r="D96" s="208" t="s">
        <v>132</v>
      </c>
      <c r="E96" s="208" t="s">
        <v>1152</v>
      </c>
      <c r="F96" s="209" t="s">
        <v>2</v>
      </c>
      <c r="G96" s="209" t="s">
        <v>131</v>
      </c>
      <c r="H96" s="209" t="s">
        <v>665</v>
      </c>
      <c r="I96" s="210">
        <v>25919</v>
      </c>
      <c r="J96" s="211">
        <v>48</v>
      </c>
      <c r="L96" s="236">
        <v>95</v>
      </c>
      <c r="M96" s="237">
        <v>316</v>
      </c>
      <c r="N96" s="237">
        <v>554</v>
      </c>
      <c r="O96" s="238">
        <v>764</v>
      </c>
    </row>
    <row r="97" spans="1:15" x14ac:dyDescent="0.25">
      <c r="A97" s="230" t="s">
        <v>597</v>
      </c>
      <c r="B97" s="209" t="s">
        <v>43</v>
      </c>
      <c r="C97" s="208" t="s">
        <v>1136</v>
      </c>
      <c r="D97" s="208" t="s">
        <v>132</v>
      </c>
      <c r="E97" s="208" t="s">
        <v>1159</v>
      </c>
      <c r="F97" s="209" t="s">
        <v>2</v>
      </c>
      <c r="G97" s="209" t="s">
        <v>596</v>
      </c>
      <c r="H97" s="209" t="s">
        <v>646</v>
      </c>
      <c r="I97" s="210">
        <v>24009</v>
      </c>
      <c r="J97" s="211">
        <v>53</v>
      </c>
      <c r="L97" s="236">
        <v>96</v>
      </c>
      <c r="M97" s="237">
        <v>317</v>
      </c>
      <c r="N97" s="237">
        <v>555</v>
      </c>
      <c r="O97" s="238">
        <v>765</v>
      </c>
    </row>
    <row r="98" spans="1:15" x14ac:dyDescent="0.25">
      <c r="A98" s="230" t="s">
        <v>761</v>
      </c>
      <c r="B98" s="207" t="s">
        <v>3</v>
      </c>
      <c r="C98" s="208" t="s">
        <v>1047</v>
      </c>
      <c r="D98" s="208" t="s">
        <v>132</v>
      </c>
      <c r="E98" s="208" t="s">
        <v>1048</v>
      </c>
      <c r="F98" s="209" t="s">
        <v>2</v>
      </c>
      <c r="G98" s="209" t="s">
        <v>1049</v>
      </c>
      <c r="H98" s="209" t="s">
        <v>646</v>
      </c>
      <c r="I98" s="210">
        <v>28478</v>
      </c>
      <c r="J98" s="211">
        <v>41</v>
      </c>
      <c r="L98" s="236">
        <v>97</v>
      </c>
      <c r="M98" s="237">
        <v>318</v>
      </c>
      <c r="N98" s="237">
        <v>556</v>
      </c>
      <c r="O98" s="238">
        <v>766</v>
      </c>
    </row>
    <row r="99" spans="1:15" x14ac:dyDescent="0.25">
      <c r="A99" s="230" t="s">
        <v>1343</v>
      </c>
      <c r="B99" s="207" t="s">
        <v>3</v>
      </c>
      <c r="C99" s="208" t="s">
        <v>1345</v>
      </c>
      <c r="D99" s="208" t="s">
        <v>1346</v>
      </c>
      <c r="E99" s="208" t="s">
        <v>1347</v>
      </c>
      <c r="F99" s="209" t="s">
        <v>2</v>
      </c>
      <c r="G99" s="209" t="s">
        <v>1348</v>
      </c>
      <c r="H99" s="209" t="s">
        <v>646</v>
      </c>
      <c r="I99" s="210">
        <v>26048</v>
      </c>
      <c r="J99" s="211">
        <v>47</v>
      </c>
      <c r="L99" s="236">
        <v>98</v>
      </c>
      <c r="M99" s="237">
        <v>319</v>
      </c>
      <c r="N99" s="237">
        <v>557</v>
      </c>
      <c r="O99" s="238">
        <v>767</v>
      </c>
    </row>
    <row r="100" spans="1:15" x14ac:dyDescent="0.25">
      <c r="A100" s="230" t="s">
        <v>776</v>
      </c>
      <c r="B100" s="207" t="s">
        <v>3</v>
      </c>
      <c r="C100" s="208" t="s">
        <v>1069</v>
      </c>
      <c r="D100" s="208" t="s">
        <v>1070</v>
      </c>
      <c r="E100" s="208" t="s">
        <v>1071</v>
      </c>
      <c r="F100" s="209" t="s">
        <v>2</v>
      </c>
      <c r="G100" s="209" t="s">
        <v>1730</v>
      </c>
      <c r="H100" s="209" t="s">
        <v>665</v>
      </c>
      <c r="I100" s="210">
        <v>30879</v>
      </c>
      <c r="J100" s="211">
        <v>34</v>
      </c>
      <c r="L100" s="236">
        <v>99</v>
      </c>
      <c r="M100" s="237">
        <v>320</v>
      </c>
      <c r="N100" s="237">
        <v>558</v>
      </c>
      <c r="O100" s="238">
        <v>768</v>
      </c>
    </row>
    <row r="101" spans="1:15" x14ac:dyDescent="0.25">
      <c r="A101" s="230" t="s">
        <v>1413</v>
      </c>
      <c r="B101" s="207" t="s">
        <v>3</v>
      </c>
      <c r="C101" s="208" t="s">
        <v>229</v>
      </c>
      <c r="D101" s="208" t="s">
        <v>1414</v>
      </c>
      <c r="E101" s="208" t="s">
        <v>1415</v>
      </c>
      <c r="F101" s="209" t="s">
        <v>2</v>
      </c>
      <c r="G101" s="209" t="s">
        <v>1416</v>
      </c>
      <c r="H101" s="209" t="s">
        <v>665</v>
      </c>
      <c r="I101" s="210">
        <v>31248</v>
      </c>
      <c r="J101" s="211">
        <v>33</v>
      </c>
      <c r="L101" s="236">
        <v>100</v>
      </c>
      <c r="M101" s="237">
        <v>321</v>
      </c>
      <c r="N101" s="237">
        <v>559</v>
      </c>
      <c r="O101" s="238">
        <v>769</v>
      </c>
    </row>
    <row r="102" spans="1:15" x14ac:dyDescent="0.25">
      <c r="A102" s="230" t="s">
        <v>1419</v>
      </c>
      <c r="B102" s="209" t="s">
        <v>43</v>
      </c>
      <c r="C102" s="208" t="s">
        <v>336</v>
      </c>
      <c r="D102" s="208" t="s">
        <v>1414</v>
      </c>
      <c r="E102" s="208" t="s">
        <v>1152</v>
      </c>
      <c r="F102" s="209" t="s">
        <v>2</v>
      </c>
      <c r="G102" s="209" t="s">
        <v>1420</v>
      </c>
      <c r="H102" s="209" t="s">
        <v>646</v>
      </c>
      <c r="I102" s="210">
        <v>30090</v>
      </c>
      <c r="J102" s="211">
        <v>36</v>
      </c>
      <c r="L102" s="236">
        <v>101</v>
      </c>
      <c r="M102" s="237">
        <v>322</v>
      </c>
      <c r="N102" s="237">
        <v>560</v>
      </c>
      <c r="O102" s="238">
        <v>770</v>
      </c>
    </row>
    <row r="103" spans="1:15" x14ac:dyDescent="0.25">
      <c r="A103" s="230" t="s">
        <v>798</v>
      </c>
      <c r="B103" s="209" t="s">
        <v>43</v>
      </c>
      <c r="C103" s="208" t="s">
        <v>1133</v>
      </c>
      <c r="D103" s="208" t="s">
        <v>1146</v>
      </c>
      <c r="E103" s="208" t="s">
        <v>42</v>
      </c>
      <c r="F103" s="209" t="s">
        <v>2</v>
      </c>
      <c r="G103" s="209" t="s">
        <v>41</v>
      </c>
      <c r="H103" s="209" t="s">
        <v>646</v>
      </c>
      <c r="I103" s="210">
        <v>19945</v>
      </c>
      <c r="J103" s="211">
        <v>64</v>
      </c>
      <c r="L103" s="236">
        <v>102</v>
      </c>
      <c r="M103" s="237">
        <v>323</v>
      </c>
      <c r="N103" s="237">
        <v>561</v>
      </c>
      <c r="O103" s="238">
        <v>771</v>
      </c>
    </row>
    <row r="104" spans="1:15" x14ac:dyDescent="0.25">
      <c r="A104" s="230" t="s">
        <v>686</v>
      </c>
      <c r="B104" s="207" t="s">
        <v>815</v>
      </c>
      <c r="C104" s="208" t="s">
        <v>591</v>
      </c>
      <c r="D104" s="208" t="s">
        <v>1146</v>
      </c>
      <c r="E104" s="208" t="s">
        <v>132</v>
      </c>
      <c r="F104" s="209" t="s">
        <v>2</v>
      </c>
      <c r="G104" s="209" t="s">
        <v>592</v>
      </c>
      <c r="H104" s="209" t="s">
        <v>646</v>
      </c>
      <c r="I104" s="210">
        <v>40339</v>
      </c>
      <c r="J104" s="211">
        <v>8</v>
      </c>
      <c r="L104" s="236">
        <v>103</v>
      </c>
      <c r="M104" s="237">
        <v>324</v>
      </c>
      <c r="N104" s="237">
        <v>562</v>
      </c>
      <c r="O104" s="238">
        <v>772</v>
      </c>
    </row>
    <row r="105" spans="1:15" x14ac:dyDescent="0.25">
      <c r="A105" s="230" t="s">
        <v>764</v>
      </c>
      <c r="B105" s="207" t="s">
        <v>3</v>
      </c>
      <c r="C105" s="208" t="s">
        <v>101</v>
      </c>
      <c r="D105" s="208" t="s">
        <v>1146</v>
      </c>
      <c r="E105" s="208" t="s">
        <v>1158</v>
      </c>
      <c r="F105" s="209" t="s">
        <v>2</v>
      </c>
      <c r="G105" s="209" t="s">
        <v>178</v>
      </c>
      <c r="H105" s="209" t="s">
        <v>646</v>
      </c>
      <c r="I105" s="210">
        <v>26243</v>
      </c>
      <c r="J105" s="211">
        <v>47</v>
      </c>
      <c r="L105" s="236">
        <v>104</v>
      </c>
      <c r="M105" s="237">
        <v>325</v>
      </c>
      <c r="N105" s="237">
        <v>563</v>
      </c>
      <c r="O105" s="238">
        <v>773</v>
      </c>
    </row>
    <row r="106" spans="1:15" x14ac:dyDescent="0.25">
      <c r="A106" s="230" t="s">
        <v>787</v>
      </c>
      <c r="B106" s="207" t="s">
        <v>818</v>
      </c>
      <c r="C106" s="208" t="s">
        <v>1090</v>
      </c>
      <c r="D106" s="208" t="s">
        <v>1085</v>
      </c>
      <c r="E106" s="208" t="s">
        <v>546</v>
      </c>
      <c r="F106" s="209" t="s">
        <v>2</v>
      </c>
      <c r="G106" s="209" t="s">
        <v>75</v>
      </c>
      <c r="H106" s="209" t="s">
        <v>646</v>
      </c>
      <c r="I106" s="210">
        <v>20144</v>
      </c>
      <c r="J106" s="211">
        <v>63</v>
      </c>
      <c r="L106" s="236">
        <v>105</v>
      </c>
      <c r="M106" s="237">
        <v>326</v>
      </c>
      <c r="N106" s="237">
        <v>564</v>
      </c>
      <c r="O106" s="238">
        <v>774</v>
      </c>
    </row>
    <row r="107" spans="1:15" x14ac:dyDescent="0.25">
      <c r="A107" s="230" t="s">
        <v>769</v>
      </c>
      <c r="B107" s="209" t="s">
        <v>43</v>
      </c>
      <c r="C107" s="208" t="s">
        <v>1061</v>
      </c>
      <c r="D107" s="208" t="s">
        <v>1062</v>
      </c>
      <c r="E107" s="208" t="s">
        <v>1063</v>
      </c>
      <c r="F107" s="209" t="s">
        <v>2</v>
      </c>
      <c r="G107" s="209" t="s">
        <v>155</v>
      </c>
      <c r="H107" s="209" t="s">
        <v>646</v>
      </c>
      <c r="I107" s="210">
        <v>28345</v>
      </c>
      <c r="J107" s="211">
        <v>41</v>
      </c>
      <c r="L107" s="236">
        <v>106</v>
      </c>
      <c r="M107" s="237">
        <v>327</v>
      </c>
      <c r="N107" s="237">
        <v>565</v>
      </c>
      <c r="O107" s="238">
        <v>775</v>
      </c>
    </row>
    <row r="108" spans="1:15" x14ac:dyDescent="0.25">
      <c r="A108" s="230" t="s">
        <v>767</v>
      </c>
      <c r="B108" s="207" t="s">
        <v>3</v>
      </c>
      <c r="C108" s="208" t="s">
        <v>1134</v>
      </c>
      <c r="D108" s="208" t="s">
        <v>1147</v>
      </c>
      <c r="E108" s="208" t="s">
        <v>160</v>
      </c>
      <c r="F108" s="209" t="s">
        <v>2</v>
      </c>
      <c r="G108" s="209" t="s">
        <v>159</v>
      </c>
      <c r="H108" s="209" t="s">
        <v>646</v>
      </c>
      <c r="I108" s="210">
        <v>25037</v>
      </c>
      <c r="J108" s="211">
        <v>50</v>
      </c>
      <c r="L108" s="236">
        <v>107</v>
      </c>
      <c r="M108" s="237">
        <v>328</v>
      </c>
      <c r="N108" s="237">
        <v>566</v>
      </c>
      <c r="O108" s="238">
        <v>776</v>
      </c>
    </row>
    <row r="109" spans="1:15" x14ac:dyDescent="0.25">
      <c r="A109" s="230" t="s">
        <v>662</v>
      </c>
      <c r="B109" s="209" t="s">
        <v>43</v>
      </c>
      <c r="C109" s="208" t="s">
        <v>955</v>
      </c>
      <c r="D109" s="208" t="s">
        <v>956</v>
      </c>
      <c r="E109" s="208" t="s">
        <v>297</v>
      </c>
      <c r="F109" s="209" t="s">
        <v>2</v>
      </c>
      <c r="G109" s="209" t="s">
        <v>303</v>
      </c>
      <c r="H109" s="209" t="s">
        <v>646</v>
      </c>
      <c r="I109" s="210">
        <v>27980</v>
      </c>
      <c r="J109" s="211">
        <v>42</v>
      </c>
      <c r="L109" s="236">
        <v>108</v>
      </c>
      <c r="M109" s="237">
        <v>329</v>
      </c>
      <c r="N109" s="237">
        <v>567</v>
      </c>
      <c r="O109" s="238">
        <v>777</v>
      </c>
    </row>
    <row r="110" spans="1:15" x14ac:dyDescent="0.25">
      <c r="A110" s="230" t="s">
        <v>1344</v>
      </c>
      <c r="B110" s="207" t="s">
        <v>3</v>
      </c>
      <c r="C110" s="208" t="s">
        <v>1300</v>
      </c>
      <c r="D110" s="208" t="s">
        <v>1301</v>
      </c>
      <c r="E110" s="208" t="s">
        <v>1302</v>
      </c>
      <c r="F110" s="209" t="s">
        <v>2</v>
      </c>
      <c r="G110" s="209" t="s">
        <v>1303</v>
      </c>
      <c r="H110" s="209" t="s">
        <v>646</v>
      </c>
      <c r="I110" s="210">
        <v>25251</v>
      </c>
      <c r="J110" s="211">
        <v>49</v>
      </c>
      <c r="L110" s="236">
        <v>109</v>
      </c>
      <c r="M110" s="237">
        <v>330</v>
      </c>
      <c r="N110" s="237">
        <v>568</v>
      </c>
      <c r="O110" s="238">
        <v>778</v>
      </c>
    </row>
    <row r="111" spans="1:15" x14ac:dyDescent="0.25">
      <c r="A111" s="230" t="s">
        <v>631</v>
      </c>
      <c r="B111" s="209" t="s">
        <v>43</v>
      </c>
      <c r="C111" s="208" t="s">
        <v>1138</v>
      </c>
      <c r="D111" s="208" t="s">
        <v>83</v>
      </c>
      <c r="E111" s="208" t="s">
        <v>499</v>
      </c>
      <c r="F111" s="209" t="s">
        <v>2</v>
      </c>
      <c r="G111" s="209" t="s">
        <v>498</v>
      </c>
      <c r="H111" s="209" t="s">
        <v>646</v>
      </c>
      <c r="I111" s="210">
        <v>20758</v>
      </c>
      <c r="J111" s="211">
        <v>62</v>
      </c>
      <c r="L111" s="236">
        <v>110</v>
      </c>
      <c r="M111" s="237">
        <v>331</v>
      </c>
      <c r="N111" s="237">
        <v>569</v>
      </c>
      <c r="O111" s="238">
        <v>779</v>
      </c>
    </row>
    <row r="112" spans="1:15" x14ac:dyDescent="0.25">
      <c r="A112" s="230" t="s">
        <v>1463</v>
      </c>
      <c r="B112" s="207" t="s">
        <v>818</v>
      </c>
      <c r="C112" s="208" t="s">
        <v>1466</v>
      </c>
      <c r="D112" s="208" t="s">
        <v>1465</v>
      </c>
      <c r="E112" s="208"/>
      <c r="F112" s="209" t="s">
        <v>451</v>
      </c>
      <c r="G112" s="209" t="s">
        <v>1468</v>
      </c>
      <c r="H112" s="209" t="s">
        <v>646</v>
      </c>
      <c r="I112" s="210">
        <v>21618</v>
      </c>
      <c r="J112" s="211">
        <v>59</v>
      </c>
      <c r="L112" s="236">
        <v>111</v>
      </c>
      <c r="M112" s="237">
        <v>332</v>
      </c>
      <c r="N112" s="237">
        <v>570</v>
      </c>
      <c r="O112" s="238">
        <v>780</v>
      </c>
    </row>
    <row r="113" spans="1:15" x14ac:dyDescent="0.25">
      <c r="A113" s="230" t="s">
        <v>1690</v>
      </c>
      <c r="B113" s="207" t="s">
        <v>3</v>
      </c>
      <c r="C113" s="208" t="s">
        <v>1476</v>
      </c>
      <c r="D113" s="208" t="s">
        <v>1477</v>
      </c>
      <c r="E113" s="208" t="s">
        <v>132</v>
      </c>
      <c r="F113" s="209" t="s">
        <v>2</v>
      </c>
      <c r="G113" s="209" t="s">
        <v>1478</v>
      </c>
      <c r="H113" s="209" t="s">
        <v>646</v>
      </c>
      <c r="I113" s="210">
        <v>28984</v>
      </c>
      <c r="J113" s="211">
        <v>39</v>
      </c>
      <c r="L113" s="236">
        <v>112</v>
      </c>
      <c r="M113" s="237">
        <v>333</v>
      </c>
      <c r="N113" s="237">
        <v>571</v>
      </c>
      <c r="O113" s="238">
        <v>781</v>
      </c>
    </row>
    <row r="114" spans="1:15" x14ac:dyDescent="0.25">
      <c r="A114" s="230" t="s">
        <v>642</v>
      </c>
      <c r="B114" s="209" t="s">
        <v>3</v>
      </c>
      <c r="C114" s="208" t="s">
        <v>453</v>
      </c>
      <c r="D114" s="208" t="s">
        <v>452</v>
      </c>
      <c r="E114" s="208"/>
      <c r="F114" s="209" t="s">
        <v>451</v>
      </c>
      <c r="G114" s="209" t="s">
        <v>450</v>
      </c>
      <c r="H114" s="209" t="s">
        <v>665</v>
      </c>
      <c r="I114" s="210">
        <v>29535</v>
      </c>
      <c r="J114" s="211">
        <v>38</v>
      </c>
      <c r="L114" s="236">
        <v>113</v>
      </c>
      <c r="M114" s="237">
        <v>334</v>
      </c>
      <c r="N114" s="237">
        <v>572</v>
      </c>
      <c r="O114" s="238">
        <v>782</v>
      </c>
    </row>
    <row r="115" spans="1:15" x14ac:dyDescent="0.25">
      <c r="A115" s="230" t="s">
        <v>803</v>
      </c>
      <c r="B115" s="207" t="s">
        <v>3</v>
      </c>
      <c r="C115" s="208" t="s">
        <v>1135</v>
      </c>
      <c r="D115" s="208" t="s">
        <v>11</v>
      </c>
      <c r="E115" s="208" t="s">
        <v>291</v>
      </c>
      <c r="F115" s="209" t="s">
        <v>2</v>
      </c>
      <c r="G115" s="209" t="s">
        <v>10</v>
      </c>
      <c r="H115" s="209" t="s">
        <v>646</v>
      </c>
      <c r="I115" s="210">
        <v>19286</v>
      </c>
      <c r="J115" s="211">
        <v>66</v>
      </c>
      <c r="L115" s="236">
        <v>114</v>
      </c>
      <c r="M115" s="237">
        <v>335</v>
      </c>
      <c r="N115" s="237">
        <v>573</v>
      </c>
      <c r="O115" s="238">
        <v>783</v>
      </c>
    </row>
    <row r="116" spans="1:15" x14ac:dyDescent="0.25">
      <c r="A116" s="230" t="s">
        <v>711</v>
      </c>
      <c r="B116" s="209" t="s">
        <v>43</v>
      </c>
      <c r="C116" s="208" t="s">
        <v>1131</v>
      </c>
      <c r="D116" s="208" t="s">
        <v>328</v>
      </c>
      <c r="E116" s="208" t="s">
        <v>396</v>
      </c>
      <c r="F116" s="209"/>
      <c r="G116" s="209" t="s">
        <v>327</v>
      </c>
      <c r="H116" s="209" t="s">
        <v>646</v>
      </c>
      <c r="I116" s="210">
        <v>21083</v>
      </c>
      <c r="J116" s="211">
        <v>61</v>
      </c>
      <c r="L116" s="236">
        <v>115</v>
      </c>
      <c r="M116" s="237">
        <v>336</v>
      </c>
      <c r="N116" s="237">
        <v>574</v>
      </c>
      <c r="O116" s="238">
        <v>784</v>
      </c>
    </row>
    <row r="117" spans="1:15" x14ac:dyDescent="0.25">
      <c r="A117" s="230" t="s">
        <v>723</v>
      </c>
      <c r="B117" s="209" t="s">
        <v>43</v>
      </c>
      <c r="C117" s="208" t="s">
        <v>267</v>
      </c>
      <c r="D117" s="208" t="s">
        <v>284</v>
      </c>
      <c r="E117" s="208" t="s">
        <v>1161</v>
      </c>
      <c r="F117" s="209"/>
      <c r="G117" s="209" t="s">
        <v>283</v>
      </c>
      <c r="H117" s="209" t="s">
        <v>646</v>
      </c>
      <c r="I117" s="210">
        <v>28101</v>
      </c>
      <c r="J117" s="211">
        <v>42</v>
      </c>
      <c r="L117" s="236">
        <v>116</v>
      </c>
      <c r="M117" s="237">
        <v>337</v>
      </c>
      <c r="N117" s="237">
        <v>575</v>
      </c>
      <c r="O117" s="238">
        <v>785</v>
      </c>
    </row>
    <row r="118" spans="1:15" x14ac:dyDescent="0.25">
      <c r="A118" s="230" t="s">
        <v>705</v>
      </c>
      <c r="B118" s="209" t="s">
        <v>154</v>
      </c>
      <c r="C118" s="208" t="s">
        <v>992</v>
      </c>
      <c r="D118" s="208" t="s">
        <v>434</v>
      </c>
      <c r="E118" s="208" t="s">
        <v>1071</v>
      </c>
      <c r="F118" s="209" t="s">
        <v>2</v>
      </c>
      <c r="G118" s="209" t="s">
        <v>1165</v>
      </c>
      <c r="H118" s="209" t="s">
        <v>665</v>
      </c>
      <c r="I118" s="210">
        <v>19865</v>
      </c>
      <c r="J118" s="211">
        <v>64</v>
      </c>
      <c r="L118" s="236">
        <v>117</v>
      </c>
      <c r="M118" s="237">
        <v>338</v>
      </c>
      <c r="N118" s="237">
        <v>576</v>
      </c>
      <c r="O118" s="238">
        <v>786</v>
      </c>
    </row>
    <row r="119" spans="1:15" x14ac:dyDescent="0.25">
      <c r="A119" s="230" t="s">
        <v>582</v>
      </c>
      <c r="B119" s="209" t="s">
        <v>43</v>
      </c>
      <c r="C119" s="208" t="s">
        <v>578</v>
      </c>
      <c r="D119" s="208" t="s">
        <v>434</v>
      </c>
      <c r="E119" s="208" t="s">
        <v>577</v>
      </c>
      <c r="F119" s="209" t="s">
        <v>2</v>
      </c>
      <c r="G119" s="209" t="s">
        <v>576</v>
      </c>
      <c r="H119" s="209" t="s">
        <v>646</v>
      </c>
      <c r="I119" s="210">
        <v>30005</v>
      </c>
      <c r="J119" s="211">
        <v>36</v>
      </c>
      <c r="L119" s="236">
        <v>118</v>
      </c>
      <c r="M119" s="237">
        <v>339</v>
      </c>
      <c r="N119" s="237">
        <v>577</v>
      </c>
      <c r="O119" s="238">
        <v>787</v>
      </c>
    </row>
    <row r="120" spans="1:15" x14ac:dyDescent="0.25">
      <c r="A120" s="230" t="s">
        <v>1761</v>
      </c>
      <c r="B120" s="207" t="s">
        <v>815</v>
      </c>
      <c r="C120" s="208" t="s">
        <v>1758</v>
      </c>
      <c r="D120" s="208" t="s">
        <v>1759</v>
      </c>
      <c r="E120" s="208" t="s">
        <v>1760</v>
      </c>
      <c r="F120" s="208"/>
      <c r="G120" s="209"/>
      <c r="H120" s="209" t="s">
        <v>665</v>
      </c>
      <c r="I120" s="210">
        <v>43359</v>
      </c>
      <c r="J120" s="211">
        <v>0</v>
      </c>
      <c r="L120" s="236">
        <v>119</v>
      </c>
      <c r="M120" s="237">
        <v>340</v>
      </c>
      <c r="N120" s="237">
        <v>578</v>
      </c>
      <c r="O120" s="238">
        <v>788</v>
      </c>
    </row>
    <row r="121" spans="1:15" x14ac:dyDescent="0.25">
      <c r="A121" s="230" t="s">
        <v>703</v>
      </c>
      <c r="B121" s="209" t="s">
        <v>154</v>
      </c>
      <c r="C121" s="208" t="s">
        <v>986</v>
      </c>
      <c r="D121" s="208" t="s">
        <v>987</v>
      </c>
      <c r="E121" s="208" t="s">
        <v>297</v>
      </c>
      <c r="F121" s="209" t="s">
        <v>2</v>
      </c>
      <c r="G121" s="209" t="s">
        <v>348</v>
      </c>
      <c r="H121" s="209" t="s">
        <v>646</v>
      </c>
      <c r="I121" s="210">
        <v>25510</v>
      </c>
      <c r="J121" s="211">
        <v>49</v>
      </c>
      <c r="L121" s="236">
        <v>120</v>
      </c>
      <c r="M121" s="237">
        <v>341</v>
      </c>
      <c r="N121" s="237">
        <v>579</v>
      </c>
      <c r="O121" s="238">
        <v>789</v>
      </c>
    </row>
    <row r="122" spans="1:15" x14ac:dyDescent="0.25">
      <c r="A122" s="230" t="s">
        <v>741</v>
      </c>
      <c r="B122" s="207" t="s">
        <v>154</v>
      </c>
      <c r="C122" s="208" t="s">
        <v>1022</v>
      </c>
      <c r="D122" s="208" t="s">
        <v>987</v>
      </c>
      <c r="E122" s="208" t="s">
        <v>297</v>
      </c>
      <c r="F122" s="209" t="s">
        <v>2</v>
      </c>
      <c r="G122" s="209" t="s">
        <v>1023</v>
      </c>
      <c r="H122" s="209" t="s">
        <v>646</v>
      </c>
      <c r="I122" s="210">
        <v>32098</v>
      </c>
      <c r="J122" s="211">
        <v>31</v>
      </c>
      <c r="L122" s="236">
        <v>121</v>
      </c>
      <c r="M122" s="237">
        <v>342</v>
      </c>
      <c r="N122" s="237">
        <v>580</v>
      </c>
      <c r="O122" s="238">
        <v>790</v>
      </c>
    </row>
    <row r="123" spans="1:15" x14ac:dyDescent="0.25">
      <c r="A123" s="230" t="s">
        <v>695</v>
      </c>
      <c r="B123" s="209" t="s">
        <v>154</v>
      </c>
      <c r="C123" s="208" t="s">
        <v>464</v>
      </c>
      <c r="D123" s="208" t="s">
        <v>233</v>
      </c>
      <c r="E123" s="208" t="s">
        <v>63</v>
      </c>
      <c r="F123" s="209" t="s">
        <v>2</v>
      </c>
      <c r="G123" s="209" t="s">
        <v>970</v>
      </c>
      <c r="H123" s="209" t="s">
        <v>665</v>
      </c>
      <c r="I123" s="210">
        <v>29453</v>
      </c>
      <c r="J123" s="211">
        <v>38</v>
      </c>
      <c r="L123" s="236">
        <v>122</v>
      </c>
      <c r="M123" s="237">
        <v>343</v>
      </c>
      <c r="N123" s="237">
        <v>581</v>
      </c>
      <c r="O123" s="238">
        <v>791</v>
      </c>
    </row>
    <row r="124" spans="1:15" x14ac:dyDescent="0.25">
      <c r="A124" s="230" t="s">
        <v>749</v>
      </c>
      <c r="B124" s="207" t="s">
        <v>154</v>
      </c>
      <c r="C124" s="208" t="s">
        <v>95</v>
      </c>
      <c r="D124" s="208" t="s">
        <v>233</v>
      </c>
      <c r="E124" s="208" t="s">
        <v>63</v>
      </c>
      <c r="F124" s="209" t="s">
        <v>2</v>
      </c>
      <c r="G124" s="209" t="s">
        <v>242</v>
      </c>
      <c r="H124" s="209" t="s">
        <v>646</v>
      </c>
      <c r="I124" s="210">
        <v>27934</v>
      </c>
      <c r="J124" s="211">
        <v>42</v>
      </c>
      <c r="L124" s="236">
        <v>123</v>
      </c>
      <c r="M124" s="237">
        <v>344</v>
      </c>
      <c r="N124" s="237">
        <v>582</v>
      </c>
      <c r="O124" s="238">
        <v>792</v>
      </c>
    </row>
    <row r="125" spans="1:15" x14ac:dyDescent="0.25">
      <c r="A125" s="230" t="s">
        <v>624</v>
      </c>
      <c r="B125" s="209" t="s">
        <v>154</v>
      </c>
      <c r="C125" s="208" t="s">
        <v>443</v>
      </c>
      <c r="D125" s="208" t="s">
        <v>233</v>
      </c>
      <c r="E125" s="208" t="s">
        <v>297</v>
      </c>
      <c r="F125" s="209" t="s">
        <v>2</v>
      </c>
      <c r="G125" s="209" t="s">
        <v>442</v>
      </c>
      <c r="H125" s="209" t="s">
        <v>646</v>
      </c>
      <c r="I125" s="210">
        <v>27089</v>
      </c>
      <c r="J125" s="211">
        <v>44</v>
      </c>
      <c r="L125" s="236">
        <v>124</v>
      </c>
      <c r="M125" s="237">
        <v>345</v>
      </c>
      <c r="N125" s="237">
        <v>583</v>
      </c>
      <c r="O125" s="238">
        <v>793</v>
      </c>
    </row>
    <row r="126" spans="1:15" x14ac:dyDescent="0.25">
      <c r="A126" s="230" t="s">
        <v>748</v>
      </c>
      <c r="B126" s="207" t="s">
        <v>154</v>
      </c>
      <c r="C126" s="208" t="s">
        <v>229</v>
      </c>
      <c r="D126" s="208" t="s">
        <v>233</v>
      </c>
      <c r="E126" s="208" t="s">
        <v>1029</v>
      </c>
      <c r="F126" s="209" t="s">
        <v>2</v>
      </c>
      <c r="G126" s="209" t="s">
        <v>1030</v>
      </c>
      <c r="H126" s="209" t="s">
        <v>665</v>
      </c>
      <c r="I126" s="210">
        <v>29235</v>
      </c>
      <c r="J126" s="211">
        <v>38</v>
      </c>
      <c r="L126" s="236">
        <v>125</v>
      </c>
      <c r="M126" s="237">
        <v>346</v>
      </c>
      <c r="N126" s="237">
        <v>584</v>
      </c>
      <c r="O126" s="238">
        <v>794</v>
      </c>
    </row>
    <row r="127" spans="1:15" x14ac:dyDescent="0.25">
      <c r="A127" s="230" t="s">
        <v>1737</v>
      </c>
      <c r="B127" s="207" t="s">
        <v>3</v>
      </c>
      <c r="C127" s="212" t="s">
        <v>1741</v>
      </c>
      <c r="D127" s="212" t="s">
        <v>1739</v>
      </c>
      <c r="E127" s="212" t="s">
        <v>1740</v>
      </c>
      <c r="F127" s="209" t="s">
        <v>2</v>
      </c>
      <c r="G127" s="213" t="s">
        <v>1742</v>
      </c>
      <c r="H127" s="213" t="s">
        <v>646</v>
      </c>
      <c r="I127" s="214">
        <v>33020</v>
      </c>
      <c r="J127" s="211">
        <v>28</v>
      </c>
      <c r="L127" s="236">
        <v>126</v>
      </c>
      <c r="M127" s="237">
        <v>347</v>
      </c>
      <c r="N127" s="237">
        <v>585</v>
      </c>
      <c r="O127" s="238">
        <v>795</v>
      </c>
    </row>
    <row r="128" spans="1:15" x14ac:dyDescent="0.25">
      <c r="A128" s="230" t="s">
        <v>792</v>
      </c>
      <c r="B128" s="209" t="s">
        <v>43</v>
      </c>
      <c r="C128" s="208" t="s">
        <v>229</v>
      </c>
      <c r="D128" s="208" t="s">
        <v>1149</v>
      </c>
      <c r="E128" s="208" t="s">
        <v>1100</v>
      </c>
      <c r="F128" s="209" t="s">
        <v>2</v>
      </c>
      <c r="G128" s="209" t="s">
        <v>65</v>
      </c>
      <c r="H128" s="209" t="s">
        <v>665</v>
      </c>
      <c r="I128" s="210">
        <v>29838</v>
      </c>
      <c r="J128" s="211">
        <v>37</v>
      </c>
      <c r="L128" s="236">
        <v>127</v>
      </c>
      <c r="M128" s="237">
        <v>348</v>
      </c>
      <c r="N128" s="237">
        <v>586</v>
      </c>
      <c r="O128" s="238">
        <v>796</v>
      </c>
    </row>
    <row r="129" spans="1:15" x14ac:dyDescent="0.25">
      <c r="A129" s="230" t="s">
        <v>725</v>
      </c>
      <c r="B129" s="209" t="s">
        <v>154</v>
      </c>
      <c r="C129" s="208" t="s">
        <v>1014</v>
      </c>
      <c r="D129" s="208" t="s">
        <v>1149</v>
      </c>
      <c r="E129" s="208" t="s">
        <v>1015</v>
      </c>
      <c r="F129" s="209" t="s">
        <v>2</v>
      </c>
      <c r="G129" s="209" t="s">
        <v>280</v>
      </c>
      <c r="H129" s="209" t="s">
        <v>646</v>
      </c>
      <c r="I129" s="210">
        <v>16132</v>
      </c>
      <c r="J129" s="211">
        <v>74</v>
      </c>
      <c r="L129" s="236">
        <v>128</v>
      </c>
      <c r="M129" s="237">
        <v>349</v>
      </c>
      <c r="N129" s="237">
        <v>587</v>
      </c>
      <c r="O129" s="238">
        <v>797</v>
      </c>
    </row>
    <row r="130" spans="1:15" x14ac:dyDescent="0.25">
      <c r="A130" s="230" t="s">
        <v>726</v>
      </c>
      <c r="B130" s="209" t="s">
        <v>154</v>
      </c>
      <c r="C130" s="208" t="s">
        <v>1018</v>
      </c>
      <c r="D130" s="208" t="s">
        <v>1149</v>
      </c>
      <c r="E130" s="208" t="s">
        <v>1015</v>
      </c>
      <c r="F130" s="209" t="s">
        <v>2</v>
      </c>
      <c r="G130" s="209" t="s">
        <v>278</v>
      </c>
      <c r="H130" s="209" t="s">
        <v>646</v>
      </c>
      <c r="I130" s="210">
        <v>13457</v>
      </c>
      <c r="J130" s="211">
        <v>82</v>
      </c>
      <c r="L130" s="236">
        <v>129</v>
      </c>
      <c r="M130" s="237">
        <v>350</v>
      </c>
      <c r="N130" s="237">
        <v>588</v>
      </c>
      <c r="O130" s="238">
        <v>798</v>
      </c>
    </row>
    <row r="131" spans="1:15" x14ac:dyDescent="0.25">
      <c r="A131" s="230" t="s">
        <v>727</v>
      </c>
      <c r="B131" s="209" t="s">
        <v>43</v>
      </c>
      <c r="C131" s="208" t="s">
        <v>1020</v>
      </c>
      <c r="D131" s="208" t="s">
        <v>1149</v>
      </c>
      <c r="E131" s="208" t="s">
        <v>1015</v>
      </c>
      <c r="F131" s="209"/>
      <c r="G131" s="209" t="s">
        <v>274</v>
      </c>
      <c r="H131" s="209" t="s">
        <v>646</v>
      </c>
      <c r="I131" s="210">
        <v>14185</v>
      </c>
      <c r="J131" s="211">
        <v>80</v>
      </c>
      <c r="L131" s="236">
        <v>130</v>
      </c>
      <c r="M131" s="237">
        <v>351</v>
      </c>
      <c r="N131" s="237">
        <v>589</v>
      </c>
      <c r="O131" s="238">
        <v>799</v>
      </c>
    </row>
    <row r="132" spans="1:15" x14ac:dyDescent="0.25">
      <c r="A132" s="230" t="s">
        <v>672</v>
      </c>
      <c r="B132" s="209" t="s">
        <v>43</v>
      </c>
      <c r="C132" s="208" t="s">
        <v>564</v>
      </c>
      <c r="D132" s="208" t="s">
        <v>668</v>
      </c>
      <c r="E132" s="208" t="s">
        <v>669</v>
      </c>
      <c r="F132" s="209" t="s">
        <v>2</v>
      </c>
      <c r="G132" s="209" t="s">
        <v>670</v>
      </c>
      <c r="H132" s="209" t="s">
        <v>646</v>
      </c>
      <c r="I132" s="210">
        <v>29818</v>
      </c>
      <c r="J132" s="211">
        <v>37</v>
      </c>
      <c r="L132" s="236">
        <v>131</v>
      </c>
      <c r="M132" s="237">
        <v>352</v>
      </c>
      <c r="N132" s="237">
        <v>590</v>
      </c>
      <c r="O132" s="238">
        <v>800</v>
      </c>
    </row>
    <row r="133" spans="1:15" x14ac:dyDescent="0.25">
      <c r="A133" s="230" t="s">
        <v>722</v>
      </c>
      <c r="B133" s="209" t="s">
        <v>154</v>
      </c>
      <c r="C133" s="208" t="s">
        <v>287</v>
      </c>
      <c r="D133" s="208" t="s">
        <v>174</v>
      </c>
      <c r="E133" s="208" t="s">
        <v>286</v>
      </c>
      <c r="F133" s="209" t="s">
        <v>2</v>
      </c>
      <c r="G133" s="209" t="s">
        <v>285</v>
      </c>
      <c r="H133" s="209" t="s">
        <v>665</v>
      </c>
      <c r="I133" s="210">
        <v>28853</v>
      </c>
      <c r="J133" s="211">
        <v>40</v>
      </c>
      <c r="L133" s="236">
        <v>132</v>
      </c>
      <c r="M133" s="237">
        <v>353</v>
      </c>
      <c r="N133" s="237">
        <v>591</v>
      </c>
      <c r="O133" s="238">
        <v>801</v>
      </c>
    </row>
    <row r="134" spans="1:15" x14ac:dyDescent="0.25">
      <c r="A134" s="230" t="s">
        <v>786</v>
      </c>
      <c r="B134" s="207" t="s">
        <v>815</v>
      </c>
      <c r="C134" s="208" t="s">
        <v>1088</v>
      </c>
      <c r="D134" s="208" t="s">
        <v>174</v>
      </c>
      <c r="E134" s="208" t="s">
        <v>1089</v>
      </c>
      <c r="F134" s="209" t="s">
        <v>2</v>
      </c>
      <c r="G134" s="209" t="s">
        <v>76</v>
      </c>
      <c r="H134" s="209" t="s">
        <v>665</v>
      </c>
      <c r="I134" s="210">
        <v>40068</v>
      </c>
      <c r="J134" s="211">
        <v>9</v>
      </c>
      <c r="L134" s="236">
        <v>133</v>
      </c>
      <c r="M134" s="237">
        <v>354</v>
      </c>
      <c r="N134" s="237">
        <v>592</v>
      </c>
      <c r="O134" s="238">
        <v>802</v>
      </c>
    </row>
    <row r="135" spans="1:15" x14ac:dyDescent="0.25">
      <c r="A135" s="230" t="s">
        <v>651</v>
      </c>
      <c r="B135" s="209" t="s">
        <v>3</v>
      </c>
      <c r="C135" s="208" t="s">
        <v>461</v>
      </c>
      <c r="D135" s="208" t="s">
        <v>174</v>
      </c>
      <c r="E135" s="208" t="s">
        <v>473</v>
      </c>
      <c r="F135" s="209" t="s">
        <v>2</v>
      </c>
      <c r="G135" s="209" t="s">
        <v>472</v>
      </c>
      <c r="H135" s="209" t="s">
        <v>665</v>
      </c>
      <c r="I135" s="210">
        <v>31164</v>
      </c>
      <c r="J135" s="211">
        <v>33</v>
      </c>
      <c r="L135" s="236">
        <v>134</v>
      </c>
      <c r="M135" s="237">
        <v>355</v>
      </c>
      <c r="N135" s="237">
        <v>593</v>
      </c>
      <c r="O135" s="238">
        <v>803</v>
      </c>
    </row>
    <row r="136" spans="1:15" x14ac:dyDescent="0.25">
      <c r="A136" s="230" t="s">
        <v>785</v>
      </c>
      <c r="B136" s="207" t="s">
        <v>3</v>
      </c>
      <c r="C136" s="208" t="s">
        <v>1084</v>
      </c>
      <c r="D136" s="208" t="s">
        <v>174</v>
      </c>
      <c r="E136" s="208" t="s">
        <v>1085</v>
      </c>
      <c r="F136" s="209" t="s">
        <v>2</v>
      </c>
      <c r="G136" s="209" t="s">
        <v>79</v>
      </c>
      <c r="H136" s="209" t="s">
        <v>665</v>
      </c>
      <c r="I136" s="210">
        <v>28292</v>
      </c>
      <c r="J136" s="211">
        <v>41</v>
      </c>
      <c r="L136" s="236">
        <v>135</v>
      </c>
      <c r="M136" s="237">
        <v>356</v>
      </c>
      <c r="N136" s="237">
        <v>594</v>
      </c>
      <c r="O136" s="238">
        <v>804</v>
      </c>
    </row>
    <row r="137" spans="1:15" x14ac:dyDescent="0.25">
      <c r="A137" s="230" t="s">
        <v>788</v>
      </c>
      <c r="B137" s="207" t="s">
        <v>814</v>
      </c>
      <c r="C137" s="208" t="s">
        <v>1091</v>
      </c>
      <c r="D137" s="208" t="s">
        <v>174</v>
      </c>
      <c r="E137" s="208" t="s">
        <v>1085</v>
      </c>
      <c r="F137" s="209" t="s">
        <v>2</v>
      </c>
      <c r="G137" s="209" t="s">
        <v>74</v>
      </c>
      <c r="H137" s="209" t="s">
        <v>665</v>
      </c>
      <c r="I137" s="210">
        <v>29032</v>
      </c>
      <c r="J137" s="211">
        <v>39</v>
      </c>
      <c r="L137" s="236">
        <v>136</v>
      </c>
      <c r="M137" s="237">
        <v>357</v>
      </c>
      <c r="N137" s="237">
        <v>595</v>
      </c>
      <c r="O137" s="238">
        <v>805</v>
      </c>
    </row>
    <row r="138" spans="1:15" x14ac:dyDescent="0.25">
      <c r="A138" s="230" t="s">
        <v>626</v>
      </c>
      <c r="B138" s="207" t="s">
        <v>815</v>
      </c>
      <c r="C138" s="208" t="s">
        <v>438</v>
      </c>
      <c r="D138" s="208" t="s">
        <v>174</v>
      </c>
      <c r="E138" s="208" t="s">
        <v>233</v>
      </c>
      <c r="F138" s="209" t="s">
        <v>2</v>
      </c>
      <c r="G138" s="209" t="s">
        <v>437</v>
      </c>
      <c r="H138" s="209" t="s">
        <v>646</v>
      </c>
      <c r="I138" s="210">
        <v>40123</v>
      </c>
      <c r="J138" s="211">
        <v>9</v>
      </c>
      <c r="L138" s="236">
        <v>137</v>
      </c>
      <c r="M138" s="237">
        <v>358</v>
      </c>
      <c r="N138" s="237">
        <v>596</v>
      </c>
      <c r="O138" s="238">
        <v>806</v>
      </c>
    </row>
    <row r="139" spans="1:15" x14ac:dyDescent="0.25">
      <c r="A139" s="230" t="s">
        <v>693</v>
      </c>
      <c r="B139" s="209" t="s">
        <v>154</v>
      </c>
      <c r="C139" s="208" t="s">
        <v>966</v>
      </c>
      <c r="D139" s="208" t="s">
        <v>174</v>
      </c>
      <c r="E139" s="208" t="s">
        <v>967</v>
      </c>
      <c r="F139" s="209" t="s">
        <v>2</v>
      </c>
      <c r="G139" s="209" t="s">
        <v>388</v>
      </c>
      <c r="H139" s="209" t="s">
        <v>665</v>
      </c>
      <c r="I139" s="210">
        <v>20821</v>
      </c>
      <c r="J139" s="211">
        <v>61</v>
      </c>
      <c r="L139" s="236">
        <v>138</v>
      </c>
      <c r="M139" s="237">
        <v>359</v>
      </c>
      <c r="N139" s="237">
        <v>597</v>
      </c>
      <c r="O139" s="238">
        <v>807</v>
      </c>
    </row>
    <row r="140" spans="1:15" x14ac:dyDescent="0.25">
      <c r="A140" s="230" t="s">
        <v>719</v>
      </c>
      <c r="B140" s="209" t="s">
        <v>154</v>
      </c>
      <c r="C140" s="208" t="s">
        <v>302</v>
      </c>
      <c r="D140" s="208" t="s">
        <v>174</v>
      </c>
      <c r="E140" s="208" t="s">
        <v>291</v>
      </c>
      <c r="F140" s="209" t="s">
        <v>2</v>
      </c>
      <c r="G140" s="209" t="s">
        <v>301</v>
      </c>
      <c r="H140" s="209" t="s">
        <v>646</v>
      </c>
      <c r="I140" s="210">
        <v>26477</v>
      </c>
      <c r="J140" s="211">
        <v>46</v>
      </c>
      <c r="L140" s="236">
        <v>139</v>
      </c>
      <c r="M140" s="237">
        <v>360</v>
      </c>
      <c r="N140" s="237">
        <v>598</v>
      </c>
      <c r="O140" s="238">
        <v>808</v>
      </c>
    </row>
    <row r="141" spans="1:15" x14ac:dyDescent="0.25">
      <c r="A141" s="230" t="s">
        <v>721</v>
      </c>
      <c r="B141" s="209" t="s">
        <v>154</v>
      </c>
      <c r="C141" s="208" t="s">
        <v>292</v>
      </c>
      <c r="D141" s="208" t="s">
        <v>174</v>
      </c>
      <c r="E141" s="208" t="s">
        <v>291</v>
      </c>
      <c r="F141" s="209" t="s">
        <v>2</v>
      </c>
      <c r="G141" s="209" t="s">
        <v>290</v>
      </c>
      <c r="H141" s="209" t="s">
        <v>646</v>
      </c>
      <c r="I141" s="210">
        <v>28336</v>
      </c>
      <c r="J141" s="211">
        <v>41</v>
      </c>
      <c r="L141" s="236">
        <v>140</v>
      </c>
      <c r="M141" s="237">
        <v>361</v>
      </c>
      <c r="N141" s="237">
        <v>599</v>
      </c>
      <c r="O141" s="238">
        <v>809</v>
      </c>
    </row>
    <row r="142" spans="1:15" x14ac:dyDescent="0.25">
      <c r="A142" s="230" t="s">
        <v>765</v>
      </c>
      <c r="B142" s="207" t="s">
        <v>3</v>
      </c>
      <c r="C142" s="208" t="s">
        <v>175</v>
      </c>
      <c r="D142" s="208" t="s">
        <v>174</v>
      </c>
      <c r="E142" s="208" t="s">
        <v>173</v>
      </c>
      <c r="F142" s="209" t="s">
        <v>2</v>
      </c>
      <c r="G142" s="209" t="s">
        <v>172</v>
      </c>
      <c r="H142" s="209" t="s">
        <v>646</v>
      </c>
      <c r="I142" s="210">
        <v>29329</v>
      </c>
      <c r="J142" s="211">
        <v>38</v>
      </c>
      <c r="L142" s="236">
        <v>141</v>
      </c>
      <c r="M142" s="237">
        <v>362</v>
      </c>
      <c r="N142" s="237">
        <v>600</v>
      </c>
      <c r="O142" s="238">
        <v>810</v>
      </c>
    </row>
    <row r="143" spans="1:15" x14ac:dyDescent="0.25">
      <c r="A143" s="230" t="s">
        <v>625</v>
      </c>
      <c r="B143" s="209" t="s">
        <v>43</v>
      </c>
      <c r="C143" s="208" t="s">
        <v>508</v>
      </c>
      <c r="D143" s="208" t="s">
        <v>174</v>
      </c>
      <c r="E143" s="208" t="s">
        <v>297</v>
      </c>
      <c r="F143" s="209" t="s">
        <v>2</v>
      </c>
      <c r="G143" s="209" t="s">
        <v>507</v>
      </c>
      <c r="H143" s="209" t="s">
        <v>665</v>
      </c>
      <c r="I143" s="210">
        <v>23676</v>
      </c>
      <c r="J143" s="211">
        <v>54</v>
      </c>
      <c r="L143" s="236">
        <v>142</v>
      </c>
      <c r="M143" s="237">
        <v>363</v>
      </c>
      <c r="N143" s="237">
        <v>601</v>
      </c>
      <c r="O143" s="238">
        <v>811</v>
      </c>
    </row>
    <row r="144" spans="1:15" x14ac:dyDescent="0.25">
      <c r="A144" s="230" t="s">
        <v>720</v>
      </c>
      <c r="B144" s="209" t="s">
        <v>154</v>
      </c>
      <c r="C144" s="208" t="s">
        <v>298</v>
      </c>
      <c r="D144" s="208" t="s">
        <v>174</v>
      </c>
      <c r="E144" s="208" t="s">
        <v>297</v>
      </c>
      <c r="F144" s="209" t="s">
        <v>2</v>
      </c>
      <c r="G144" s="209" t="s">
        <v>296</v>
      </c>
      <c r="H144" s="209" t="s">
        <v>665</v>
      </c>
      <c r="I144" s="210">
        <v>14400</v>
      </c>
      <c r="J144" s="211">
        <v>79</v>
      </c>
      <c r="L144" s="236">
        <v>143</v>
      </c>
      <c r="M144" s="237">
        <v>364</v>
      </c>
      <c r="N144" s="237">
        <v>602</v>
      </c>
      <c r="O144" s="238">
        <v>812</v>
      </c>
    </row>
    <row r="145" spans="1:15" x14ac:dyDescent="0.25">
      <c r="A145" s="230" t="s">
        <v>754</v>
      </c>
      <c r="B145" s="209" t="s">
        <v>43</v>
      </c>
      <c r="C145" s="208" t="s">
        <v>1133</v>
      </c>
      <c r="D145" s="208" t="s">
        <v>174</v>
      </c>
      <c r="E145" s="208" t="s">
        <v>297</v>
      </c>
      <c r="F145" s="209" t="s">
        <v>2</v>
      </c>
      <c r="G145" s="209" t="s">
        <v>213</v>
      </c>
      <c r="H145" s="209" t="s">
        <v>646</v>
      </c>
      <c r="I145" s="210">
        <v>22080</v>
      </c>
      <c r="J145" s="211">
        <v>58</v>
      </c>
      <c r="L145" s="236">
        <v>144</v>
      </c>
      <c r="M145" s="237">
        <v>365</v>
      </c>
      <c r="N145" s="237">
        <v>603</v>
      </c>
      <c r="O145" s="238">
        <v>813</v>
      </c>
    </row>
    <row r="146" spans="1:15" x14ac:dyDescent="0.25">
      <c r="A146" s="230" t="s">
        <v>704</v>
      </c>
      <c r="B146" s="209" t="s">
        <v>43</v>
      </c>
      <c r="C146" s="208" t="s">
        <v>989</v>
      </c>
      <c r="D146" s="208" t="s">
        <v>990</v>
      </c>
      <c r="E146" s="208" t="s">
        <v>396</v>
      </c>
      <c r="F146" s="209" t="s">
        <v>2</v>
      </c>
      <c r="G146" s="209" t="s">
        <v>347</v>
      </c>
      <c r="H146" s="209" t="s">
        <v>665</v>
      </c>
      <c r="I146" s="210">
        <v>26666</v>
      </c>
      <c r="J146" s="211">
        <v>45</v>
      </c>
      <c r="L146" s="236">
        <v>145</v>
      </c>
      <c r="M146" s="237">
        <v>366</v>
      </c>
      <c r="N146" s="237">
        <v>604</v>
      </c>
      <c r="O146" s="238">
        <v>814</v>
      </c>
    </row>
    <row r="147" spans="1:15" x14ac:dyDescent="0.25">
      <c r="A147" s="230" t="s">
        <v>1178</v>
      </c>
      <c r="B147" s="207" t="s">
        <v>815</v>
      </c>
      <c r="C147" s="216" t="s">
        <v>1176</v>
      </c>
      <c r="D147" s="208" t="s">
        <v>990</v>
      </c>
      <c r="E147" s="208" t="s">
        <v>987</v>
      </c>
      <c r="F147" s="209" t="s">
        <v>2</v>
      </c>
      <c r="G147" s="209" t="s">
        <v>1177</v>
      </c>
      <c r="H147" s="209" t="s">
        <v>646</v>
      </c>
      <c r="I147" s="217">
        <v>36463</v>
      </c>
      <c r="J147" s="211">
        <v>19</v>
      </c>
      <c r="L147" s="236">
        <v>146</v>
      </c>
      <c r="M147" s="237">
        <v>367</v>
      </c>
      <c r="N147" s="237">
        <v>605</v>
      </c>
      <c r="O147" s="238">
        <v>815</v>
      </c>
    </row>
    <row r="148" spans="1:15" x14ac:dyDescent="0.25">
      <c r="A148" s="230" t="s">
        <v>696</v>
      </c>
      <c r="B148" s="209" t="s">
        <v>154</v>
      </c>
      <c r="C148" s="208" t="s">
        <v>153</v>
      </c>
      <c r="D148" s="208" t="s">
        <v>382</v>
      </c>
      <c r="E148" s="208" t="s">
        <v>1153</v>
      </c>
      <c r="F148" s="209"/>
      <c r="G148" s="209" t="s">
        <v>381</v>
      </c>
      <c r="H148" s="209" t="s">
        <v>665</v>
      </c>
      <c r="I148" s="210">
        <v>23898</v>
      </c>
      <c r="J148" s="211">
        <v>53</v>
      </c>
      <c r="L148" s="236">
        <v>147</v>
      </c>
      <c r="M148" s="237">
        <v>368</v>
      </c>
      <c r="N148" s="237">
        <v>606</v>
      </c>
      <c r="O148" s="238">
        <v>816</v>
      </c>
    </row>
    <row r="149" spans="1:15" x14ac:dyDescent="0.25">
      <c r="A149" s="230" t="s">
        <v>649</v>
      </c>
      <c r="B149" s="207" t="s">
        <v>815</v>
      </c>
      <c r="C149" s="208" t="s">
        <v>477</v>
      </c>
      <c r="D149" s="208" t="s">
        <v>1121</v>
      </c>
      <c r="E149" s="215" t="s">
        <v>1145</v>
      </c>
      <c r="F149" s="215"/>
      <c r="G149" s="209"/>
      <c r="H149" s="209" t="s">
        <v>646</v>
      </c>
      <c r="I149" s="210">
        <v>42729</v>
      </c>
      <c r="J149" s="211">
        <v>2</v>
      </c>
      <c r="L149" s="236">
        <v>148</v>
      </c>
      <c r="M149" s="237">
        <v>369</v>
      </c>
      <c r="N149" s="237">
        <v>607</v>
      </c>
      <c r="O149" s="238">
        <v>817</v>
      </c>
    </row>
    <row r="150" spans="1:15" x14ac:dyDescent="0.25">
      <c r="A150" s="230" t="s">
        <v>647</v>
      </c>
      <c r="B150" s="209" t="s">
        <v>3</v>
      </c>
      <c r="C150" s="208" t="s">
        <v>484</v>
      </c>
      <c r="D150" s="208" t="s">
        <v>476</v>
      </c>
      <c r="E150" s="208" t="s">
        <v>483</v>
      </c>
      <c r="F150" s="209" t="s">
        <v>451</v>
      </c>
      <c r="G150" s="209" t="s">
        <v>482</v>
      </c>
      <c r="H150" s="209" t="s">
        <v>665</v>
      </c>
      <c r="I150" s="210">
        <v>30796</v>
      </c>
      <c r="J150" s="211">
        <v>34</v>
      </c>
      <c r="L150" s="236">
        <v>149</v>
      </c>
      <c r="M150" s="237">
        <v>370</v>
      </c>
      <c r="N150" s="237">
        <v>608</v>
      </c>
      <c r="O150" s="238">
        <v>818</v>
      </c>
    </row>
    <row r="151" spans="1:15" x14ac:dyDescent="0.25">
      <c r="A151" s="230" t="s">
        <v>1693</v>
      </c>
      <c r="B151" s="207" t="s">
        <v>815</v>
      </c>
      <c r="C151" s="208" t="s">
        <v>1696</v>
      </c>
      <c r="D151" s="208" t="s">
        <v>1150</v>
      </c>
      <c r="E151" s="208" t="s">
        <v>63</v>
      </c>
      <c r="F151" s="209" t="s">
        <v>2</v>
      </c>
      <c r="G151" s="209" t="s">
        <v>1697</v>
      </c>
      <c r="H151" s="209" t="s">
        <v>646</v>
      </c>
      <c r="I151" s="210">
        <v>42431</v>
      </c>
      <c r="J151" s="211">
        <v>2</v>
      </c>
      <c r="L151" s="236">
        <v>150</v>
      </c>
      <c r="M151" s="237">
        <v>371</v>
      </c>
      <c r="N151" s="237">
        <v>609</v>
      </c>
      <c r="O151" s="238">
        <v>819</v>
      </c>
    </row>
    <row r="152" spans="1:15" x14ac:dyDescent="0.25">
      <c r="A152" s="230" t="s">
        <v>609</v>
      </c>
      <c r="B152" s="209" t="s">
        <v>154</v>
      </c>
      <c r="C152" s="208" t="s">
        <v>287</v>
      </c>
      <c r="D152" s="208" t="s">
        <v>1150</v>
      </c>
      <c r="E152" s="208" t="s">
        <v>533</v>
      </c>
      <c r="F152" s="209" t="s">
        <v>2</v>
      </c>
      <c r="G152" s="209" t="s">
        <v>532</v>
      </c>
      <c r="H152" s="209" t="s">
        <v>665</v>
      </c>
      <c r="I152" s="210">
        <v>20583</v>
      </c>
      <c r="J152" s="211">
        <v>62</v>
      </c>
      <c r="L152" s="236">
        <v>151</v>
      </c>
      <c r="M152" s="237">
        <v>372</v>
      </c>
      <c r="N152" s="237">
        <v>610</v>
      </c>
      <c r="O152" s="238">
        <v>820</v>
      </c>
    </row>
    <row r="153" spans="1:15" x14ac:dyDescent="0.25">
      <c r="A153" s="230" t="s">
        <v>1691</v>
      </c>
      <c r="B153" s="207" t="s">
        <v>3</v>
      </c>
      <c r="C153" s="212" t="s">
        <v>287</v>
      </c>
      <c r="D153" s="212" t="s">
        <v>1150</v>
      </c>
      <c r="E153" s="212" t="s">
        <v>530</v>
      </c>
      <c r="F153" s="209" t="s">
        <v>2</v>
      </c>
      <c r="G153" s="213" t="s">
        <v>1698</v>
      </c>
      <c r="H153" s="213" t="s">
        <v>665</v>
      </c>
      <c r="I153" s="214">
        <v>29262</v>
      </c>
      <c r="J153" s="211">
        <v>38</v>
      </c>
      <c r="L153" s="236">
        <v>152</v>
      </c>
      <c r="M153" s="237">
        <v>373</v>
      </c>
      <c r="N153" s="237">
        <v>611</v>
      </c>
      <c r="O153" s="238">
        <v>821</v>
      </c>
    </row>
    <row r="154" spans="1:15" x14ac:dyDescent="0.25">
      <c r="A154" s="230" t="s">
        <v>1252</v>
      </c>
      <c r="B154" s="209" t="s">
        <v>43</v>
      </c>
      <c r="C154" s="208" t="s">
        <v>1264</v>
      </c>
      <c r="D154" s="208" t="s">
        <v>1265</v>
      </c>
      <c r="E154" s="208" t="s">
        <v>297</v>
      </c>
      <c r="F154" s="209" t="s">
        <v>2</v>
      </c>
      <c r="G154" s="209" t="s">
        <v>1266</v>
      </c>
      <c r="H154" s="209" t="s">
        <v>646</v>
      </c>
      <c r="I154" s="210">
        <v>27871</v>
      </c>
      <c r="J154" s="211">
        <v>42</v>
      </c>
      <c r="L154" s="236">
        <v>153</v>
      </c>
      <c r="M154" s="237">
        <v>374</v>
      </c>
      <c r="N154" s="237">
        <v>612</v>
      </c>
      <c r="O154" s="238">
        <v>822</v>
      </c>
    </row>
    <row r="155" spans="1:15" x14ac:dyDescent="0.25">
      <c r="A155" s="230" t="s">
        <v>1267</v>
      </c>
      <c r="B155" s="207" t="s">
        <v>3</v>
      </c>
      <c r="C155" s="208" t="s">
        <v>1268</v>
      </c>
      <c r="D155" s="208" t="s">
        <v>1269</v>
      </c>
      <c r="E155" s="208" t="s">
        <v>1270</v>
      </c>
      <c r="F155" s="209" t="s">
        <v>2</v>
      </c>
      <c r="G155" s="209" t="s">
        <v>1271</v>
      </c>
      <c r="H155" s="209" t="s">
        <v>646</v>
      </c>
      <c r="I155" s="210">
        <v>34234</v>
      </c>
      <c r="J155" s="211">
        <v>25</v>
      </c>
      <c r="L155" s="236">
        <v>154</v>
      </c>
      <c r="M155" s="237">
        <v>375</v>
      </c>
      <c r="N155" s="237">
        <v>613</v>
      </c>
      <c r="O155" s="238">
        <v>823</v>
      </c>
    </row>
    <row r="156" spans="1:15" x14ac:dyDescent="0.25">
      <c r="A156" s="230" t="s">
        <v>781</v>
      </c>
      <c r="B156" s="207" t="s">
        <v>3</v>
      </c>
      <c r="C156" s="208" t="s">
        <v>101</v>
      </c>
      <c r="D156" s="208" t="s">
        <v>94</v>
      </c>
      <c r="E156" s="208" t="s">
        <v>93</v>
      </c>
      <c r="F156" s="209" t="s">
        <v>2</v>
      </c>
      <c r="G156" s="209" t="s">
        <v>100</v>
      </c>
      <c r="H156" s="209" t="s">
        <v>646</v>
      </c>
      <c r="I156" s="210">
        <v>22541</v>
      </c>
      <c r="J156" s="211">
        <v>57</v>
      </c>
      <c r="L156" s="236">
        <v>155</v>
      </c>
      <c r="M156" s="237">
        <v>376</v>
      </c>
      <c r="N156" s="237">
        <v>614</v>
      </c>
      <c r="O156" s="238">
        <v>824</v>
      </c>
    </row>
    <row r="157" spans="1:15" x14ac:dyDescent="0.25">
      <c r="A157" s="230" t="s">
        <v>724</v>
      </c>
      <c r="B157" s="207" t="s">
        <v>3</v>
      </c>
      <c r="C157" s="208" t="s">
        <v>95</v>
      </c>
      <c r="D157" s="208" t="s">
        <v>94</v>
      </c>
      <c r="E157" s="208" t="s">
        <v>93</v>
      </c>
      <c r="F157" s="209" t="s">
        <v>2</v>
      </c>
      <c r="G157" s="209" t="s">
        <v>92</v>
      </c>
      <c r="H157" s="209" t="s">
        <v>646</v>
      </c>
      <c r="I157" s="210">
        <v>23154</v>
      </c>
      <c r="J157" s="211">
        <v>55</v>
      </c>
      <c r="L157" s="236">
        <v>156</v>
      </c>
      <c r="M157" s="237">
        <v>377</v>
      </c>
      <c r="N157" s="237">
        <v>615</v>
      </c>
      <c r="O157" s="238">
        <v>825</v>
      </c>
    </row>
    <row r="158" spans="1:15" x14ac:dyDescent="0.25">
      <c r="A158" s="230" t="s">
        <v>1355</v>
      </c>
      <c r="B158" s="207" t="s">
        <v>3</v>
      </c>
      <c r="C158" s="208" t="s">
        <v>175</v>
      </c>
      <c r="D158" s="208" t="s">
        <v>94</v>
      </c>
      <c r="E158" s="208" t="s">
        <v>93</v>
      </c>
      <c r="F158" s="209" t="s">
        <v>2</v>
      </c>
      <c r="G158" s="209" t="s">
        <v>1356</v>
      </c>
      <c r="H158" s="209" t="s">
        <v>646</v>
      </c>
      <c r="I158" s="210">
        <v>24606</v>
      </c>
      <c r="J158" s="211">
        <v>51</v>
      </c>
      <c r="L158" s="236">
        <v>157</v>
      </c>
      <c r="M158" s="237">
        <v>378</v>
      </c>
      <c r="N158" s="237">
        <v>616</v>
      </c>
      <c r="O158" s="238">
        <v>826</v>
      </c>
    </row>
    <row r="159" spans="1:15" x14ac:dyDescent="0.25">
      <c r="A159" s="230" t="s">
        <v>104</v>
      </c>
      <c r="B159" s="207" t="s">
        <v>815</v>
      </c>
      <c r="C159" s="208" t="s">
        <v>849</v>
      </c>
      <c r="D159" s="208" t="s">
        <v>9</v>
      </c>
      <c r="E159" s="208" t="s">
        <v>847</v>
      </c>
      <c r="F159" s="209" t="s">
        <v>2</v>
      </c>
      <c r="G159" s="209" t="s">
        <v>574</v>
      </c>
      <c r="H159" s="209" t="s">
        <v>646</v>
      </c>
      <c r="I159" s="210">
        <v>36280</v>
      </c>
      <c r="J159" s="211">
        <v>19</v>
      </c>
      <c r="L159" s="236">
        <v>158</v>
      </c>
      <c r="M159" s="237">
        <v>379</v>
      </c>
      <c r="N159" s="237">
        <v>617</v>
      </c>
      <c r="O159" s="238">
        <v>827</v>
      </c>
    </row>
    <row r="160" spans="1:15" x14ac:dyDescent="0.25">
      <c r="A160" s="230" t="s">
        <v>400</v>
      </c>
      <c r="B160" s="207" t="s">
        <v>815</v>
      </c>
      <c r="C160" s="208" t="s">
        <v>439</v>
      </c>
      <c r="D160" s="208" t="s">
        <v>9</v>
      </c>
      <c r="E160" s="208" t="s">
        <v>847</v>
      </c>
      <c r="F160" s="209" t="s">
        <v>2</v>
      </c>
      <c r="G160" s="209" t="s">
        <v>432</v>
      </c>
      <c r="H160" s="209" t="s">
        <v>646</v>
      </c>
      <c r="I160" s="210">
        <v>39384</v>
      </c>
      <c r="J160" s="211">
        <v>11</v>
      </c>
      <c r="L160" s="236">
        <v>159</v>
      </c>
      <c r="M160" s="237">
        <v>380</v>
      </c>
      <c r="N160" s="237">
        <v>618</v>
      </c>
      <c r="O160" s="238">
        <v>828</v>
      </c>
    </row>
    <row r="161" spans="1:15" x14ac:dyDescent="0.25">
      <c r="A161" s="230" t="s">
        <v>594</v>
      </c>
      <c r="B161" s="207" t="s">
        <v>815</v>
      </c>
      <c r="C161" s="208" t="s">
        <v>850</v>
      </c>
      <c r="D161" s="208" t="s">
        <v>9</v>
      </c>
      <c r="E161" s="208" t="s">
        <v>847</v>
      </c>
      <c r="F161" s="209" t="s">
        <v>2</v>
      </c>
      <c r="G161" s="209" t="s">
        <v>431</v>
      </c>
      <c r="H161" s="209" t="s">
        <v>646</v>
      </c>
      <c r="I161" s="210">
        <v>41243</v>
      </c>
      <c r="J161" s="211">
        <v>6</v>
      </c>
      <c r="L161" s="236">
        <v>160</v>
      </c>
      <c r="M161" s="237">
        <v>381</v>
      </c>
      <c r="N161" s="237">
        <v>619</v>
      </c>
      <c r="O161" s="238">
        <v>829</v>
      </c>
    </row>
    <row r="162" spans="1:15" x14ac:dyDescent="0.25">
      <c r="A162" s="230" t="s">
        <v>584</v>
      </c>
      <c r="B162" s="209" t="s">
        <v>3</v>
      </c>
      <c r="C162" s="208" t="s">
        <v>844</v>
      </c>
      <c r="D162" s="208" t="s">
        <v>9</v>
      </c>
      <c r="E162" s="208" t="s">
        <v>63</v>
      </c>
      <c r="F162" s="209" t="s">
        <v>2</v>
      </c>
      <c r="G162" s="209" t="s">
        <v>433</v>
      </c>
      <c r="H162" s="209" t="s">
        <v>665</v>
      </c>
      <c r="I162" s="210">
        <v>27210</v>
      </c>
      <c r="J162" s="211">
        <v>44</v>
      </c>
      <c r="L162" s="236">
        <v>161</v>
      </c>
      <c r="M162" s="237">
        <v>382</v>
      </c>
      <c r="N162" s="237">
        <v>620</v>
      </c>
      <c r="O162" s="238">
        <v>830</v>
      </c>
    </row>
    <row r="163" spans="1:15" x14ac:dyDescent="0.25">
      <c r="A163" s="230" t="s">
        <v>628</v>
      </c>
      <c r="B163" s="209" t="s">
        <v>154</v>
      </c>
      <c r="C163" s="208" t="s">
        <v>887</v>
      </c>
      <c r="D163" s="208" t="s">
        <v>9</v>
      </c>
      <c r="E163" s="208" t="s">
        <v>63</v>
      </c>
      <c r="F163" s="209" t="s">
        <v>2</v>
      </c>
      <c r="G163" s="209" t="s">
        <v>888</v>
      </c>
      <c r="H163" s="209" t="s">
        <v>665</v>
      </c>
      <c r="I163" s="210">
        <v>27540</v>
      </c>
      <c r="J163" s="211">
        <v>43</v>
      </c>
      <c r="L163" s="236">
        <v>162</v>
      </c>
      <c r="M163" s="237">
        <v>383</v>
      </c>
      <c r="N163" s="237">
        <v>621</v>
      </c>
      <c r="O163" s="238">
        <v>831</v>
      </c>
    </row>
    <row r="164" spans="1:15" x14ac:dyDescent="0.25">
      <c r="A164" s="230" t="s">
        <v>742</v>
      </c>
      <c r="B164" s="207" t="s">
        <v>154</v>
      </c>
      <c r="C164" s="208" t="s">
        <v>844</v>
      </c>
      <c r="D164" s="208" t="s">
        <v>9</v>
      </c>
      <c r="E164" s="208" t="s">
        <v>63</v>
      </c>
      <c r="F164" s="209" t="s">
        <v>2</v>
      </c>
      <c r="G164" s="209" t="s">
        <v>259</v>
      </c>
      <c r="H164" s="209" t="s">
        <v>665</v>
      </c>
      <c r="I164" s="210">
        <v>19234</v>
      </c>
      <c r="J164" s="211">
        <v>66</v>
      </c>
      <c r="L164" s="236">
        <v>163</v>
      </c>
      <c r="M164" s="237">
        <v>384</v>
      </c>
      <c r="N164" s="237">
        <v>622</v>
      </c>
      <c r="O164" s="238">
        <v>832</v>
      </c>
    </row>
    <row r="165" spans="1:15" x14ac:dyDescent="0.25">
      <c r="A165" s="230" t="s">
        <v>744</v>
      </c>
      <c r="B165" s="207" t="s">
        <v>815</v>
      </c>
      <c r="C165" s="208" t="s">
        <v>475</v>
      </c>
      <c r="D165" s="208" t="s">
        <v>9</v>
      </c>
      <c r="E165" s="208" t="s">
        <v>63</v>
      </c>
      <c r="F165" s="209" t="s">
        <v>2</v>
      </c>
      <c r="G165" s="209" t="s">
        <v>255</v>
      </c>
      <c r="H165" s="209" t="s">
        <v>665</v>
      </c>
      <c r="I165" s="210">
        <v>30724</v>
      </c>
      <c r="J165" s="211">
        <v>34</v>
      </c>
      <c r="L165" s="236">
        <v>164</v>
      </c>
      <c r="M165" s="237">
        <v>385</v>
      </c>
      <c r="N165" s="237">
        <v>623</v>
      </c>
      <c r="O165" s="238">
        <v>833</v>
      </c>
    </row>
    <row r="166" spans="1:15" x14ac:dyDescent="0.25">
      <c r="A166" s="230" t="s">
        <v>633</v>
      </c>
      <c r="B166" s="209" t="s">
        <v>154</v>
      </c>
      <c r="C166" s="208" t="s">
        <v>895</v>
      </c>
      <c r="D166" s="208" t="s">
        <v>896</v>
      </c>
      <c r="E166" s="208" t="s">
        <v>897</v>
      </c>
      <c r="F166" s="209" t="s">
        <v>2</v>
      </c>
      <c r="G166" s="209" t="s">
        <v>495</v>
      </c>
      <c r="H166" s="209" t="s">
        <v>646</v>
      </c>
      <c r="I166" s="210">
        <v>23516</v>
      </c>
      <c r="J166" s="211">
        <v>54</v>
      </c>
      <c r="L166" s="236">
        <v>165</v>
      </c>
      <c r="M166" s="237">
        <v>386</v>
      </c>
      <c r="N166" s="237">
        <v>624</v>
      </c>
      <c r="O166" s="238">
        <v>834</v>
      </c>
    </row>
    <row r="167" spans="1:15" x14ac:dyDescent="0.25">
      <c r="A167" s="230" t="s">
        <v>618</v>
      </c>
      <c r="B167" s="209" t="s">
        <v>43</v>
      </c>
      <c r="C167" s="208" t="s">
        <v>955</v>
      </c>
      <c r="D167" s="208" t="s">
        <v>195</v>
      </c>
      <c r="E167" s="208" t="s">
        <v>1157</v>
      </c>
      <c r="F167" s="209" t="s">
        <v>2</v>
      </c>
      <c r="G167" s="209" t="s">
        <v>516</v>
      </c>
      <c r="H167" s="209" t="s">
        <v>646</v>
      </c>
      <c r="I167" s="210">
        <v>30237</v>
      </c>
      <c r="J167" s="211">
        <v>36</v>
      </c>
      <c r="L167" s="236">
        <v>166</v>
      </c>
      <c r="M167" s="237">
        <v>387</v>
      </c>
      <c r="N167" s="237">
        <v>625</v>
      </c>
      <c r="O167" s="238">
        <v>835</v>
      </c>
    </row>
    <row r="168" spans="1:15" x14ac:dyDescent="0.25">
      <c r="A168" s="230" t="s">
        <v>640</v>
      </c>
      <c r="B168" s="209" t="s">
        <v>43</v>
      </c>
      <c r="C168" s="208" t="s">
        <v>1134</v>
      </c>
      <c r="D168" s="208" t="s">
        <v>195</v>
      </c>
      <c r="E168" s="208" t="s">
        <v>488</v>
      </c>
      <c r="F168" s="209" t="s">
        <v>2</v>
      </c>
      <c r="G168" s="209" t="s">
        <v>487</v>
      </c>
      <c r="H168" s="209" t="s">
        <v>646</v>
      </c>
      <c r="I168" s="210">
        <v>21789</v>
      </c>
      <c r="J168" s="211">
        <v>59</v>
      </c>
      <c r="L168" s="236">
        <v>167</v>
      </c>
      <c r="M168" s="237">
        <v>388</v>
      </c>
      <c r="N168" s="237">
        <v>626</v>
      </c>
      <c r="O168" s="238">
        <v>836</v>
      </c>
    </row>
    <row r="169" spans="1:15" x14ac:dyDescent="0.25">
      <c r="A169" s="230" t="s">
        <v>330</v>
      </c>
      <c r="B169" s="209" t="s">
        <v>43</v>
      </c>
      <c r="C169" s="208" t="s">
        <v>1128</v>
      </c>
      <c r="D169" s="208" t="s">
        <v>530</v>
      </c>
      <c r="E169" s="208" t="s">
        <v>132</v>
      </c>
      <c r="F169" s="209" t="s">
        <v>2</v>
      </c>
      <c r="G169" s="209" t="s">
        <v>529</v>
      </c>
      <c r="H169" s="209" t="s">
        <v>646</v>
      </c>
      <c r="I169" s="210">
        <v>20838</v>
      </c>
      <c r="J169" s="211">
        <v>61</v>
      </c>
      <c r="L169" s="236">
        <v>168</v>
      </c>
      <c r="M169" s="237">
        <v>389</v>
      </c>
      <c r="N169" s="237">
        <v>627</v>
      </c>
      <c r="O169" s="238">
        <v>837</v>
      </c>
    </row>
    <row r="170" spans="1:15" x14ac:dyDescent="0.25">
      <c r="A170" s="230" t="s">
        <v>613</v>
      </c>
      <c r="B170" s="207" t="s">
        <v>815</v>
      </c>
      <c r="C170" s="208" t="s">
        <v>876</v>
      </c>
      <c r="D170" s="208" t="s">
        <v>870</v>
      </c>
      <c r="E170" s="208" t="s">
        <v>875</v>
      </c>
      <c r="F170" s="209" t="s">
        <v>2</v>
      </c>
      <c r="G170" s="209" t="s">
        <v>524</v>
      </c>
      <c r="H170" s="209" t="s">
        <v>665</v>
      </c>
      <c r="I170" s="210">
        <v>34721</v>
      </c>
      <c r="J170" s="211">
        <v>23</v>
      </c>
      <c r="L170" s="236">
        <v>169</v>
      </c>
      <c r="M170" s="237">
        <v>390</v>
      </c>
      <c r="N170" s="237">
        <v>628</v>
      </c>
      <c r="O170" s="238">
        <v>838</v>
      </c>
    </row>
    <row r="171" spans="1:15" x14ac:dyDescent="0.25">
      <c r="A171" s="230" t="s">
        <v>611</v>
      </c>
      <c r="B171" s="209" t="s">
        <v>154</v>
      </c>
      <c r="C171" s="208" t="s">
        <v>869</v>
      </c>
      <c r="D171" s="208" t="s">
        <v>870</v>
      </c>
      <c r="E171" s="208" t="s">
        <v>871</v>
      </c>
      <c r="F171" s="209" t="s">
        <v>2</v>
      </c>
      <c r="G171" s="209" t="s">
        <v>525</v>
      </c>
      <c r="H171" s="209" t="s">
        <v>665</v>
      </c>
      <c r="I171" s="210">
        <v>21886</v>
      </c>
      <c r="J171" s="211">
        <v>59</v>
      </c>
      <c r="L171" s="236">
        <v>170</v>
      </c>
      <c r="M171" s="237">
        <v>391</v>
      </c>
      <c r="N171" s="237">
        <v>629</v>
      </c>
      <c r="O171" s="238">
        <v>839</v>
      </c>
    </row>
    <row r="172" spans="1:15" x14ac:dyDescent="0.25">
      <c r="A172" s="230" t="s">
        <v>1707</v>
      </c>
      <c r="B172" s="207" t="s">
        <v>3</v>
      </c>
      <c r="C172" s="212" t="s">
        <v>1709</v>
      </c>
      <c r="D172" s="212" t="s">
        <v>1710</v>
      </c>
      <c r="E172" s="212" t="s">
        <v>1711</v>
      </c>
      <c r="F172" s="209" t="s">
        <v>2</v>
      </c>
      <c r="G172" s="213" t="s">
        <v>1721</v>
      </c>
      <c r="H172" s="213" t="s">
        <v>665</v>
      </c>
      <c r="I172" s="214">
        <v>29444</v>
      </c>
      <c r="J172" s="211">
        <v>38</v>
      </c>
      <c r="L172" s="236">
        <v>171</v>
      </c>
      <c r="M172" s="237">
        <v>392</v>
      </c>
      <c r="N172" s="237">
        <v>630</v>
      </c>
      <c r="O172" s="238">
        <v>840</v>
      </c>
    </row>
    <row r="173" spans="1:15" x14ac:dyDescent="0.25">
      <c r="A173" s="230" t="s">
        <v>799</v>
      </c>
      <c r="B173" s="207" t="s">
        <v>3</v>
      </c>
      <c r="C173" s="208" t="s">
        <v>1132</v>
      </c>
      <c r="D173" s="208" t="s">
        <v>35</v>
      </c>
      <c r="E173" s="208" t="s">
        <v>132</v>
      </c>
      <c r="F173" s="209" t="s">
        <v>2</v>
      </c>
      <c r="G173" s="209" t="s">
        <v>34</v>
      </c>
      <c r="H173" s="209" t="s">
        <v>646</v>
      </c>
      <c r="I173" s="210">
        <v>20781</v>
      </c>
      <c r="J173" s="211">
        <v>62</v>
      </c>
      <c r="L173" s="236">
        <v>172</v>
      </c>
      <c r="M173" s="237">
        <v>393</v>
      </c>
      <c r="N173" s="237">
        <v>631</v>
      </c>
      <c r="O173" s="238">
        <v>841</v>
      </c>
    </row>
    <row r="174" spans="1:15" x14ac:dyDescent="0.25">
      <c r="A174" s="230" t="s">
        <v>1251</v>
      </c>
      <c r="B174" s="207" t="s">
        <v>3</v>
      </c>
      <c r="C174" s="208" t="s">
        <v>430</v>
      </c>
      <c r="D174" s="208" t="s">
        <v>1253</v>
      </c>
      <c r="E174" s="208" t="s">
        <v>1254</v>
      </c>
      <c r="F174" s="209" t="s">
        <v>2</v>
      </c>
      <c r="G174" s="209" t="s">
        <v>1258</v>
      </c>
      <c r="H174" s="209" t="s">
        <v>665</v>
      </c>
      <c r="I174" s="210">
        <v>27542</v>
      </c>
      <c r="J174" s="211">
        <v>43</v>
      </c>
      <c r="L174" s="236">
        <v>173</v>
      </c>
      <c r="M174" s="237">
        <v>394</v>
      </c>
      <c r="N174" s="237">
        <v>632</v>
      </c>
      <c r="O174" s="238">
        <v>842</v>
      </c>
    </row>
    <row r="175" spans="1:15" x14ac:dyDescent="0.25">
      <c r="A175" s="230" t="s">
        <v>738</v>
      </c>
      <c r="B175" s="209" t="s">
        <v>43</v>
      </c>
      <c r="C175" s="208" t="s">
        <v>267</v>
      </c>
      <c r="D175" s="208" t="s">
        <v>263</v>
      </c>
      <c r="E175" s="208" t="s">
        <v>1149</v>
      </c>
      <c r="F175" s="209" t="s">
        <v>2</v>
      </c>
      <c r="G175" s="209" t="s">
        <v>266</v>
      </c>
      <c r="H175" s="209" t="s">
        <v>646</v>
      </c>
      <c r="I175" s="210">
        <v>26897</v>
      </c>
      <c r="J175" s="211">
        <v>45</v>
      </c>
      <c r="L175" s="236">
        <v>174</v>
      </c>
      <c r="M175" s="237">
        <v>395</v>
      </c>
      <c r="N175" s="237">
        <v>633</v>
      </c>
      <c r="O175" s="238">
        <v>843</v>
      </c>
    </row>
    <row r="176" spans="1:15" x14ac:dyDescent="0.25">
      <c r="A176" s="230" t="s">
        <v>794</v>
      </c>
      <c r="B176" s="209" t="s">
        <v>43</v>
      </c>
      <c r="C176" s="208" t="s">
        <v>56</v>
      </c>
      <c r="D176" s="208" t="s">
        <v>55</v>
      </c>
      <c r="E176" s="208" t="s">
        <v>54</v>
      </c>
      <c r="F176" s="209" t="s">
        <v>2</v>
      </c>
      <c r="G176" s="209" t="s">
        <v>53</v>
      </c>
      <c r="H176" s="209" t="s">
        <v>646</v>
      </c>
      <c r="I176" s="210">
        <v>23116</v>
      </c>
      <c r="J176" s="211">
        <v>55</v>
      </c>
      <c r="L176" s="236">
        <v>175</v>
      </c>
      <c r="M176" s="237">
        <v>396</v>
      </c>
      <c r="N176" s="237">
        <v>634</v>
      </c>
      <c r="O176" s="238">
        <v>844</v>
      </c>
    </row>
    <row r="177" spans="1:15" x14ac:dyDescent="0.25">
      <c r="A177" s="230" t="s">
        <v>714</v>
      </c>
      <c r="B177" s="207" t="s">
        <v>815</v>
      </c>
      <c r="C177" s="208" t="s">
        <v>1310</v>
      </c>
      <c r="D177" s="208" t="s">
        <v>1152</v>
      </c>
      <c r="E177" s="208" t="s">
        <v>132</v>
      </c>
      <c r="F177" s="209" t="s">
        <v>2</v>
      </c>
      <c r="G177" s="209" t="s">
        <v>1311</v>
      </c>
      <c r="H177" s="209" t="s">
        <v>646</v>
      </c>
      <c r="I177" s="210">
        <v>33716</v>
      </c>
      <c r="J177" s="211">
        <v>26</v>
      </c>
      <c r="L177" s="236">
        <v>176</v>
      </c>
      <c r="M177" s="237">
        <v>397</v>
      </c>
      <c r="N177" s="237">
        <v>635</v>
      </c>
      <c r="O177" s="238">
        <v>845</v>
      </c>
    </row>
    <row r="178" spans="1:15" x14ac:dyDescent="0.25">
      <c r="A178" s="230" t="s">
        <v>783</v>
      </c>
      <c r="B178" s="207" t="s">
        <v>3</v>
      </c>
      <c r="C178" s="208" t="s">
        <v>40</v>
      </c>
      <c r="D178" s="208" t="s">
        <v>1151</v>
      </c>
      <c r="E178" s="208" t="s">
        <v>63</v>
      </c>
      <c r="F178" s="209" t="s">
        <v>2</v>
      </c>
      <c r="G178" s="209" t="s">
        <v>87</v>
      </c>
      <c r="H178" s="209" t="s">
        <v>665</v>
      </c>
      <c r="I178" s="210">
        <v>31777</v>
      </c>
      <c r="J178" s="211">
        <v>32</v>
      </c>
      <c r="L178" s="236">
        <v>177</v>
      </c>
      <c r="M178" s="237">
        <v>398</v>
      </c>
      <c r="N178" s="237">
        <v>636</v>
      </c>
      <c r="O178" s="238">
        <v>846</v>
      </c>
    </row>
    <row r="179" spans="1:15" x14ac:dyDescent="0.25">
      <c r="A179" s="230" t="s">
        <v>800</v>
      </c>
      <c r="B179" s="207" t="s">
        <v>818</v>
      </c>
      <c r="C179" s="208" t="s">
        <v>1125</v>
      </c>
      <c r="D179" s="208" t="s">
        <v>1151</v>
      </c>
      <c r="E179" s="208" t="s">
        <v>1071</v>
      </c>
      <c r="F179" s="209" t="s">
        <v>2</v>
      </c>
      <c r="G179" s="209" t="s">
        <v>1168</v>
      </c>
      <c r="H179" s="209" t="s">
        <v>665</v>
      </c>
      <c r="I179" s="210">
        <v>18464</v>
      </c>
      <c r="J179" s="211">
        <v>68</v>
      </c>
      <c r="L179" s="236">
        <v>178</v>
      </c>
      <c r="M179" s="237">
        <v>399</v>
      </c>
      <c r="N179" s="237">
        <v>637</v>
      </c>
      <c r="O179" s="238">
        <v>847</v>
      </c>
    </row>
    <row r="180" spans="1:15" x14ac:dyDescent="0.25">
      <c r="A180" s="230" t="s">
        <v>627</v>
      </c>
      <c r="B180" s="209" t="s">
        <v>154</v>
      </c>
      <c r="C180" s="208" t="s">
        <v>203</v>
      </c>
      <c r="D180" s="208" t="s">
        <v>1151</v>
      </c>
      <c r="E180" s="208" t="s">
        <v>463</v>
      </c>
      <c r="F180" s="209" t="s">
        <v>2</v>
      </c>
      <c r="G180" s="209" t="s">
        <v>506</v>
      </c>
      <c r="H180" s="209" t="s">
        <v>665</v>
      </c>
      <c r="I180" s="210">
        <v>29602</v>
      </c>
      <c r="J180" s="211">
        <v>37</v>
      </c>
      <c r="L180" s="236">
        <v>179</v>
      </c>
      <c r="M180" s="237">
        <v>400</v>
      </c>
      <c r="N180" s="237">
        <v>638</v>
      </c>
      <c r="O180" s="238">
        <v>848</v>
      </c>
    </row>
    <row r="181" spans="1:15" x14ac:dyDescent="0.25">
      <c r="A181" s="230" t="s">
        <v>608</v>
      </c>
      <c r="B181" s="209" t="s">
        <v>3</v>
      </c>
      <c r="C181" s="208" t="s">
        <v>536</v>
      </c>
      <c r="D181" s="208" t="s">
        <v>1151</v>
      </c>
      <c r="E181" s="208" t="s">
        <v>535</v>
      </c>
      <c r="F181" s="209" t="s">
        <v>2</v>
      </c>
      <c r="G181" s="209" t="s">
        <v>534</v>
      </c>
      <c r="H181" s="209" t="s">
        <v>646</v>
      </c>
      <c r="I181" s="210">
        <v>30701</v>
      </c>
      <c r="J181" s="211">
        <v>34</v>
      </c>
      <c r="L181" s="236">
        <v>180</v>
      </c>
      <c r="M181" s="237">
        <v>401</v>
      </c>
      <c r="N181" s="237">
        <v>639</v>
      </c>
      <c r="O181" s="238">
        <v>849</v>
      </c>
    </row>
    <row r="182" spans="1:15" x14ac:dyDescent="0.25">
      <c r="A182" s="230" t="s">
        <v>1757</v>
      </c>
      <c r="B182" s="207" t="s">
        <v>43</v>
      </c>
      <c r="C182" s="212" t="s">
        <v>1423</v>
      </c>
      <c r="D182" s="212" t="s">
        <v>1750</v>
      </c>
      <c r="E182" s="212" t="s">
        <v>1751</v>
      </c>
      <c r="F182" s="209" t="s">
        <v>2</v>
      </c>
      <c r="G182" s="213" t="s">
        <v>1753</v>
      </c>
      <c r="H182" s="213" t="s">
        <v>665</v>
      </c>
      <c r="I182" s="214">
        <v>24810</v>
      </c>
      <c r="J182" s="211">
        <v>51</v>
      </c>
      <c r="L182" s="236">
        <v>181</v>
      </c>
      <c r="M182" s="237">
        <v>402</v>
      </c>
      <c r="N182" s="237">
        <v>640</v>
      </c>
      <c r="O182" s="238">
        <v>850</v>
      </c>
    </row>
    <row r="183" spans="1:15" x14ac:dyDescent="0.25">
      <c r="A183" s="230" t="s">
        <v>1281</v>
      </c>
      <c r="B183" s="207" t="s">
        <v>3</v>
      </c>
      <c r="C183" s="208" t="s">
        <v>1282</v>
      </c>
      <c r="D183" s="208" t="s">
        <v>1283</v>
      </c>
      <c r="E183" s="208" t="s">
        <v>1149</v>
      </c>
      <c r="F183" s="209" t="s">
        <v>2</v>
      </c>
      <c r="G183" s="209" t="s">
        <v>1284</v>
      </c>
      <c r="H183" s="209" t="s">
        <v>646</v>
      </c>
      <c r="I183" s="210">
        <v>26216</v>
      </c>
      <c r="J183" s="211">
        <v>47</v>
      </c>
      <c r="L183" s="236">
        <v>182</v>
      </c>
      <c r="M183" s="237">
        <v>403</v>
      </c>
      <c r="N183" s="237">
        <v>641</v>
      </c>
      <c r="O183" s="238">
        <v>851</v>
      </c>
    </row>
    <row r="184" spans="1:15" x14ac:dyDescent="0.25">
      <c r="A184" s="230" t="s">
        <v>610</v>
      </c>
      <c r="B184" s="209" t="s">
        <v>154</v>
      </c>
      <c r="C184" s="208" t="s">
        <v>528</v>
      </c>
      <c r="D184" s="208" t="s">
        <v>527</v>
      </c>
      <c r="E184" s="208" t="s">
        <v>354</v>
      </c>
      <c r="F184" s="209" t="s">
        <v>2</v>
      </c>
      <c r="G184" s="209" t="s">
        <v>526</v>
      </c>
      <c r="H184" s="209" t="s">
        <v>646</v>
      </c>
      <c r="I184" s="210">
        <v>31179</v>
      </c>
      <c r="J184" s="211">
        <v>33</v>
      </c>
      <c r="L184" s="236">
        <v>183</v>
      </c>
      <c r="M184" s="237">
        <v>404</v>
      </c>
      <c r="N184" s="237">
        <v>642</v>
      </c>
      <c r="O184" s="238">
        <v>852</v>
      </c>
    </row>
    <row r="185" spans="1:15" x14ac:dyDescent="0.25">
      <c r="A185" s="230" t="s">
        <v>791</v>
      </c>
      <c r="B185" s="207" t="s">
        <v>3</v>
      </c>
      <c r="C185" s="208" t="s">
        <v>1095</v>
      </c>
      <c r="D185" s="208" t="s">
        <v>1096</v>
      </c>
      <c r="E185" s="208" t="s">
        <v>63</v>
      </c>
      <c r="F185" s="209" t="s">
        <v>2</v>
      </c>
      <c r="G185" s="209" t="s">
        <v>67</v>
      </c>
      <c r="H185" s="209" t="s">
        <v>646</v>
      </c>
      <c r="I185" s="210">
        <v>31456</v>
      </c>
      <c r="J185" s="211">
        <v>32</v>
      </c>
      <c r="L185" s="236">
        <v>184</v>
      </c>
      <c r="M185" s="237">
        <v>405</v>
      </c>
      <c r="N185" s="237">
        <v>643</v>
      </c>
      <c r="O185" s="238">
        <v>853</v>
      </c>
    </row>
    <row r="186" spans="1:15" x14ac:dyDescent="0.25">
      <c r="A186" s="230" t="s">
        <v>607</v>
      </c>
      <c r="B186" s="209" t="s">
        <v>154</v>
      </c>
      <c r="C186" s="208" t="s">
        <v>287</v>
      </c>
      <c r="D186" s="208" t="s">
        <v>864</v>
      </c>
      <c r="E186" s="208" t="s">
        <v>546</v>
      </c>
      <c r="F186" s="209" t="s">
        <v>2</v>
      </c>
      <c r="G186" s="209" t="s">
        <v>539</v>
      </c>
      <c r="H186" s="209" t="s">
        <v>665</v>
      </c>
      <c r="I186" s="210">
        <v>30087</v>
      </c>
      <c r="J186" s="211">
        <v>36</v>
      </c>
      <c r="L186" s="236">
        <v>185</v>
      </c>
      <c r="M186" s="237">
        <v>406</v>
      </c>
      <c r="N186" s="237">
        <v>644</v>
      </c>
      <c r="O186" s="238">
        <v>854</v>
      </c>
    </row>
    <row r="187" spans="1:15" x14ac:dyDescent="0.25">
      <c r="A187" s="230" t="s">
        <v>600</v>
      </c>
      <c r="B187" s="209" t="s">
        <v>43</v>
      </c>
      <c r="C187" s="208" t="s">
        <v>564</v>
      </c>
      <c r="D187" s="208" t="s">
        <v>559</v>
      </c>
      <c r="E187" s="208" t="s">
        <v>563</v>
      </c>
      <c r="F187" s="209" t="s">
        <v>2</v>
      </c>
      <c r="G187" s="209" t="s">
        <v>562</v>
      </c>
      <c r="H187" s="209" t="s">
        <v>646</v>
      </c>
      <c r="I187" s="210">
        <v>25221</v>
      </c>
      <c r="J187" s="211">
        <v>49</v>
      </c>
      <c r="L187" s="236">
        <v>186</v>
      </c>
      <c r="M187" s="237">
        <v>407</v>
      </c>
      <c r="N187" s="237">
        <v>645</v>
      </c>
      <c r="O187" s="238">
        <v>855</v>
      </c>
    </row>
    <row r="188" spans="1:15" x14ac:dyDescent="0.25">
      <c r="A188" s="230" t="s">
        <v>737</v>
      </c>
      <c r="B188" s="207" t="s">
        <v>154</v>
      </c>
      <c r="C188" s="208" t="s">
        <v>273</v>
      </c>
      <c r="D188" s="208" t="s">
        <v>264</v>
      </c>
      <c r="E188" s="208" t="s">
        <v>1146</v>
      </c>
      <c r="F188" s="209" t="s">
        <v>2</v>
      </c>
      <c r="G188" s="209" t="s">
        <v>272</v>
      </c>
      <c r="H188" s="209" t="s">
        <v>665</v>
      </c>
      <c r="I188" s="210">
        <v>26528</v>
      </c>
      <c r="J188" s="211">
        <v>46</v>
      </c>
      <c r="L188" s="236">
        <v>187</v>
      </c>
      <c r="M188" s="237">
        <v>408</v>
      </c>
      <c r="N188" s="237">
        <v>646</v>
      </c>
      <c r="O188" s="238">
        <v>856</v>
      </c>
    </row>
    <row r="189" spans="1:15" x14ac:dyDescent="0.25">
      <c r="A189" s="230" t="s">
        <v>740</v>
      </c>
      <c r="B189" s="207" t="s">
        <v>815</v>
      </c>
      <c r="C189" s="208" t="s">
        <v>265</v>
      </c>
      <c r="D189" s="208" t="s">
        <v>264</v>
      </c>
      <c r="E189" s="208" t="s">
        <v>263</v>
      </c>
      <c r="F189" s="209" t="s">
        <v>2</v>
      </c>
      <c r="G189" s="209" t="s">
        <v>262</v>
      </c>
      <c r="H189" s="209" t="s">
        <v>646</v>
      </c>
      <c r="I189" s="210">
        <v>37021</v>
      </c>
      <c r="J189" s="211">
        <v>17</v>
      </c>
      <c r="L189" s="236">
        <v>188</v>
      </c>
      <c r="M189" s="237">
        <v>409</v>
      </c>
      <c r="N189" s="237">
        <v>647</v>
      </c>
      <c r="O189" s="238">
        <v>857</v>
      </c>
    </row>
    <row r="190" spans="1:15" x14ac:dyDescent="0.25">
      <c r="A190" s="230" t="s">
        <v>698</v>
      </c>
      <c r="B190" s="209" t="s">
        <v>154</v>
      </c>
      <c r="C190" s="208" t="s">
        <v>974</v>
      </c>
      <c r="D190" s="208" t="s">
        <v>975</v>
      </c>
      <c r="E190" s="208" t="s">
        <v>63</v>
      </c>
      <c r="F190" s="209" t="s">
        <v>2</v>
      </c>
      <c r="G190" s="209" t="s">
        <v>373</v>
      </c>
      <c r="H190" s="209" t="s">
        <v>665</v>
      </c>
      <c r="I190" s="210">
        <v>25797</v>
      </c>
      <c r="J190" s="211">
        <v>48</v>
      </c>
      <c r="L190" s="236">
        <v>189</v>
      </c>
      <c r="M190" s="237">
        <v>410</v>
      </c>
      <c r="N190" s="237">
        <v>648</v>
      </c>
      <c r="O190" s="238">
        <v>858</v>
      </c>
    </row>
    <row r="191" spans="1:15" x14ac:dyDescent="0.25">
      <c r="A191" s="230" t="s">
        <v>595</v>
      </c>
      <c r="B191" s="207" t="s">
        <v>815</v>
      </c>
      <c r="C191" s="208" t="s">
        <v>267</v>
      </c>
      <c r="D191" s="208" t="s">
        <v>855</v>
      </c>
      <c r="E191" s="208" t="s">
        <v>403</v>
      </c>
      <c r="F191" s="209"/>
      <c r="G191" s="209"/>
      <c r="H191" s="209" t="s">
        <v>646</v>
      </c>
      <c r="I191" s="210">
        <v>40708</v>
      </c>
      <c r="J191" s="211">
        <v>7</v>
      </c>
      <c r="L191" s="236">
        <v>190</v>
      </c>
      <c r="M191" s="237">
        <v>411</v>
      </c>
      <c r="N191" s="237">
        <v>649</v>
      </c>
      <c r="O191" s="238">
        <v>859</v>
      </c>
    </row>
    <row r="192" spans="1:15" x14ac:dyDescent="0.25">
      <c r="A192" s="230" t="s">
        <v>694</v>
      </c>
      <c r="B192" s="209" t="s">
        <v>43</v>
      </c>
      <c r="C192" s="208" t="s">
        <v>1130</v>
      </c>
      <c r="D192" s="208" t="s">
        <v>394</v>
      </c>
      <c r="E192" s="208" t="s">
        <v>174</v>
      </c>
      <c r="F192" s="209" t="s">
        <v>2</v>
      </c>
      <c r="G192" s="209" t="s">
        <v>385</v>
      </c>
      <c r="H192" s="209" t="s">
        <v>646</v>
      </c>
      <c r="I192" s="210">
        <v>21471</v>
      </c>
      <c r="J192" s="211">
        <v>60</v>
      </c>
      <c r="L192" s="236">
        <v>191</v>
      </c>
      <c r="M192" s="237">
        <v>412</v>
      </c>
      <c r="N192" s="237">
        <v>650</v>
      </c>
      <c r="O192" s="238">
        <v>860</v>
      </c>
    </row>
    <row r="193" spans="1:15" x14ac:dyDescent="0.25">
      <c r="A193" s="230" t="s">
        <v>1289</v>
      </c>
      <c r="B193" s="207" t="s">
        <v>3</v>
      </c>
      <c r="C193" s="208" t="s">
        <v>1290</v>
      </c>
      <c r="D193" s="208" t="s">
        <v>1291</v>
      </c>
      <c r="E193" s="208" t="s">
        <v>1292</v>
      </c>
      <c r="F193" s="209" t="s">
        <v>2</v>
      </c>
      <c r="G193" s="209" t="s">
        <v>1293</v>
      </c>
      <c r="H193" s="209" t="s">
        <v>665</v>
      </c>
      <c r="I193" s="210">
        <v>26044</v>
      </c>
      <c r="J193" s="211">
        <v>47</v>
      </c>
      <c r="L193" s="236">
        <v>192</v>
      </c>
      <c r="M193" s="237">
        <v>413</v>
      </c>
      <c r="N193" s="237">
        <v>651</v>
      </c>
      <c r="O193" s="238">
        <v>861</v>
      </c>
    </row>
    <row r="194" spans="1:15" x14ac:dyDescent="0.25">
      <c r="A194" s="230" t="s">
        <v>1443</v>
      </c>
      <c r="B194" s="207" t="s">
        <v>818</v>
      </c>
      <c r="C194" s="208" t="s">
        <v>1449</v>
      </c>
      <c r="D194" s="208" t="s">
        <v>1446</v>
      </c>
      <c r="E194" s="208" t="s">
        <v>1446</v>
      </c>
      <c r="F194" s="209" t="s">
        <v>2</v>
      </c>
      <c r="G194" s="209" t="s">
        <v>1454</v>
      </c>
      <c r="H194" s="209" t="s">
        <v>665</v>
      </c>
      <c r="I194" s="210">
        <v>20346</v>
      </c>
      <c r="J194" s="211">
        <v>63</v>
      </c>
      <c r="L194" s="236">
        <v>193</v>
      </c>
      <c r="M194" s="237">
        <v>414</v>
      </c>
      <c r="N194" s="237">
        <v>652</v>
      </c>
      <c r="O194" s="238">
        <v>862</v>
      </c>
    </row>
    <row r="195" spans="1:15" x14ac:dyDescent="0.25">
      <c r="A195" s="230" t="s">
        <v>1440</v>
      </c>
      <c r="B195" s="207" t="s">
        <v>3</v>
      </c>
      <c r="C195" s="208" t="s">
        <v>1445</v>
      </c>
      <c r="D195" s="208" t="s">
        <v>1446</v>
      </c>
      <c r="E195" s="208" t="s">
        <v>1447</v>
      </c>
      <c r="F195" s="209" t="s">
        <v>2</v>
      </c>
      <c r="G195" s="209" t="s">
        <v>1451</v>
      </c>
      <c r="H195" s="209" t="s">
        <v>665</v>
      </c>
      <c r="I195" s="210">
        <v>28944</v>
      </c>
      <c r="J195" s="211">
        <v>39</v>
      </c>
      <c r="L195" s="236">
        <v>194</v>
      </c>
      <c r="M195" s="237">
        <v>415</v>
      </c>
      <c r="N195" s="237">
        <v>653</v>
      </c>
      <c r="O195" s="238">
        <v>863</v>
      </c>
    </row>
    <row r="196" spans="1:15" x14ac:dyDescent="0.25">
      <c r="A196" s="230" t="s">
        <v>623</v>
      </c>
      <c r="B196" s="209" t="s">
        <v>154</v>
      </c>
      <c r="C196" s="208" t="s">
        <v>512</v>
      </c>
      <c r="D196" s="208" t="s">
        <v>291</v>
      </c>
      <c r="E196" s="208" t="s">
        <v>511</v>
      </c>
      <c r="F196" s="209" t="s">
        <v>2</v>
      </c>
      <c r="G196" s="209" t="s">
        <v>510</v>
      </c>
      <c r="H196" s="209" t="s">
        <v>665</v>
      </c>
      <c r="I196" s="210">
        <v>30957</v>
      </c>
      <c r="J196" s="211">
        <v>34</v>
      </c>
      <c r="L196" s="236">
        <v>195</v>
      </c>
      <c r="M196" s="237">
        <v>416</v>
      </c>
      <c r="N196" s="237">
        <v>654</v>
      </c>
      <c r="O196" s="238">
        <v>864</v>
      </c>
    </row>
    <row r="197" spans="1:15" x14ac:dyDescent="0.25">
      <c r="A197" s="230" t="s">
        <v>1181</v>
      </c>
      <c r="B197" s="207" t="s">
        <v>3</v>
      </c>
      <c r="C197" s="208" t="s">
        <v>1180</v>
      </c>
      <c r="D197" s="208" t="s">
        <v>291</v>
      </c>
      <c r="E197" s="208" t="s">
        <v>396</v>
      </c>
      <c r="F197" s="209" t="s">
        <v>2</v>
      </c>
      <c r="G197" s="209" t="s">
        <v>1182</v>
      </c>
      <c r="H197" s="209" t="s">
        <v>646</v>
      </c>
      <c r="I197" s="210">
        <v>27499</v>
      </c>
      <c r="J197" s="211">
        <v>43</v>
      </c>
      <c r="L197" s="236">
        <v>196</v>
      </c>
      <c r="M197" s="237">
        <v>417</v>
      </c>
      <c r="N197" s="237">
        <v>655</v>
      </c>
      <c r="O197" s="238">
        <v>865</v>
      </c>
    </row>
    <row r="198" spans="1:15" x14ac:dyDescent="0.25">
      <c r="A198" s="230" t="s">
        <v>778</v>
      </c>
      <c r="B198" s="209" t="s">
        <v>43</v>
      </c>
      <c r="C198" s="208" t="s">
        <v>112</v>
      </c>
      <c r="D198" s="208" t="s">
        <v>291</v>
      </c>
      <c r="E198" s="208" t="s">
        <v>132</v>
      </c>
      <c r="F198" s="209" t="s">
        <v>2</v>
      </c>
      <c r="G198" s="209" t="s">
        <v>1167</v>
      </c>
      <c r="H198" s="209" t="s">
        <v>646</v>
      </c>
      <c r="I198" s="210">
        <v>30107</v>
      </c>
      <c r="J198" s="211">
        <v>36</v>
      </c>
      <c r="L198" s="236">
        <v>197</v>
      </c>
      <c r="M198" s="237">
        <v>418</v>
      </c>
      <c r="N198" s="237">
        <v>656</v>
      </c>
      <c r="O198" s="238">
        <v>866</v>
      </c>
    </row>
    <row r="199" spans="1:15" x14ac:dyDescent="0.25">
      <c r="A199" s="230" t="s">
        <v>806</v>
      </c>
      <c r="B199" s="209" t="s">
        <v>43</v>
      </c>
      <c r="C199" s="208" t="s">
        <v>221</v>
      </c>
      <c r="D199" s="208" t="s">
        <v>291</v>
      </c>
      <c r="E199" s="208" t="s">
        <v>1152</v>
      </c>
      <c r="F199" s="209" t="s">
        <v>2</v>
      </c>
      <c r="G199" s="209" t="s">
        <v>220</v>
      </c>
      <c r="H199" s="209" t="s">
        <v>646</v>
      </c>
      <c r="I199" s="210">
        <v>30467</v>
      </c>
      <c r="J199" s="211">
        <v>35</v>
      </c>
      <c r="L199" s="236">
        <v>198</v>
      </c>
      <c r="M199" s="237">
        <v>419</v>
      </c>
      <c r="N199" s="237">
        <v>657</v>
      </c>
      <c r="O199" s="238">
        <v>867</v>
      </c>
    </row>
    <row r="200" spans="1:15" x14ac:dyDescent="0.25">
      <c r="A200" s="230" t="s">
        <v>1719</v>
      </c>
      <c r="B200" s="207" t="s">
        <v>3</v>
      </c>
      <c r="C200" s="212" t="s">
        <v>267</v>
      </c>
      <c r="D200" s="212" t="s">
        <v>1720</v>
      </c>
      <c r="E200" s="212" t="s">
        <v>132</v>
      </c>
      <c r="F200" s="209" t="s">
        <v>2</v>
      </c>
      <c r="G200" s="213" t="s">
        <v>1722</v>
      </c>
      <c r="H200" s="213" t="s">
        <v>646</v>
      </c>
      <c r="I200" s="214">
        <v>30705</v>
      </c>
      <c r="J200" s="211">
        <v>34</v>
      </c>
      <c r="L200" s="236">
        <v>199</v>
      </c>
      <c r="M200" s="237">
        <v>420</v>
      </c>
      <c r="N200" s="237">
        <v>658</v>
      </c>
      <c r="O200" s="238">
        <v>868</v>
      </c>
    </row>
    <row r="201" spans="1:15" x14ac:dyDescent="0.25">
      <c r="A201" s="230" t="s">
        <v>766</v>
      </c>
      <c r="B201" s="207" t="s">
        <v>3</v>
      </c>
      <c r="C201" s="208" t="s">
        <v>1133</v>
      </c>
      <c r="D201" s="208" t="s">
        <v>167</v>
      </c>
      <c r="E201" s="208" t="s">
        <v>1158</v>
      </c>
      <c r="F201" s="209" t="s">
        <v>2</v>
      </c>
      <c r="G201" s="209" t="s">
        <v>166</v>
      </c>
      <c r="H201" s="209" t="s">
        <v>646</v>
      </c>
      <c r="I201" s="210">
        <v>26458</v>
      </c>
      <c r="J201" s="211">
        <v>46</v>
      </c>
      <c r="L201" s="236">
        <v>200</v>
      </c>
      <c r="M201" s="237">
        <v>421</v>
      </c>
      <c r="N201" s="237">
        <v>659</v>
      </c>
      <c r="O201" s="238">
        <v>869</v>
      </c>
    </row>
    <row r="202" spans="1:15" x14ac:dyDescent="0.25">
      <c r="A202" s="230" t="s">
        <v>779</v>
      </c>
      <c r="B202" s="207" t="s">
        <v>3</v>
      </c>
      <c r="C202" s="208" t="s">
        <v>1073</v>
      </c>
      <c r="D202" s="208" t="s">
        <v>1074</v>
      </c>
      <c r="E202" s="208" t="s">
        <v>1075</v>
      </c>
      <c r="F202" s="209" t="s">
        <v>2</v>
      </c>
      <c r="G202" s="209" t="s">
        <v>1076</v>
      </c>
      <c r="H202" s="209" t="s">
        <v>646</v>
      </c>
      <c r="I202" s="210">
        <v>28344</v>
      </c>
      <c r="J202" s="211">
        <v>41</v>
      </c>
      <c r="L202" s="236">
        <v>201</v>
      </c>
      <c r="M202" s="237">
        <v>422</v>
      </c>
      <c r="N202" s="237">
        <v>660</v>
      </c>
      <c r="O202" s="238">
        <v>870</v>
      </c>
    </row>
    <row r="203" spans="1:15" x14ac:dyDescent="0.25">
      <c r="A203" s="230" t="s">
        <v>780</v>
      </c>
      <c r="B203" s="207" t="s">
        <v>815</v>
      </c>
      <c r="C203" s="208" t="s">
        <v>1079</v>
      </c>
      <c r="D203" s="208" t="s">
        <v>1074</v>
      </c>
      <c r="E203" s="208" t="s">
        <v>1075</v>
      </c>
      <c r="F203" s="209" t="s">
        <v>2</v>
      </c>
      <c r="G203" s="209" t="s">
        <v>110</v>
      </c>
      <c r="H203" s="209" t="s">
        <v>646</v>
      </c>
      <c r="I203" s="210">
        <v>40131</v>
      </c>
      <c r="J203" s="211">
        <v>9</v>
      </c>
      <c r="L203" s="236">
        <v>202</v>
      </c>
      <c r="M203" s="237">
        <v>423</v>
      </c>
      <c r="N203" s="237">
        <v>661</v>
      </c>
      <c r="O203" s="238">
        <v>871</v>
      </c>
    </row>
    <row r="204" spans="1:15" x14ac:dyDescent="0.25">
      <c r="A204" s="230" t="s">
        <v>770</v>
      </c>
      <c r="B204" s="207" t="s">
        <v>154</v>
      </c>
      <c r="C204" s="208" t="s">
        <v>153</v>
      </c>
      <c r="D204" s="208" t="s">
        <v>22</v>
      </c>
      <c r="E204" s="208" t="s">
        <v>1146</v>
      </c>
      <c r="F204" s="209" t="s">
        <v>2</v>
      </c>
      <c r="G204" s="209" t="s">
        <v>152</v>
      </c>
      <c r="H204" s="209" t="s">
        <v>665</v>
      </c>
      <c r="I204" s="210">
        <v>30595</v>
      </c>
      <c r="J204" s="211">
        <v>35</v>
      </c>
      <c r="L204" s="236">
        <v>203</v>
      </c>
      <c r="M204" s="237">
        <v>424</v>
      </c>
      <c r="N204" s="237">
        <v>662</v>
      </c>
      <c r="O204" s="238">
        <v>872</v>
      </c>
    </row>
    <row r="205" spans="1:15" x14ac:dyDescent="0.25">
      <c r="A205" s="230" t="s">
        <v>747</v>
      </c>
      <c r="B205" s="207" t="s">
        <v>818</v>
      </c>
      <c r="C205" s="208" t="s">
        <v>1141</v>
      </c>
      <c r="D205" s="208" t="s">
        <v>228</v>
      </c>
      <c r="E205" s="208" t="s">
        <v>246</v>
      </c>
      <c r="F205" s="209" t="s">
        <v>2</v>
      </c>
      <c r="G205" s="209" t="s">
        <v>245</v>
      </c>
      <c r="H205" s="209" t="s">
        <v>646</v>
      </c>
      <c r="I205" s="210">
        <v>18881</v>
      </c>
      <c r="J205" s="211">
        <v>67</v>
      </c>
      <c r="L205" s="236">
        <v>204</v>
      </c>
      <c r="M205" s="237">
        <v>425</v>
      </c>
      <c r="N205" s="237">
        <v>663</v>
      </c>
      <c r="O205" s="238">
        <v>873</v>
      </c>
    </row>
    <row r="206" spans="1:15" x14ac:dyDescent="0.25">
      <c r="A206" s="230" t="s">
        <v>739</v>
      </c>
      <c r="B206" s="209" t="s">
        <v>3</v>
      </c>
      <c r="C206" s="208" t="s">
        <v>229</v>
      </c>
      <c r="D206" s="208" t="s">
        <v>228</v>
      </c>
      <c r="E206" s="208" t="s">
        <v>227</v>
      </c>
      <c r="F206" s="209" t="s">
        <v>2</v>
      </c>
      <c r="G206" s="209" t="s">
        <v>226</v>
      </c>
      <c r="H206" s="209" t="s">
        <v>665</v>
      </c>
      <c r="I206" s="210">
        <v>27577</v>
      </c>
      <c r="J206" s="211">
        <v>43</v>
      </c>
      <c r="L206" s="236">
        <v>205</v>
      </c>
      <c r="M206" s="237">
        <v>426</v>
      </c>
      <c r="N206" s="237">
        <v>664</v>
      </c>
      <c r="O206" s="238">
        <v>874</v>
      </c>
    </row>
    <row r="207" spans="1:15" x14ac:dyDescent="0.25">
      <c r="A207" s="230" t="s">
        <v>758</v>
      </c>
      <c r="B207" s="207" t="s">
        <v>3</v>
      </c>
      <c r="C207" s="208" t="s">
        <v>1124</v>
      </c>
      <c r="D207" s="208" t="s">
        <v>201</v>
      </c>
      <c r="E207" s="208" t="s">
        <v>63</v>
      </c>
      <c r="F207" s="209" t="s">
        <v>2</v>
      </c>
      <c r="G207" s="209" t="s">
        <v>211</v>
      </c>
      <c r="H207" s="209" t="s">
        <v>646</v>
      </c>
      <c r="I207" s="210">
        <v>24829</v>
      </c>
      <c r="J207" s="211">
        <v>51</v>
      </c>
      <c r="L207" s="236">
        <v>206</v>
      </c>
      <c r="M207" s="237">
        <v>427</v>
      </c>
      <c r="N207" s="237">
        <v>665</v>
      </c>
      <c r="O207" s="238">
        <v>875</v>
      </c>
    </row>
    <row r="208" spans="1:15" x14ac:dyDescent="0.25">
      <c r="A208" s="230" t="s">
        <v>691</v>
      </c>
      <c r="B208" s="209" t="s">
        <v>154</v>
      </c>
      <c r="C208" s="208" t="s">
        <v>397</v>
      </c>
      <c r="D208" s="208" t="s">
        <v>297</v>
      </c>
      <c r="E208" s="208" t="s">
        <v>396</v>
      </c>
      <c r="F208" s="209" t="s">
        <v>2</v>
      </c>
      <c r="G208" s="209" t="s">
        <v>395</v>
      </c>
      <c r="H208" s="209" t="s">
        <v>646</v>
      </c>
      <c r="I208" s="210">
        <v>28846</v>
      </c>
      <c r="J208" s="211">
        <v>40</v>
      </c>
      <c r="L208" s="236">
        <v>207</v>
      </c>
      <c r="M208" s="237">
        <v>428</v>
      </c>
      <c r="N208" s="237">
        <v>666</v>
      </c>
      <c r="O208" s="238">
        <v>876</v>
      </c>
    </row>
    <row r="209" spans="1:15" x14ac:dyDescent="0.25">
      <c r="A209" s="230" t="s">
        <v>621</v>
      </c>
      <c r="B209" s="209" t="s">
        <v>43</v>
      </c>
      <c r="C209" s="208" t="s">
        <v>881</v>
      </c>
      <c r="D209" s="208" t="s">
        <v>297</v>
      </c>
      <c r="E209" s="208" t="s">
        <v>63</v>
      </c>
      <c r="F209" s="209" t="s">
        <v>2</v>
      </c>
      <c r="G209" s="209" t="s">
        <v>513</v>
      </c>
      <c r="H209" s="209" t="s">
        <v>665</v>
      </c>
      <c r="I209" s="210">
        <v>25550</v>
      </c>
      <c r="J209" s="211">
        <v>49</v>
      </c>
      <c r="L209" s="236">
        <v>208</v>
      </c>
      <c r="M209" s="237">
        <v>429</v>
      </c>
      <c r="N209" s="237">
        <v>667</v>
      </c>
      <c r="O209" s="238">
        <v>877</v>
      </c>
    </row>
    <row r="210" spans="1:15" x14ac:dyDescent="0.25">
      <c r="A210" s="230" t="s">
        <v>622</v>
      </c>
      <c r="B210" s="207" t="s">
        <v>815</v>
      </c>
      <c r="C210" s="208" t="s">
        <v>851</v>
      </c>
      <c r="D210" s="208" t="s">
        <v>297</v>
      </c>
      <c r="E210" s="208" t="s">
        <v>63</v>
      </c>
      <c r="F210" s="209"/>
      <c r="G210" s="209"/>
      <c r="H210" s="209" t="s">
        <v>646</v>
      </c>
      <c r="I210" s="210">
        <v>40025</v>
      </c>
      <c r="J210" s="211">
        <v>9</v>
      </c>
      <c r="L210" s="236">
        <v>209</v>
      </c>
      <c r="M210" s="237">
        <v>430</v>
      </c>
      <c r="N210" s="237">
        <v>668</v>
      </c>
      <c r="O210" s="238">
        <v>878</v>
      </c>
    </row>
    <row r="211" spans="1:15" x14ac:dyDescent="0.25">
      <c r="A211" s="230" t="s">
        <v>655</v>
      </c>
      <c r="B211" s="209" t="s">
        <v>3</v>
      </c>
      <c r="C211" s="208" t="s">
        <v>939</v>
      </c>
      <c r="D211" s="208" t="s">
        <v>297</v>
      </c>
      <c r="E211" s="208" t="s">
        <v>63</v>
      </c>
      <c r="F211" s="209" t="s">
        <v>2</v>
      </c>
      <c r="G211" s="209" t="s">
        <v>467</v>
      </c>
      <c r="H211" s="209" t="s">
        <v>665</v>
      </c>
      <c r="I211" s="210">
        <v>24990</v>
      </c>
      <c r="J211" s="211">
        <v>50</v>
      </c>
      <c r="L211" s="236">
        <v>210</v>
      </c>
      <c r="M211" s="237">
        <v>431</v>
      </c>
      <c r="N211" s="237">
        <v>669</v>
      </c>
      <c r="O211" s="238">
        <v>879</v>
      </c>
    </row>
    <row r="212" spans="1:15" x14ac:dyDescent="0.25">
      <c r="A212" s="230" t="s">
        <v>775</v>
      </c>
      <c r="B212" s="207" t="s">
        <v>3</v>
      </c>
      <c r="C212" s="208" t="s">
        <v>1066</v>
      </c>
      <c r="D212" s="208" t="s">
        <v>297</v>
      </c>
      <c r="E212" s="208" t="s">
        <v>63</v>
      </c>
      <c r="F212" s="209" t="s">
        <v>2</v>
      </c>
      <c r="G212" s="209" t="s">
        <v>125</v>
      </c>
      <c r="H212" s="209" t="s">
        <v>646</v>
      </c>
      <c r="I212" s="210">
        <v>22935</v>
      </c>
      <c r="J212" s="211">
        <v>56</v>
      </c>
      <c r="L212" s="236">
        <v>211</v>
      </c>
      <c r="M212" s="237">
        <v>432</v>
      </c>
      <c r="N212" s="237">
        <v>670</v>
      </c>
      <c r="O212" s="238">
        <v>880</v>
      </c>
    </row>
    <row r="213" spans="1:15" x14ac:dyDescent="0.25">
      <c r="A213" s="230" t="s">
        <v>753</v>
      </c>
      <c r="B213" s="207" t="s">
        <v>3</v>
      </c>
      <c r="C213" s="208" t="s">
        <v>1036</v>
      </c>
      <c r="D213" s="208" t="s">
        <v>297</v>
      </c>
      <c r="E213" s="208" t="s">
        <v>132</v>
      </c>
      <c r="F213" s="209" t="s">
        <v>2</v>
      </c>
      <c r="G213" s="209" t="s">
        <v>217</v>
      </c>
      <c r="H213" s="209" t="s">
        <v>665</v>
      </c>
      <c r="I213" s="210">
        <v>17170</v>
      </c>
      <c r="J213" s="211">
        <v>71</v>
      </c>
      <c r="L213" s="236">
        <v>212</v>
      </c>
      <c r="M213" s="237">
        <v>433</v>
      </c>
      <c r="N213" s="237">
        <v>671</v>
      </c>
      <c r="O213" s="238">
        <v>881</v>
      </c>
    </row>
    <row r="214" spans="1:15" x14ac:dyDescent="0.25">
      <c r="A214" s="230" t="s">
        <v>771</v>
      </c>
      <c r="B214" s="207" t="s">
        <v>815</v>
      </c>
      <c r="C214" s="208" t="s">
        <v>1064</v>
      </c>
      <c r="D214" s="208" t="s">
        <v>297</v>
      </c>
      <c r="E214" s="208" t="s">
        <v>1062</v>
      </c>
      <c r="F214" s="209"/>
      <c r="G214" s="209"/>
      <c r="H214" s="209" t="s">
        <v>665</v>
      </c>
      <c r="I214" s="210">
        <v>42109</v>
      </c>
      <c r="J214" s="211">
        <v>3</v>
      </c>
      <c r="L214" s="236">
        <v>213</v>
      </c>
      <c r="M214" s="237">
        <v>434</v>
      </c>
      <c r="N214" s="237">
        <v>672</v>
      </c>
      <c r="O214" s="238">
        <v>882</v>
      </c>
    </row>
    <row r="215" spans="1:15" x14ac:dyDescent="0.25">
      <c r="A215" s="230" t="s">
        <v>650</v>
      </c>
      <c r="B215" s="209" t="s">
        <v>3</v>
      </c>
      <c r="C215" s="208" t="s">
        <v>475</v>
      </c>
      <c r="D215" s="208" t="s">
        <v>297</v>
      </c>
      <c r="E215" s="208" t="s">
        <v>35</v>
      </c>
      <c r="F215" s="209" t="s">
        <v>2</v>
      </c>
      <c r="G215" s="209" t="s">
        <v>474</v>
      </c>
      <c r="H215" s="209" t="s">
        <v>665</v>
      </c>
      <c r="I215" s="210">
        <v>33063</v>
      </c>
      <c r="J215" s="211">
        <v>28</v>
      </c>
      <c r="L215" s="236">
        <v>214</v>
      </c>
      <c r="M215" s="237">
        <v>435</v>
      </c>
      <c r="N215" s="237">
        <v>673</v>
      </c>
      <c r="O215" s="238">
        <v>883</v>
      </c>
    </row>
    <row r="216" spans="1:15" x14ac:dyDescent="0.25">
      <c r="A216" s="230" t="s">
        <v>606</v>
      </c>
      <c r="B216" s="209" t="s">
        <v>43</v>
      </c>
      <c r="C216" s="208" t="s">
        <v>542</v>
      </c>
      <c r="D216" s="208" t="s">
        <v>297</v>
      </c>
      <c r="E216" s="208" t="s">
        <v>541</v>
      </c>
      <c r="F216" s="209" t="s">
        <v>2</v>
      </c>
      <c r="G216" s="209" t="s">
        <v>540</v>
      </c>
      <c r="H216" s="209" t="s">
        <v>646</v>
      </c>
      <c r="I216" s="210">
        <v>28393</v>
      </c>
      <c r="J216" s="211">
        <v>41</v>
      </c>
      <c r="L216" s="236">
        <v>215</v>
      </c>
      <c r="M216" s="237">
        <v>436</v>
      </c>
      <c r="N216" s="237">
        <v>674</v>
      </c>
      <c r="O216" s="238">
        <v>884</v>
      </c>
    </row>
    <row r="217" spans="1:15" x14ac:dyDescent="0.25">
      <c r="A217" s="230" t="s">
        <v>768</v>
      </c>
      <c r="B217" s="207" t="s">
        <v>3</v>
      </c>
      <c r="C217" s="208" t="s">
        <v>1059</v>
      </c>
      <c r="D217" s="208" t="s">
        <v>297</v>
      </c>
      <c r="E217" s="208" t="s">
        <v>228</v>
      </c>
      <c r="F217" s="209" t="s">
        <v>2</v>
      </c>
      <c r="G217" s="209" t="s">
        <v>16</v>
      </c>
      <c r="H217" s="209" t="s">
        <v>665</v>
      </c>
      <c r="I217" s="210">
        <v>28185</v>
      </c>
      <c r="J217" s="211">
        <v>41</v>
      </c>
      <c r="L217" s="236">
        <v>216</v>
      </c>
      <c r="M217" s="237">
        <v>437</v>
      </c>
      <c r="N217" s="237">
        <v>675</v>
      </c>
      <c r="O217" s="238">
        <v>885</v>
      </c>
    </row>
    <row r="218" spans="1:15" x14ac:dyDescent="0.25">
      <c r="A218" s="230" t="s">
        <v>656</v>
      </c>
      <c r="B218" s="209" t="s">
        <v>3</v>
      </c>
      <c r="C218" s="208" t="s">
        <v>942</v>
      </c>
      <c r="D218" s="208" t="s">
        <v>943</v>
      </c>
      <c r="E218" s="208"/>
      <c r="F218" s="209" t="s">
        <v>451</v>
      </c>
      <c r="G218" s="209" t="s">
        <v>466</v>
      </c>
      <c r="H218" s="209" t="s">
        <v>646</v>
      </c>
      <c r="I218" s="210">
        <v>29337</v>
      </c>
      <c r="J218" s="211">
        <v>38</v>
      </c>
      <c r="L218" s="236">
        <v>217</v>
      </c>
      <c r="M218" s="237">
        <v>438</v>
      </c>
      <c r="N218" s="237">
        <v>676</v>
      </c>
      <c r="O218" s="238">
        <v>886</v>
      </c>
    </row>
    <row r="219" spans="1:15" x14ac:dyDescent="0.25">
      <c r="A219" s="230" t="s">
        <v>1432</v>
      </c>
      <c r="B219" s="207" t="s">
        <v>3</v>
      </c>
      <c r="C219" s="208" t="s">
        <v>927</v>
      </c>
      <c r="D219" s="208" t="s">
        <v>1433</v>
      </c>
      <c r="E219" s="208" t="s">
        <v>174</v>
      </c>
      <c r="F219" s="209" t="s">
        <v>2</v>
      </c>
      <c r="G219" s="209" t="s">
        <v>1434</v>
      </c>
      <c r="H219" s="209" t="s">
        <v>665</v>
      </c>
      <c r="I219" s="210">
        <v>30965</v>
      </c>
      <c r="J219" s="211">
        <v>34</v>
      </c>
      <c r="L219" s="236">
        <v>218</v>
      </c>
      <c r="M219" s="237">
        <v>439</v>
      </c>
      <c r="N219" s="237">
        <v>677</v>
      </c>
      <c r="O219" s="238">
        <v>887</v>
      </c>
    </row>
    <row r="220" spans="1:15" x14ac:dyDescent="0.25">
      <c r="A220" s="230" t="s">
        <v>1370</v>
      </c>
      <c r="B220" s="207" t="s">
        <v>3</v>
      </c>
      <c r="C220" s="208" t="s">
        <v>461</v>
      </c>
      <c r="D220" s="208" t="s">
        <v>1371</v>
      </c>
      <c r="E220" s="208" t="s">
        <v>132</v>
      </c>
      <c r="F220" s="209" t="s">
        <v>2</v>
      </c>
      <c r="G220" s="209" t="s">
        <v>1372</v>
      </c>
      <c r="H220" s="209" t="s">
        <v>665</v>
      </c>
      <c r="I220" s="210">
        <v>29833</v>
      </c>
      <c r="J220" s="211">
        <v>37</v>
      </c>
      <c r="L220" s="236">
        <v>219</v>
      </c>
      <c r="M220" s="237">
        <v>440</v>
      </c>
      <c r="N220" s="237">
        <v>678</v>
      </c>
      <c r="O220" s="238">
        <v>888</v>
      </c>
    </row>
    <row r="221" spans="1:15" x14ac:dyDescent="0.25">
      <c r="A221" s="230" t="s">
        <v>706</v>
      </c>
      <c r="B221" s="209" t="s">
        <v>43</v>
      </c>
      <c r="C221" s="208" t="s">
        <v>995</v>
      </c>
      <c r="D221" s="208" t="s">
        <v>577</v>
      </c>
      <c r="E221" s="208" t="s">
        <v>996</v>
      </c>
      <c r="F221" s="209" t="s">
        <v>2</v>
      </c>
      <c r="G221" s="209" t="s">
        <v>1164</v>
      </c>
      <c r="H221" s="209" t="s">
        <v>646</v>
      </c>
      <c r="I221" s="210">
        <v>19496</v>
      </c>
      <c r="J221" s="211">
        <v>65</v>
      </c>
      <c r="L221" s="236">
        <v>220</v>
      </c>
      <c r="M221" s="237">
        <v>441</v>
      </c>
      <c r="N221" s="237">
        <v>679</v>
      </c>
      <c r="O221" s="238">
        <v>889</v>
      </c>
    </row>
    <row r="222" spans="1:15" x14ac:dyDescent="0.25">
      <c r="A222" s="230" t="s">
        <v>637</v>
      </c>
      <c r="B222" s="209" t="s">
        <v>3</v>
      </c>
      <c r="C222" s="208" t="s">
        <v>512</v>
      </c>
      <c r="D222" s="208" t="s">
        <v>913</v>
      </c>
      <c r="E222" s="208" t="s">
        <v>914</v>
      </c>
      <c r="F222" s="209" t="s">
        <v>2</v>
      </c>
      <c r="G222" s="209" t="s">
        <v>490</v>
      </c>
      <c r="H222" s="209" t="s">
        <v>665</v>
      </c>
      <c r="I222" s="210">
        <v>29332</v>
      </c>
      <c r="J222" s="211">
        <v>38</v>
      </c>
      <c r="L222" s="236">
        <v>221</v>
      </c>
      <c r="M222" s="237">
        <v>442</v>
      </c>
      <c r="N222" s="237">
        <v>680</v>
      </c>
      <c r="O222" s="238">
        <v>890</v>
      </c>
    </row>
    <row r="223" spans="1:15" x14ac:dyDescent="0.25">
      <c r="A223" s="230" t="s">
        <v>759</v>
      </c>
      <c r="B223" s="209" t="s">
        <v>43</v>
      </c>
      <c r="C223" s="208" t="s">
        <v>206</v>
      </c>
      <c r="D223" s="208" t="s">
        <v>202</v>
      </c>
      <c r="E223" s="208" t="s">
        <v>205</v>
      </c>
      <c r="F223" s="209" t="s">
        <v>2</v>
      </c>
      <c r="G223" s="209" t="s">
        <v>204</v>
      </c>
      <c r="H223" s="209" t="s">
        <v>665</v>
      </c>
      <c r="I223" s="210">
        <v>24822</v>
      </c>
      <c r="J223" s="211">
        <v>51</v>
      </c>
      <c r="L223" s="236">
        <v>222</v>
      </c>
      <c r="M223" s="237">
        <v>443</v>
      </c>
      <c r="N223" s="237">
        <v>681</v>
      </c>
      <c r="O223" s="238">
        <v>891</v>
      </c>
    </row>
    <row r="224" spans="1:15" x14ac:dyDescent="0.25">
      <c r="A224" s="230" t="s">
        <v>760</v>
      </c>
      <c r="B224" s="207" t="s">
        <v>815</v>
      </c>
      <c r="C224" s="208" t="s">
        <v>203</v>
      </c>
      <c r="D224" s="208" t="s">
        <v>202</v>
      </c>
      <c r="E224" s="208" t="s">
        <v>201</v>
      </c>
      <c r="F224" s="209" t="s">
        <v>2</v>
      </c>
      <c r="G224" s="209" t="s">
        <v>200</v>
      </c>
      <c r="H224" s="209" t="s">
        <v>665</v>
      </c>
      <c r="I224" s="210">
        <v>33557</v>
      </c>
      <c r="J224" s="211">
        <v>27</v>
      </c>
      <c r="L224" s="236">
        <v>223</v>
      </c>
      <c r="M224" s="237">
        <v>444</v>
      </c>
      <c r="N224" s="237">
        <v>682</v>
      </c>
      <c r="O224" s="238">
        <v>892</v>
      </c>
    </row>
    <row r="225" spans="1:15" x14ac:dyDescent="0.25">
      <c r="A225" s="230" t="s">
        <v>658</v>
      </c>
      <c r="B225" s="209" t="s">
        <v>43</v>
      </c>
      <c r="C225" s="208" t="s">
        <v>464</v>
      </c>
      <c r="D225" s="208" t="s">
        <v>463</v>
      </c>
      <c r="E225" s="208" t="s">
        <v>1146</v>
      </c>
      <c r="F225" s="209" t="s">
        <v>2</v>
      </c>
      <c r="G225" s="209" t="s">
        <v>462</v>
      </c>
      <c r="H225" s="209" t="s">
        <v>665</v>
      </c>
      <c r="I225" s="210">
        <v>28964</v>
      </c>
      <c r="J225" s="211">
        <v>39</v>
      </c>
      <c r="L225" s="236">
        <v>224</v>
      </c>
      <c r="M225" s="237">
        <v>445</v>
      </c>
      <c r="N225" s="237">
        <v>683</v>
      </c>
      <c r="O225" s="238">
        <v>893</v>
      </c>
    </row>
    <row r="226" spans="1:15" x14ac:dyDescent="0.25">
      <c r="A226" s="230" t="s">
        <v>660</v>
      </c>
      <c r="B226" s="207" t="s">
        <v>815</v>
      </c>
      <c r="C226" s="208" t="s">
        <v>422</v>
      </c>
      <c r="D226" s="208" t="s">
        <v>421</v>
      </c>
      <c r="E226" s="208" t="s">
        <v>286</v>
      </c>
      <c r="F226" s="209"/>
      <c r="G226" s="209"/>
      <c r="H226" s="209" t="s">
        <v>665</v>
      </c>
      <c r="I226" s="210">
        <v>41528</v>
      </c>
      <c r="J226" s="211">
        <v>5</v>
      </c>
      <c r="L226" s="236">
        <v>225</v>
      </c>
      <c r="M226" s="237">
        <v>446</v>
      </c>
      <c r="N226" s="237">
        <v>684</v>
      </c>
      <c r="O226" s="238">
        <v>894</v>
      </c>
    </row>
    <row r="227" spans="1:15" x14ac:dyDescent="0.25">
      <c r="A227" s="230" t="s">
        <v>789</v>
      </c>
      <c r="B227" s="207" t="s">
        <v>3</v>
      </c>
      <c r="C227" s="208" t="s">
        <v>1143</v>
      </c>
      <c r="D227" s="208" t="s">
        <v>73</v>
      </c>
      <c r="E227" s="208" t="s">
        <v>72</v>
      </c>
      <c r="F227" s="209" t="s">
        <v>2</v>
      </c>
      <c r="G227" s="209" t="s">
        <v>71</v>
      </c>
      <c r="H227" s="209" t="s">
        <v>646</v>
      </c>
      <c r="I227" s="210">
        <v>20906</v>
      </c>
      <c r="J227" s="211">
        <v>61</v>
      </c>
      <c r="L227" s="236">
        <v>226</v>
      </c>
      <c r="M227" s="237">
        <v>447</v>
      </c>
      <c r="N227" s="237">
        <v>685</v>
      </c>
      <c r="O227" s="238">
        <v>895</v>
      </c>
    </row>
    <row r="228" spans="1:15" x14ac:dyDescent="0.25">
      <c r="A228" s="230" t="s">
        <v>1442</v>
      </c>
      <c r="B228" s="207" t="s">
        <v>3</v>
      </c>
      <c r="C228" s="208" t="s">
        <v>1457</v>
      </c>
      <c r="D228" s="208" t="s">
        <v>1458</v>
      </c>
      <c r="E228" s="208" t="s">
        <v>132</v>
      </c>
      <c r="F228" s="209" t="s">
        <v>2</v>
      </c>
      <c r="G228" s="209" t="s">
        <v>1459</v>
      </c>
      <c r="H228" s="209" t="s">
        <v>665</v>
      </c>
      <c r="I228" s="210">
        <v>28082</v>
      </c>
      <c r="J228" s="211">
        <v>42</v>
      </c>
      <c r="L228" s="236">
        <v>227</v>
      </c>
      <c r="M228" s="237">
        <v>448</v>
      </c>
      <c r="N228" s="237">
        <v>686</v>
      </c>
      <c r="O228" s="238">
        <v>896</v>
      </c>
    </row>
    <row r="229" spans="1:15" x14ac:dyDescent="0.25">
      <c r="A229" s="230" t="s">
        <v>636</v>
      </c>
      <c r="B229" s="209" t="s">
        <v>3</v>
      </c>
      <c r="C229" s="208" t="s">
        <v>909</v>
      </c>
      <c r="D229" s="208" t="s">
        <v>910</v>
      </c>
      <c r="E229" s="208" t="s">
        <v>511</v>
      </c>
      <c r="F229" s="209" t="s">
        <v>2</v>
      </c>
      <c r="G229" s="209" t="s">
        <v>492</v>
      </c>
      <c r="H229" s="209" t="s">
        <v>665</v>
      </c>
      <c r="I229" s="210">
        <v>30830</v>
      </c>
      <c r="J229" s="211">
        <v>34</v>
      </c>
      <c r="L229" s="236">
        <v>228</v>
      </c>
      <c r="M229" s="237">
        <v>449</v>
      </c>
      <c r="N229" s="237">
        <v>687</v>
      </c>
      <c r="O229" s="238">
        <v>897</v>
      </c>
    </row>
    <row r="230" spans="1:15" x14ac:dyDescent="0.25">
      <c r="A230" s="230" t="s">
        <v>634</v>
      </c>
      <c r="B230" s="209" t="s">
        <v>3</v>
      </c>
      <c r="C230" s="208" t="s">
        <v>899</v>
      </c>
      <c r="D230" s="208" t="s">
        <v>900</v>
      </c>
      <c r="E230" s="208"/>
      <c r="F230" s="209" t="s">
        <v>451</v>
      </c>
      <c r="G230" s="209" t="s">
        <v>493</v>
      </c>
      <c r="H230" s="209" t="s">
        <v>665</v>
      </c>
      <c r="I230" s="210">
        <v>31652</v>
      </c>
      <c r="J230" s="211">
        <v>32</v>
      </c>
      <c r="L230" s="236">
        <v>229</v>
      </c>
      <c r="M230" s="237">
        <v>450</v>
      </c>
      <c r="N230" s="237">
        <v>688</v>
      </c>
      <c r="O230" s="238">
        <v>898</v>
      </c>
    </row>
    <row r="231" spans="1:15" x14ac:dyDescent="0.25">
      <c r="A231" s="230" t="s">
        <v>1462</v>
      </c>
      <c r="B231" s="207" t="s">
        <v>818</v>
      </c>
      <c r="C231" s="208" t="s">
        <v>1464</v>
      </c>
      <c r="D231" s="208" t="s">
        <v>900</v>
      </c>
      <c r="E231" s="208"/>
      <c r="F231" s="209" t="s">
        <v>451</v>
      </c>
      <c r="G231" s="209" t="s">
        <v>1467</v>
      </c>
      <c r="H231" s="209" t="s">
        <v>665</v>
      </c>
      <c r="I231" s="210">
        <v>21758</v>
      </c>
      <c r="J231" s="211">
        <v>59</v>
      </c>
      <c r="L231" s="236">
        <v>230</v>
      </c>
      <c r="M231" s="237">
        <v>451</v>
      </c>
      <c r="N231" s="237">
        <v>689</v>
      </c>
      <c r="O231" s="238">
        <v>899</v>
      </c>
    </row>
    <row r="232" spans="1:15" x14ac:dyDescent="0.25">
      <c r="A232" s="230" t="s">
        <v>1463</v>
      </c>
      <c r="B232" s="207" t="s">
        <v>1762</v>
      </c>
      <c r="C232" s="208" t="s">
        <v>1763</v>
      </c>
      <c r="D232" s="208" t="s">
        <v>900</v>
      </c>
      <c r="E232" s="208"/>
      <c r="F232" s="209" t="s">
        <v>451</v>
      </c>
      <c r="G232" s="209" t="s">
        <v>1764</v>
      </c>
      <c r="H232" s="209" t="s">
        <v>646</v>
      </c>
      <c r="I232" s="210">
        <v>32179</v>
      </c>
      <c r="J232" s="211">
        <v>30</v>
      </c>
      <c r="L232" s="236">
        <v>231</v>
      </c>
      <c r="M232" s="237">
        <v>452</v>
      </c>
      <c r="N232" s="237">
        <v>690</v>
      </c>
      <c r="O232" s="238">
        <v>900</v>
      </c>
    </row>
    <row r="233" spans="1:15" ht="15.75" thickBot="1" x14ac:dyDescent="0.3">
      <c r="A233" s="231" t="s">
        <v>1243</v>
      </c>
      <c r="B233" s="218" t="s">
        <v>3</v>
      </c>
      <c r="C233" s="219" t="s">
        <v>1244</v>
      </c>
      <c r="D233" s="219" t="s">
        <v>1245</v>
      </c>
      <c r="E233" s="219"/>
      <c r="F233" s="220" t="s">
        <v>2</v>
      </c>
      <c r="G233" s="220" t="s">
        <v>1246</v>
      </c>
      <c r="H233" s="220" t="s">
        <v>646</v>
      </c>
      <c r="I233" s="221">
        <v>26810</v>
      </c>
      <c r="J233" s="222">
        <v>45</v>
      </c>
      <c r="L233" s="239">
        <v>232</v>
      </c>
      <c r="M233" s="240">
        <v>453</v>
      </c>
      <c r="N233" s="240">
        <v>691</v>
      </c>
      <c r="O233" s="241">
        <v>901</v>
      </c>
    </row>
  </sheetData>
  <sortState ref="A2:J233">
    <sortCondition ref="D1"/>
  </sortState>
  <pageMargins left="0.5" right="0.19" top="0.5" bottom="0.35" header="0" footer="0.3"/>
  <pageSetup paperSize="9" scale="7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7"/>
  <sheetViews>
    <sheetView view="pageBreakPreview" topLeftCell="C1" zoomScale="85" zoomScaleNormal="85" zoomScaleSheetLayoutView="85" workbookViewId="0">
      <pane ySplit="1" topLeftCell="A2" activePane="bottomLeft" state="frozen"/>
      <selection pane="bottomLeft" activeCell="L17" sqref="L17"/>
    </sheetView>
  </sheetViews>
  <sheetFormatPr baseColWidth="10" defaultRowHeight="15" customHeight="1" x14ac:dyDescent="0.25"/>
  <cols>
    <col min="1" max="1" width="4.140625" style="96" hidden="1" customWidth="1"/>
    <col min="2" max="2" width="6.140625" style="9" hidden="1" customWidth="1"/>
    <col min="3" max="3" width="5.140625" style="9" bestFit="1" customWidth="1"/>
    <col min="4" max="4" width="5.85546875" style="9" customWidth="1"/>
    <col min="5" max="5" width="7.140625" style="9" customWidth="1"/>
    <col min="6" max="6" width="12.140625" style="9" customWidth="1"/>
    <col min="7" max="7" width="10.7109375" style="9" customWidth="1"/>
    <col min="8" max="8" width="18.85546875" style="1" bestFit="1" customWidth="1"/>
    <col min="9" max="9" width="6.5703125" style="9" customWidth="1"/>
    <col min="10" max="10" width="9.7109375" style="9" customWidth="1"/>
    <col min="11" max="11" width="14.5703125" style="9" customWidth="1"/>
    <col min="12" max="12" width="24.7109375" style="9" customWidth="1"/>
    <col min="13" max="13" width="28.42578125" style="9" customWidth="1"/>
    <col min="14" max="15" width="10.7109375" style="9" customWidth="1"/>
    <col min="16" max="16" width="16.5703125" style="9" customWidth="1"/>
    <col min="17" max="19" width="20.7109375" style="94" customWidth="1"/>
    <col min="20" max="20" width="8.140625" style="9" customWidth="1"/>
    <col min="21" max="21" width="11.42578125" style="9"/>
    <col min="22" max="22" width="5.5703125" style="9" customWidth="1"/>
    <col min="23" max="23" width="15.140625" style="1" customWidth="1"/>
    <col min="24" max="24" width="4.28515625" style="9" customWidth="1"/>
    <col min="25" max="25" width="12.42578125" style="9" customWidth="1"/>
    <col min="26" max="26" width="45.7109375" style="94" customWidth="1"/>
    <col min="27" max="27" width="11.85546875" style="9" customWidth="1"/>
    <col min="28" max="28" width="20.7109375" style="9" customWidth="1"/>
    <col min="29" max="29" width="10.7109375" style="9" customWidth="1"/>
    <col min="30" max="30" width="19.140625" style="9" customWidth="1"/>
    <col min="31" max="31" width="9.140625" style="9" customWidth="1"/>
    <col min="32" max="32" width="11.7109375" style="9" customWidth="1"/>
    <col min="33" max="33" width="40.85546875" style="97" customWidth="1"/>
    <col min="34" max="37" width="9.7109375" style="114" customWidth="1"/>
    <col min="38" max="38" width="20.85546875" style="114" customWidth="1"/>
    <col min="39" max="39" width="3" style="9" customWidth="1"/>
    <col min="40" max="41" width="12.7109375" style="9" customWidth="1"/>
    <col min="42" max="42" width="11.42578125" style="116"/>
    <col min="43" max="16384" width="11.42578125" style="9"/>
  </cols>
  <sheetData>
    <row r="1" spans="1:52" ht="15" customHeight="1" thickBot="1" x14ac:dyDescent="0.3">
      <c r="A1" s="72">
        <v>1</v>
      </c>
      <c r="B1" s="73" t="s">
        <v>1242</v>
      </c>
      <c r="C1" s="74" t="s">
        <v>819</v>
      </c>
      <c r="D1" s="75"/>
      <c r="E1" s="151" t="s">
        <v>580</v>
      </c>
      <c r="F1" s="151" t="s">
        <v>820</v>
      </c>
      <c r="G1" s="151" t="s">
        <v>821</v>
      </c>
      <c r="H1" s="138" t="s">
        <v>822</v>
      </c>
      <c r="I1" s="151" t="s">
        <v>579</v>
      </c>
      <c r="J1" s="151" t="s">
        <v>823</v>
      </c>
      <c r="K1" s="243" t="s">
        <v>824</v>
      </c>
      <c r="L1" s="244"/>
      <c r="M1" s="245"/>
      <c r="N1" s="151" t="s">
        <v>821</v>
      </c>
      <c r="O1" s="138" t="s">
        <v>822</v>
      </c>
      <c r="P1" s="151" t="s">
        <v>825</v>
      </c>
      <c r="Q1" s="77" t="s">
        <v>826</v>
      </c>
      <c r="R1" s="77" t="s">
        <v>827</v>
      </c>
      <c r="S1" s="77" t="s">
        <v>828</v>
      </c>
      <c r="T1" s="151" t="s">
        <v>829</v>
      </c>
      <c r="U1" s="151" t="s">
        <v>830</v>
      </c>
      <c r="V1" s="151" t="s">
        <v>831</v>
      </c>
      <c r="W1" s="98" t="s">
        <v>1241</v>
      </c>
      <c r="X1" s="103">
        <f ca="1">NOW()</f>
        <v>43409.712822337962</v>
      </c>
      <c r="Y1" s="151" t="s">
        <v>832</v>
      </c>
      <c r="Z1" s="77" t="s">
        <v>833</v>
      </c>
      <c r="AA1" s="151" t="s">
        <v>1122</v>
      </c>
      <c r="AB1" s="151" t="s">
        <v>834</v>
      </c>
      <c r="AC1" s="151" t="s">
        <v>835</v>
      </c>
      <c r="AD1" s="151" t="s">
        <v>836</v>
      </c>
      <c r="AE1" s="151" t="s">
        <v>1123</v>
      </c>
      <c r="AF1" s="151" t="s">
        <v>837</v>
      </c>
      <c r="AG1" s="151" t="s">
        <v>838</v>
      </c>
      <c r="AH1" s="109" t="s">
        <v>809</v>
      </c>
      <c r="AI1" s="109" t="s">
        <v>839</v>
      </c>
      <c r="AJ1" s="109" t="s">
        <v>840</v>
      </c>
      <c r="AK1" s="109" t="s">
        <v>808</v>
      </c>
      <c r="AL1" s="109" t="s">
        <v>841</v>
      </c>
      <c r="AM1" s="78"/>
      <c r="AN1" s="79" t="s">
        <v>842</v>
      </c>
      <c r="AO1" s="151">
        <v>2018</v>
      </c>
      <c r="AP1" s="151" t="str">
        <f>C1</f>
        <v>Nº SOCIO</v>
      </c>
    </row>
    <row r="2" spans="1:52" ht="15" customHeight="1" x14ac:dyDescent="0.25">
      <c r="A2" s="72">
        <v>183</v>
      </c>
      <c r="B2" s="80"/>
      <c r="C2" s="156">
        <v>62</v>
      </c>
      <c r="D2" s="81"/>
      <c r="E2" s="6"/>
      <c r="F2" s="6"/>
      <c r="G2" s="6"/>
      <c r="H2" s="4"/>
      <c r="I2" s="166"/>
      <c r="J2" s="6"/>
      <c r="K2" s="6"/>
      <c r="L2" s="6"/>
      <c r="M2" s="6"/>
      <c r="N2" s="6"/>
      <c r="O2" s="6"/>
      <c r="P2" s="6"/>
      <c r="Q2" s="92"/>
      <c r="R2" s="92"/>
      <c r="S2" s="92"/>
      <c r="T2" s="6"/>
      <c r="U2" s="6"/>
      <c r="V2" s="6"/>
      <c r="W2" s="4"/>
      <c r="X2" s="4"/>
      <c r="Y2" s="6"/>
      <c r="Z2" s="92"/>
      <c r="AA2" s="6"/>
      <c r="AB2" s="6"/>
      <c r="AC2" s="6"/>
      <c r="AD2" s="6"/>
      <c r="AE2" s="6"/>
      <c r="AF2" s="6"/>
      <c r="AG2" s="93"/>
      <c r="AH2" s="110"/>
      <c r="AI2" s="110"/>
      <c r="AJ2" s="110"/>
      <c r="AK2" s="110"/>
      <c r="AL2" s="110"/>
      <c r="AM2" s="84"/>
      <c r="AN2" s="85"/>
      <c r="AO2" s="85"/>
      <c r="AP2" s="117">
        <f>C2</f>
        <v>62</v>
      </c>
      <c r="AQ2" s="116" t="str">
        <f>CONCATENATE(AH2,AI2,AJ2,AK2,AL2)</f>
        <v/>
      </c>
      <c r="AT2" s="162"/>
      <c r="AV2" s="116"/>
      <c r="AZ2" s="158"/>
    </row>
    <row r="3" spans="1:52" ht="15" customHeight="1" x14ac:dyDescent="0.25">
      <c r="A3" s="96">
        <v>184</v>
      </c>
      <c r="C3" s="181" t="s">
        <v>729</v>
      </c>
      <c r="D3" s="9" t="s">
        <v>716</v>
      </c>
      <c r="E3" s="9" t="s">
        <v>729</v>
      </c>
      <c r="F3" s="9" t="s">
        <v>1211</v>
      </c>
      <c r="G3" s="9" t="s">
        <v>811</v>
      </c>
      <c r="H3" s="1" t="s">
        <v>1735</v>
      </c>
      <c r="J3" s="200" t="s">
        <v>729</v>
      </c>
      <c r="M3" s="9" t="str">
        <f>CONCATENATE(K3," ",L3)</f>
        <v xml:space="preserve"> </v>
      </c>
      <c r="P3" s="9" t="s">
        <v>154</v>
      </c>
      <c r="Q3" s="94" t="s">
        <v>1127</v>
      </c>
      <c r="R3" s="94" t="s">
        <v>1001</v>
      </c>
      <c r="S3" s="94" t="s">
        <v>1002</v>
      </c>
      <c r="T3" s="9" t="s">
        <v>2</v>
      </c>
      <c r="U3" s="9" t="s">
        <v>309</v>
      </c>
      <c r="V3" s="9" t="s">
        <v>665</v>
      </c>
      <c r="W3" s="1">
        <v>20317</v>
      </c>
      <c r="X3" s="9">
        <f ca="1">YEAR($X$1)-YEAR(W3)</f>
        <v>63</v>
      </c>
      <c r="Y3" s="9" t="s">
        <v>1</v>
      </c>
      <c r="Z3" s="94" t="s">
        <v>1003</v>
      </c>
      <c r="AA3" s="9">
        <v>17</v>
      </c>
      <c r="AB3" s="9" t="s">
        <v>78</v>
      </c>
      <c r="AC3" s="9" t="s">
        <v>0</v>
      </c>
      <c r="AD3" s="9" t="s">
        <v>31</v>
      </c>
      <c r="AE3" s="9">
        <v>33212</v>
      </c>
      <c r="AF3" s="9">
        <v>675600832</v>
      </c>
      <c r="AG3" s="97" t="s">
        <v>1004</v>
      </c>
      <c r="AH3" s="114" t="s">
        <v>308</v>
      </c>
      <c r="AI3" s="114">
        <v>2048</v>
      </c>
      <c r="AJ3" s="114" t="s">
        <v>307</v>
      </c>
      <c r="AK3" s="114">
        <v>38</v>
      </c>
      <c r="AL3" s="114">
        <v>3000128004</v>
      </c>
      <c r="AP3" s="9"/>
    </row>
    <row r="4" spans="1:52" ht="15" customHeight="1" x14ac:dyDescent="0.25">
      <c r="AN4" s="9" t="e">
        <f>SUM(#REF!)</f>
        <v>#REF!</v>
      </c>
      <c r="AO4" s="9" t="e">
        <f>SUM(#REF!)</f>
        <v>#REF!</v>
      </c>
      <c r="AP4" s="9" t="e">
        <f>AN4+AO4</f>
        <v>#REF!</v>
      </c>
    </row>
    <row r="5" spans="1:52" ht="15" customHeight="1" x14ac:dyDescent="0.25">
      <c r="A5" s="72">
        <v>330</v>
      </c>
      <c r="B5" s="80"/>
      <c r="C5" s="156" t="s">
        <v>1118</v>
      </c>
      <c r="D5" s="81"/>
      <c r="E5" s="6"/>
      <c r="F5" s="6"/>
      <c r="G5" s="6"/>
      <c r="H5" s="4"/>
      <c r="I5" s="166"/>
      <c r="J5" s="6"/>
      <c r="K5" s="6"/>
      <c r="L5" s="6"/>
      <c r="M5" s="6"/>
      <c r="N5" s="6"/>
      <c r="O5" s="6"/>
      <c r="P5" s="6"/>
      <c r="Q5" s="92"/>
      <c r="R5" s="92"/>
      <c r="S5" s="92"/>
      <c r="T5" s="6"/>
      <c r="U5" s="6"/>
      <c r="V5" s="6"/>
      <c r="W5" s="4"/>
      <c r="X5" s="4"/>
      <c r="Y5" s="6"/>
      <c r="Z5" s="92"/>
      <c r="AA5" s="6"/>
      <c r="AB5" s="6"/>
      <c r="AC5" s="6"/>
      <c r="AD5" s="6"/>
      <c r="AE5" s="6"/>
      <c r="AF5" s="6"/>
      <c r="AG5" s="93"/>
      <c r="AH5" s="110"/>
      <c r="AI5" s="110"/>
      <c r="AJ5" s="110"/>
      <c r="AK5" s="110"/>
      <c r="AL5" s="110"/>
      <c r="AM5" s="84"/>
      <c r="AN5" s="85">
        <v>30</v>
      </c>
      <c r="AO5" s="85"/>
      <c r="AP5" s="117" t="str">
        <f>C5</f>
        <v>0120</v>
      </c>
      <c r="AQ5" s="116"/>
      <c r="AT5" s="162" t="str">
        <f>CONCATENATE(AQ5,"-",AR5,)</f>
        <v>-</v>
      </c>
      <c r="AV5" s="116"/>
      <c r="AZ5" s="158"/>
    </row>
    <row r="6" spans="1:52" ht="15" customHeight="1" x14ac:dyDescent="0.25">
      <c r="A6" s="72">
        <v>331</v>
      </c>
      <c r="B6" s="80"/>
      <c r="C6" s="181" t="s">
        <v>729</v>
      </c>
      <c r="D6" s="5" t="s">
        <v>1364</v>
      </c>
      <c r="E6" s="5" t="s">
        <v>581</v>
      </c>
      <c r="F6" s="5" t="s">
        <v>580</v>
      </c>
      <c r="G6" s="2">
        <v>43139</v>
      </c>
      <c r="H6" s="140" t="s">
        <v>1768</v>
      </c>
      <c r="I6" s="165">
        <v>43139</v>
      </c>
      <c r="J6" s="5" t="s">
        <v>581</v>
      </c>
      <c r="K6" s="5" t="s">
        <v>1236</v>
      </c>
      <c r="L6" s="5" t="s">
        <v>1231</v>
      </c>
      <c r="M6" s="5" t="str">
        <f>CONCATENATE(K6," ",L6)</f>
        <v>ZITRON-ASCAZ HOSPITALARIA</v>
      </c>
      <c r="N6" s="5"/>
      <c r="O6" s="5"/>
      <c r="P6" s="90" t="s">
        <v>3</v>
      </c>
      <c r="Q6" s="141" t="s">
        <v>1369</v>
      </c>
      <c r="R6" s="141" t="s">
        <v>1150</v>
      </c>
      <c r="S6" s="141" t="s">
        <v>530</v>
      </c>
      <c r="T6" s="5" t="s">
        <v>2</v>
      </c>
      <c r="U6" s="5" t="s">
        <v>1366</v>
      </c>
      <c r="V6" s="5" t="s">
        <v>665</v>
      </c>
      <c r="W6" s="2">
        <v>29833</v>
      </c>
      <c r="X6" s="7">
        <f ca="1">YEAR(LIBRO_SOCIOS!$X$1)-YEAR(W6)</f>
        <v>37</v>
      </c>
      <c r="Y6" s="5" t="s">
        <v>1</v>
      </c>
      <c r="Z6" s="141" t="s">
        <v>1086</v>
      </c>
      <c r="AA6" s="5">
        <v>130</v>
      </c>
      <c r="AB6" s="5" t="s">
        <v>555</v>
      </c>
      <c r="AC6" s="5" t="s">
        <v>0</v>
      </c>
      <c r="AD6" s="5" t="s">
        <v>31</v>
      </c>
      <c r="AE6" s="5">
        <v>33209</v>
      </c>
      <c r="AF6" s="5">
        <v>628759479</v>
      </c>
      <c r="AG6" s="146" t="s">
        <v>1368</v>
      </c>
      <c r="AH6" s="105" t="s">
        <v>1320</v>
      </c>
      <c r="AI6" s="105" t="s">
        <v>1380</v>
      </c>
      <c r="AJ6" s="105" t="s">
        <v>1381</v>
      </c>
      <c r="AK6" s="105" t="s">
        <v>1382</v>
      </c>
      <c r="AL6" s="105" t="s">
        <v>1383</v>
      </c>
      <c r="AM6" s="84"/>
      <c r="AN6" s="8"/>
      <c r="AO6" s="89">
        <v>10</v>
      </c>
      <c r="AQ6" s="116" t="str">
        <f>CONCATENATE("NS",C5,"AZ")</f>
        <v>NS0120AZ</v>
      </c>
      <c r="AR6" s="9" t="str">
        <f>CONCATENATE(Q6," ",R6," ",S6)</f>
        <v>JESÚS  MORÁN PANDO</v>
      </c>
      <c r="AT6" s="162" t="str">
        <f>CONCATENATE(AQ6,"-",AR6,)</f>
        <v>NS0120AZ-JESÚS  MORÁN PANDO</v>
      </c>
      <c r="AU6" s="9" t="str">
        <f>U6</f>
        <v>10902083Z</v>
      </c>
      <c r="AV6" s="116"/>
      <c r="AW6" s="9" t="str">
        <f>CONCATENATE(AH6,AI6,AJ6,AK6,AL6)</f>
        <v>ES0730070005982014585612</v>
      </c>
      <c r="AZ6" s="159">
        <v>43139</v>
      </c>
    </row>
    <row r="7" spans="1:52" ht="15" customHeight="1" x14ac:dyDescent="0.25">
      <c r="A7" s="72">
        <v>332</v>
      </c>
      <c r="B7" s="80"/>
      <c r="C7" s="181" t="s">
        <v>729</v>
      </c>
      <c r="D7" s="5" t="s">
        <v>1365</v>
      </c>
      <c r="E7" s="5" t="s">
        <v>581</v>
      </c>
      <c r="F7" s="5" t="s">
        <v>580</v>
      </c>
      <c r="G7" s="2">
        <v>43139</v>
      </c>
      <c r="H7" s="140" t="s">
        <v>1768</v>
      </c>
      <c r="I7" s="165"/>
      <c r="J7" s="5" t="s">
        <v>581</v>
      </c>
      <c r="K7" s="5" t="s">
        <v>1236</v>
      </c>
      <c r="L7" s="5" t="s">
        <v>1231</v>
      </c>
      <c r="M7" s="5" t="str">
        <f>CONCATENATE(K7," ",L7)</f>
        <v>ZITRON-ASCAZ HOSPITALARIA</v>
      </c>
      <c r="N7" s="5"/>
      <c r="O7" s="5"/>
      <c r="P7" s="5" t="s">
        <v>43</v>
      </c>
      <c r="Q7" s="141" t="s">
        <v>139</v>
      </c>
      <c r="R7" s="141" t="s">
        <v>1301</v>
      </c>
      <c r="S7" s="141" t="s">
        <v>132</v>
      </c>
      <c r="T7" s="5" t="s">
        <v>2</v>
      </c>
      <c r="U7" s="5" t="s">
        <v>1367</v>
      </c>
      <c r="V7" s="5" t="s">
        <v>646</v>
      </c>
      <c r="W7" s="2">
        <v>29532</v>
      </c>
      <c r="X7" s="7">
        <f ca="1">YEAR(LIBRO_SOCIOS!$X$1)-YEAR(W7)</f>
        <v>38</v>
      </c>
      <c r="Y7" s="5"/>
      <c r="Z7" s="141"/>
      <c r="AA7" s="5"/>
      <c r="AB7" s="5"/>
      <c r="AC7" s="5"/>
      <c r="AD7" s="5"/>
      <c r="AE7" s="5"/>
      <c r="AF7" s="5"/>
      <c r="AG7" s="118"/>
      <c r="AH7" s="105"/>
      <c r="AI7" s="105"/>
      <c r="AJ7" s="105"/>
      <c r="AK7" s="105"/>
      <c r="AL7" s="105"/>
      <c r="AM7" s="84"/>
      <c r="AN7" s="8"/>
      <c r="AO7" s="89">
        <v>10</v>
      </c>
      <c r="AQ7" s="116"/>
      <c r="AT7" s="162" t="str">
        <f>CONCATENATE(AQ7,"-",AR7,)</f>
        <v>-</v>
      </c>
      <c r="AV7" s="116"/>
      <c r="AZ7" s="158"/>
    </row>
  </sheetData>
  <autoFilter ref="A1:AT1">
    <filterColumn colId="10" showButton="0"/>
    <filterColumn colId="11" showButton="0"/>
  </autoFilter>
  <mergeCells count="1">
    <mergeCell ref="K1:M1"/>
  </mergeCells>
  <conditionalFormatting sqref="C5:C7">
    <cfRule type="cellIs" dxfId="5" priority="5" operator="equal">
      <formula>"N"</formula>
    </cfRule>
    <cfRule type="cellIs" dxfId="4" priority="6" operator="equal">
      <formula>"Y"</formula>
    </cfRule>
  </conditionalFormatting>
  <conditionalFormatting sqref="C2">
    <cfRule type="cellIs" dxfId="3" priority="3" operator="equal">
      <formula>"N"</formula>
    </cfRule>
    <cfRule type="cellIs" dxfId="2" priority="4" operator="equal">
      <formula>"Y"</formula>
    </cfRule>
  </conditionalFormatting>
  <conditionalFormatting sqref="C3">
    <cfRule type="cellIs" dxfId="1" priority="1" operator="equal">
      <formula>"N"</formula>
    </cfRule>
    <cfRule type="cellIs" dxfId="0" priority="2" operator="equal">
      <formula>"Y"</formula>
    </cfRule>
  </conditionalFormatting>
  <hyperlinks>
    <hyperlink ref="AG6" r:id="rId1"/>
  </hyperlinks>
  <pageMargins left="0.28999999999999998" right="0.23" top="0.32" bottom="0.28999999999999998" header="0.2" footer="0.3"/>
  <pageSetup paperSize="9" scale="24" fitToHeight="0" orientation="landscape" r:id="rId2"/>
  <colBreaks count="1" manualBreakCount="1">
    <brk id="18" max="35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6"/>
  <sheetViews>
    <sheetView topLeftCell="A142" workbookViewId="0">
      <selection activeCell="A144" sqref="A144"/>
    </sheetView>
  </sheetViews>
  <sheetFormatPr baseColWidth="10" defaultRowHeight="15" x14ac:dyDescent="0.25"/>
  <cols>
    <col min="1" max="1" width="51.140625" style="97" customWidth="1"/>
    <col min="3" max="3" width="40.85546875" style="97" customWidth="1"/>
  </cols>
  <sheetData>
    <row r="1" spans="1:3" x14ac:dyDescent="0.25">
      <c r="A1" s="88" t="s">
        <v>1731</v>
      </c>
      <c r="C1" s="88"/>
    </row>
    <row r="2" spans="1:3" x14ac:dyDescent="0.25">
      <c r="A2" s="88" t="s">
        <v>843</v>
      </c>
      <c r="C2" s="88"/>
    </row>
    <row r="3" spans="1:3" x14ac:dyDescent="0.25">
      <c r="A3" s="88" t="s">
        <v>846</v>
      </c>
      <c r="C3" s="88"/>
    </row>
    <row r="4" spans="1:3" x14ac:dyDescent="0.25">
      <c r="A4" s="88" t="s">
        <v>1574</v>
      </c>
      <c r="C4" s="88"/>
    </row>
    <row r="5" spans="1:3" x14ac:dyDescent="0.25">
      <c r="A5" s="88" t="s">
        <v>854</v>
      </c>
      <c r="C5" s="88"/>
    </row>
    <row r="6" spans="1:3" x14ac:dyDescent="0.25">
      <c r="A6" s="88" t="s">
        <v>859</v>
      </c>
      <c r="C6" s="88"/>
    </row>
    <row r="7" spans="1:3" x14ac:dyDescent="0.25">
      <c r="A7" s="88" t="s">
        <v>860</v>
      </c>
      <c r="C7" s="88"/>
    </row>
    <row r="8" spans="1:3" x14ac:dyDescent="0.25">
      <c r="A8" s="88" t="s">
        <v>861</v>
      </c>
      <c r="C8" s="88"/>
    </row>
    <row r="9" spans="1:3" x14ac:dyDescent="0.25">
      <c r="A9" s="88" t="s">
        <v>862</v>
      </c>
      <c r="C9" s="88"/>
    </row>
    <row r="10" spans="1:3" x14ac:dyDescent="0.25">
      <c r="A10" s="88" t="s">
        <v>863</v>
      </c>
      <c r="C10" s="88"/>
    </row>
    <row r="11" spans="1:3" x14ac:dyDescent="0.25">
      <c r="A11" s="88" t="s">
        <v>865</v>
      </c>
      <c r="C11" s="88"/>
    </row>
    <row r="12" spans="1:3" x14ac:dyDescent="0.25">
      <c r="A12" s="88" t="s">
        <v>866</v>
      </c>
      <c r="C12" s="88"/>
    </row>
    <row r="13" spans="1:3" x14ac:dyDescent="0.25">
      <c r="A13" s="88" t="s">
        <v>867</v>
      </c>
      <c r="C13" s="88"/>
    </row>
    <row r="14" spans="1:3" x14ac:dyDescent="0.25">
      <c r="A14" s="88" t="s">
        <v>868</v>
      </c>
      <c r="C14" s="88"/>
    </row>
    <row r="15" spans="1:3" x14ac:dyDescent="0.25">
      <c r="A15" s="88" t="s">
        <v>873</v>
      </c>
      <c r="C15" s="88"/>
    </row>
    <row r="16" spans="1:3" x14ac:dyDescent="0.25">
      <c r="A16" s="88" t="s">
        <v>877</v>
      </c>
      <c r="C16" s="88"/>
    </row>
    <row r="17" spans="1:3" x14ac:dyDescent="0.25">
      <c r="A17" s="88" t="s">
        <v>878</v>
      </c>
      <c r="C17" s="88"/>
    </row>
    <row r="18" spans="1:3" x14ac:dyDescent="0.25">
      <c r="A18" s="88" t="s">
        <v>880</v>
      </c>
      <c r="C18" s="88"/>
    </row>
    <row r="19" spans="1:3" x14ac:dyDescent="0.25">
      <c r="A19" s="88" t="s">
        <v>882</v>
      </c>
      <c r="C19" s="88"/>
    </row>
    <row r="20" spans="1:3" x14ac:dyDescent="0.25">
      <c r="A20" s="88" t="s">
        <v>883</v>
      </c>
      <c r="C20" s="88"/>
    </row>
    <row r="21" spans="1:3" x14ac:dyDescent="0.25">
      <c r="A21" s="88" t="s">
        <v>884</v>
      </c>
      <c r="C21" s="118"/>
    </row>
    <row r="22" spans="1:3" x14ac:dyDescent="0.25">
      <c r="A22" s="88" t="s">
        <v>886</v>
      </c>
      <c r="C22" s="88"/>
    </row>
    <row r="23" spans="1:3" x14ac:dyDescent="0.25">
      <c r="A23" s="88" t="s">
        <v>1314</v>
      </c>
      <c r="C23" s="88"/>
    </row>
    <row r="24" spans="1:3" x14ac:dyDescent="0.25">
      <c r="A24" s="88" t="s">
        <v>893</v>
      </c>
      <c r="C24" s="88"/>
    </row>
    <row r="25" spans="1:3" x14ac:dyDescent="0.25">
      <c r="A25" s="88" t="s">
        <v>894</v>
      </c>
      <c r="C25" s="88"/>
    </row>
    <row r="26" spans="1:3" x14ac:dyDescent="0.25">
      <c r="A26" s="88" t="s">
        <v>898</v>
      </c>
      <c r="C26" s="88"/>
    </row>
    <row r="27" spans="1:3" x14ac:dyDescent="0.25">
      <c r="A27" s="88" t="s">
        <v>902</v>
      </c>
      <c r="C27" s="88"/>
    </row>
    <row r="28" spans="1:3" x14ac:dyDescent="0.25">
      <c r="A28" s="88" t="s">
        <v>906</v>
      </c>
      <c r="C28" s="88"/>
    </row>
    <row r="29" spans="1:3" x14ac:dyDescent="0.25">
      <c r="A29" s="88" t="s">
        <v>908</v>
      </c>
      <c r="C29" s="88"/>
    </row>
    <row r="30" spans="1:3" x14ac:dyDescent="0.25">
      <c r="A30" s="88" t="s">
        <v>912</v>
      </c>
      <c r="C30" s="88"/>
    </row>
    <row r="31" spans="1:3" x14ac:dyDescent="0.25">
      <c r="A31" s="88" t="s">
        <v>916</v>
      </c>
      <c r="C31" s="88"/>
    </row>
    <row r="32" spans="1:3" x14ac:dyDescent="0.25">
      <c r="A32" s="118" t="s">
        <v>918</v>
      </c>
      <c r="C32" s="88"/>
    </row>
    <row r="33" spans="1:3" x14ac:dyDescent="0.25">
      <c r="A33" s="88" t="s">
        <v>919</v>
      </c>
      <c r="C33" s="88"/>
    </row>
    <row r="34" spans="1:3" x14ac:dyDescent="0.25">
      <c r="A34" s="88" t="s">
        <v>920</v>
      </c>
      <c r="C34" s="88"/>
    </row>
    <row r="35" spans="1:3" x14ac:dyDescent="0.25">
      <c r="A35" s="88" t="s">
        <v>921</v>
      </c>
      <c r="C35" s="88"/>
    </row>
    <row r="36" spans="1:3" x14ac:dyDescent="0.25">
      <c r="A36" s="88" t="s">
        <v>922</v>
      </c>
      <c r="C36" s="88"/>
    </row>
    <row r="37" spans="1:3" x14ac:dyDescent="0.25">
      <c r="A37" s="88" t="s">
        <v>448</v>
      </c>
      <c r="C37" s="88"/>
    </row>
    <row r="38" spans="1:3" x14ac:dyDescent="0.25">
      <c r="A38" s="88" t="s">
        <v>923</v>
      </c>
      <c r="C38" s="88"/>
    </row>
    <row r="39" spans="1:3" x14ac:dyDescent="0.25">
      <c r="A39" s="88" t="s">
        <v>924</v>
      </c>
      <c r="C39" s="88"/>
    </row>
    <row r="40" spans="1:3" x14ac:dyDescent="0.25">
      <c r="A40" s="88" t="s">
        <v>925</v>
      </c>
      <c r="C40" s="88"/>
    </row>
    <row r="41" spans="1:3" x14ac:dyDescent="0.25">
      <c r="A41" s="152" t="s">
        <v>926</v>
      </c>
      <c r="C41" s="88"/>
    </row>
    <row r="42" spans="1:3" x14ac:dyDescent="0.25">
      <c r="A42" s="88" t="s">
        <v>933</v>
      </c>
      <c r="C42" s="88"/>
    </row>
    <row r="43" spans="1:3" x14ac:dyDescent="0.25">
      <c r="A43" s="88" t="s">
        <v>937</v>
      </c>
      <c r="C43" s="88"/>
    </row>
    <row r="44" spans="1:3" x14ac:dyDescent="0.25">
      <c r="A44" s="88" t="s">
        <v>941</v>
      </c>
      <c r="C44" s="88"/>
    </row>
    <row r="45" spans="1:3" x14ac:dyDescent="0.25">
      <c r="A45" s="88" t="s">
        <v>945</v>
      </c>
      <c r="C45" s="88"/>
    </row>
    <row r="46" spans="1:3" x14ac:dyDescent="0.25">
      <c r="A46" s="88" t="s">
        <v>948</v>
      </c>
      <c r="C46" s="88"/>
    </row>
    <row r="47" spans="1:3" x14ac:dyDescent="0.25">
      <c r="A47" s="88" t="s">
        <v>949</v>
      </c>
      <c r="C47" s="88"/>
    </row>
    <row r="48" spans="1:3" x14ac:dyDescent="0.25">
      <c r="A48" s="88" t="s">
        <v>950</v>
      </c>
      <c r="C48" s="88"/>
    </row>
    <row r="49" spans="1:3" x14ac:dyDescent="0.25">
      <c r="A49" s="88" t="s">
        <v>954</v>
      </c>
      <c r="C49" s="88"/>
    </row>
    <row r="50" spans="1:3" x14ac:dyDescent="0.25">
      <c r="A50" s="88" t="s">
        <v>957</v>
      </c>
      <c r="C50" s="88"/>
    </row>
    <row r="51" spans="1:3" x14ac:dyDescent="0.25">
      <c r="A51" s="88" t="s">
        <v>667</v>
      </c>
      <c r="C51" s="88"/>
    </row>
    <row r="52" spans="1:3" x14ac:dyDescent="0.25">
      <c r="A52" s="88" t="s">
        <v>958</v>
      </c>
      <c r="C52" s="88"/>
    </row>
    <row r="53" spans="1:3" x14ac:dyDescent="0.25">
      <c r="A53" s="88" t="s">
        <v>959</v>
      </c>
      <c r="C53" s="88"/>
    </row>
    <row r="54" spans="1:3" x14ac:dyDescent="0.25">
      <c r="A54" s="88" t="s">
        <v>683</v>
      </c>
      <c r="C54" s="88"/>
    </row>
    <row r="55" spans="1:3" x14ac:dyDescent="0.25">
      <c r="A55" s="88" t="s">
        <v>960</v>
      </c>
      <c r="C55" s="88"/>
    </row>
    <row r="56" spans="1:3" x14ac:dyDescent="0.25">
      <c r="A56" s="88" t="s">
        <v>961</v>
      </c>
      <c r="C56" s="88"/>
    </row>
    <row r="57" spans="1:3" x14ac:dyDescent="0.25">
      <c r="A57" s="88" t="s">
        <v>962</v>
      </c>
      <c r="C57" s="88"/>
    </row>
    <row r="58" spans="1:3" x14ac:dyDescent="0.25">
      <c r="A58" s="88" t="s">
        <v>963</v>
      </c>
      <c r="C58" s="88"/>
    </row>
    <row r="59" spans="1:3" x14ac:dyDescent="0.25">
      <c r="A59" s="88" t="s">
        <v>964</v>
      </c>
      <c r="C59" s="88"/>
    </row>
    <row r="60" spans="1:3" x14ac:dyDescent="0.25">
      <c r="A60" s="88" t="s">
        <v>965</v>
      </c>
      <c r="C60" s="88"/>
    </row>
    <row r="61" spans="1:3" x14ac:dyDescent="0.25">
      <c r="A61" s="88" t="s">
        <v>969</v>
      </c>
      <c r="C61" s="88"/>
    </row>
    <row r="62" spans="1:3" x14ac:dyDescent="0.25">
      <c r="A62" s="88" t="s">
        <v>972</v>
      </c>
      <c r="C62" s="88"/>
    </row>
    <row r="63" spans="1:3" x14ac:dyDescent="0.25">
      <c r="A63" s="88" t="s">
        <v>973</v>
      </c>
      <c r="C63" s="88"/>
    </row>
    <row r="64" spans="1:3" x14ac:dyDescent="0.25">
      <c r="A64" s="88" t="s">
        <v>977</v>
      </c>
      <c r="C64" s="146"/>
    </row>
    <row r="65" spans="1:3" x14ac:dyDescent="0.25">
      <c r="A65" s="88" t="s">
        <v>981</v>
      </c>
      <c r="C65" s="88"/>
    </row>
    <row r="66" spans="1:3" x14ac:dyDescent="0.25">
      <c r="A66" s="152" t="s">
        <v>982</v>
      </c>
      <c r="C66" s="88"/>
    </row>
    <row r="67" spans="1:3" x14ac:dyDescent="0.25">
      <c r="A67" s="88" t="s">
        <v>985</v>
      </c>
      <c r="C67" s="88"/>
    </row>
    <row r="68" spans="1:3" x14ac:dyDescent="0.25">
      <c r="A68" s="88" t="s">
        <v>988</v>
      </c>
      <c r="C68" s="88"/>
    </row>
    <row r="69" spans="1:3" x14ac:dyDescent="0.25">
      <c r="A69" s="88" t="s">
        <v>991</v>
      </c>
      <c r="C69" s="88"/>
    </row>
    <row r="70" spans="1:3" x14ac:dyDescent="0.25">
      <c r="A70" s="88" t="s">
        <v>994</v>
      </c>
      <c r="C70" s="152"/>
    </row>
    <row r="71" spans="1:3" x14ac:dyDescent="0.25">
      <c r="A71" s="88" t="s">
        <v>997</v>
      </c>
      <c r="C71" s="88"/>
    </row>
    <row r="72" spans="1:3" x14ac:dyDescent="0.25">
      <c r="A72" s="88" t="s">
        <v>998</v>
      </c>
      <c r="C72" s="88"/>
    </row>
    <row r="73" spans="1:3" x14ac:dyDescent="0.25">
      <c r="A73" s="88" t="s">
        <v>999</v>
      </c>
      <c r="C73" s="88"/>
    </row>
    <row r="74" spans="1:3" x14ac:dyDescent="0.25">
      <c r="A74" s="88" t="s">
        <v>1000</v>
      </c>
      <c r="C74" s="88"/>
    </row>
    <row r="75" spans="1:3" x14ac:dyDescent="0.25">
      <c r="A75" s="88" t="s">
        <v>1006</v>
      </c>
      <c r="C75" s="88"/>
    </row>
    <row r="76" spans="1:3" x14ac:dyDescent="0.25">
      <c r="A76" s="88" t="s">
        <v>1009</v>
      </c>
      <c r="C76" s="88"/>
    </row>
    <row r="77" spans="1:3" x14ac:dyDescent="0.25">
      <c r="A77" s="88" t="s">
        <v>1010</v>
      </c>
      <c r="C77" s="88"/>
    </row>
    <row r="78" spans="1:3" x14ac:dyDescent="0.25">
      <c r="A78" s="88" t="s">
        <v>1011</v>
      </c>
      <c r="C78" s="88"/>
    </row>
    <row r="79" spans="1:3" x14ac:dyDescent="0.25">
      <c r="A79" s="88" t="s">
        <v>1013</v>
      </c>
      <c r="C79" s="88"/>
    </row>
    <row r="80" spans="1:3" x14ac:dyDescent="0.25">
      <c r="A80" s="88" t="s">
        <v>1494</v>
      </c>
      <c r="C80" s="88"/>
    </row>
    <row r="81" spans="1:3" x14ac:dyDescent="0.25">
      <c r="A81" s="88" t="s">
        <v>1021</v>
      </c>
      <c r="C81" s="88"/>
    </row>
    <row r="82" spans="1:3" x14ac:dyDescent="0.25">
      <c r="A82" s="88" t="s">
        <v>1026</v>
      </c>
      <c r="C82" s="88"/>
    </row>
    <row r="83" spans="1:3" x14ac:dyDescent="0.25">
      <c r="A83" s="88" t="s">
        <v>1027</v>
      </c>
      <c r="C83" s="88"/>
    </row>
    <row r="84" spans="1:3" x14ac:dyDescent="0.25">
      <c r="A84" s="88" t="s">
        <v>1028</v>
      </c>
      <c r="C84" s="118"/>
    </row>
    <row r="85" spans="1:3" x14ac:dyDescent="0.25">
      <c r="A85" s="88" t="s">
        <v>1032</v>
      </c>
      <c r="C85" s="88"/>
    </row>
    <row r="86" spans="1:3" x14ac:dyDescent="0.25">
      <c r="A86" s="88" t="s">
        <v>238</v>
      </c>
      <c r="C86" s="88"/>
    </row>
    <row r="87" spans="1:3" x14ac:dyDescent="0.25">
      <c r="A87" s="88" t="s">
        <v>1035</v>
      </c>
      <c r="C87" s="88"/>
    </row>
    <row r="88" spans="1:3" x14ac:dyDescent="0.25">
      <c r="A88" s="88" t="s">
        <v>1316</v>
      </c>
      <c r="C88" s="88"/>
    </row>
    <row r="89" spans="1:3" x14ac:dyDescent="0.25">
      <c r="A89" s="88" t="s">
        <v>1040</v>
      </c>
      <c r="C89" s="88"/>
    </row>
    <row r="90" spans="1:3" x14ac:dyDescent="0.25">
      <c r="A90" s="88" t="s">
        <v>1046</v>
      </c>
      <c r="C90" s="88"/>
    </row>
    <row r="91" spans="1:3" x14ac:dyDescent="0.25">
      <c r="A91" s="88" t="s">
        <v>1051</v>
      </c>
      <c r="C91" s="88"/>
    </row>
    <row r="92" spans="1:3" x14ac:dyDescent="0.25">
      <c r="A92" s="88" t="s">
        <v>1054</v>
      </c>
      <c r="C92" s="88"/>
    </row>
    <row r="93" spans="1:3" x14ac:dyDescent="0.25">
      <c r="A93" s="88" t="s">
        <v>1055</v>
      </c>
      <c r="C93" s="88"/>
    </row>
    <row r="94" spans="1:3" x14ac:dyDescent="0.25">
      <c r="A94" s="88" t="s">
        <v>1056</v>
      </c>
      <c r="C94" s="88"/>
    </row>
    <row r="95" spans="1:3" x14ac:dyDescent="0.25">
      <c r="A95" s="153" t="s">
        <v>1057</v>
      </c>
      <c r="C95" s="88"/>
    </row>
    <row r="96" spans="1:3" x14ac:dyDescent="0.25">
      <c r="A96" s="88" t="s">
        <v>1058</v>
      </c>
      <c r="C96" s="88"/>
    </row>
    <row r="97" spans="1:3" x14ac:dyDescent="0.25">
      <c r="A97" s="88" t="s">
        <v>1060</v>
      </c>
      <c r="C97" s="88"/>
    </row>
    <row r="98" spans="1:3" x14ac:dyDescent="0.25">
      <c r="A98" s="88" t="s">
        <v>149</v>
      </c>
      <c r="C98" s="88"/>
    </row>
    <row r="99" spans="1:3" x14ac:dyDescent="0.25">
      <c r="A99" s="88" t="s">
        <v>142</v>
      </c>
      <c r="C99" s="88"/>
    </row>
    <row r="100" spans="1:3" x14ac:dyDescent="0.25">
      <c r="A100" s="88" t="s">
        <v>1315</v>
      </c>
      <c r="C100" s="88"/>
    </row>
    <row r="101" spans="1:3" x14ac:dyDescent="0.25">
      <c r="A101" s="88" t="s">
        <v>1065</v>
      </c>
      <c r="C101" s="88"/>
    </row>
    <row r="102" spans="1:3" x14ac:dyDescent="0.25">
      <c r="A102" s="88" t="s">
        <v>1068</v>
      </c>
      <c r="C102" s="88"/>
    </row>
    <row r="103" spans="1:3" x14ac:dyDescent="0.25">
      <c r="A103" s="88" t="s">
        <v>1072</v>
      </c>
      <c r="C103" s="88"/>
    </row>
    <row r="104" spans="1:3" x14ac:dyDescent="0.25">
      <c r="A104" s="88" t="s">
        <v>1077</v>
      </c>
      <c r="C104" s="88"/>
    </row>
    <row r="105" spans="1:3" x14ac:dyDescent="0.25">
      <c r="A105" s="88" t="s">
        <v>1080</v>
      </c>
      <c r="C105" s="88"/>
    </row>
    <row r="106" spans="1:3" x14ac:dyDescent="0.25">
      <c r="A106" s="88" t="s">
        <v>1081</v>
      </c>
      <c r="C106" s="88"/>
    </row>
    <row r="107" spans="1:3" x14ac:dyDescent="0.25">
      <c r="A107" s="88" t="s">
        <v>1082</v>
      </c>
      <c r="C107" s="88"/>
    </row>
    <row r="108" spans="1:3" x14ac:dyDescent="0.25">
      <c r="A108" s="88" t="s">
        <v>85</v>
      </c>
      <c r="C108" s="88"/>
    </row>
    <row r="109" spans="1:3" x14ac:dyDescent="0.25">
      <c r="A109" s="88" t="s">
        <v>1083</v>
      </c>
      <c r="C109" s="88"/>
    </row>
    <row r="110" spans="1:3" x14ac:dyDescent="0.25">
      <c r="A110" s="88" t="s">
        <v>1087</v>
      </c>
    </row>
    <row r="111" spans="1:3" x14ac:dyDescent="0.25">
      <c r="A111" s="88" t="s">
        <v>1093</v>
      </c>
    </row>
    <row r="112" spans="1:3" x14ac:dyDescent="0.25">
      <c r="A112" s="88" t="s">
        <v>1099</v>
      </c>
      <c r="C112" s="118"/>
    </row>
    <row r="113" spans="1:3" x14ac:dyDescent="0.25">
      <c r="A113" s="88" t="s">
        <v>1101</v>
      </c>
      <c r="C113" s="118"/>
    </row>
    <row r="114" spans="1:3" x14ac:dyDescent="0.25">
      <c r="A114" s="88" t="s">
        <v>1102</v>
      </c>
      <c r="C114" s="118"/>
    </row>
    <row r="115" spans="1:3" x14ac:dyDescent="0.25">
      <c r="A115" s="88" t="s">
        <v>1105</v>
      </c>
      <c r="C115" s="118"/>
    </row>
    <row r="116" spans="1:3" x14ac:dyDescent="0.25">
      <c r="A116" s="88" t="s">
        <v>1108</v>
      </c>
      <c r="C116" s="118"/>
    </row>
    <row r="117" spans="1:3" x14ac:dyDescent="0.25">
      <c r="A117" s="88" t="s">
        <v>1110</v>
      </c>
      <c r="C117" s="118"/>
    </row>
    <row r="118" spans="1:3" x14ac:dyDescent="0.25">
      <c r="A118" s="88" t="s">
        <v>1111</v>
      </c>
      <c r="C118" s="146"/>
    </row>
    <row r="119" spans="1:3" x14ac:dyDescent="0.25">
      <c r="A119" s="88" t="s">
        <v>30</v>
      </c>
      <c r="C119" s="120"/>
    </row>
    <row r="120" spans="1:3" x14ac:dyDescent="0.25">
      <c r="A120" s="88" t="s">
        <v>1113</v>
      </c>
      <c r="C120" s="120"/>
    </row>
    <row r="121" spans="1:3" x14ac:dyDescent="0.25">
      <c r="A121" s="97" t="s">
        <v>1188</v>
      </c>
      <c r="C121" s="120"/>
    </row>
    <row r="122" spans="1:3" x14ac:dyDescent="0.25">
      <c r="A122" s="97" t="s">
        <v>1205</v>
      </c>
      <c r="C122" s="146"/>
    </row>
    <row r="123" spans="1:3" x14ac:dyDescent="0.25">
      <c r="A123" s="153" t="s">
        <v>1572</v>
      </c>
      <c r="C123" s="146"/>
    </row>
    <row r="124" spans="1:3" x14ac:dyDescent="0.25">
      <c r="A124" s="118" t="s">
        <v>1262</v>
      </c>
      <c r="C124" s="146"/>
    </row>
    <row r="125" spans="1:3" x14ac:dyDescent="0.25">
      <c r="A125" s="118" t="s">
        <v>1263</v>
      </c>
      <c r="C125" s="146"/>
    </row>
    <row r="126" spans="1:3" x14ac:dyDescent="0.25">
      <c r="A126" s="118" t="s">
        <v>1273</v>
      </c>
      <c r="C126" s="146"/>
    </row>
    <row r="127" spans="1:3" x14ac:dyDescent="0.25">
      <c r="A127" s="118" t="s">
        <v>1294</v>
      </c>
      <c r="C127" s="146"/>
    </row>
    <row r="128" spans="1:3" x14ac:dyDescent="0.25">
      <c r="A128" s="118" t="s">
        <v>1305</v>
      </c>
      <c r="C128"/>
    </row>
    <row r="129" spans="1:3" x14ac:dyDescent="0.25">
      <c r="A129" s="146" t="s">
        <v>1571</v>
      </c>
      <c r="C129"/>
    </row>
    <row r="130" spans="1:3" x14ac:dyDescent="0.25">
      <c r="A130" s="146" t="s">
        <v>1359</v>
      </c>
      <c r="C130"/>
    </row>
    <row r="131" spans="1:3" x14ac:dyDescent="0.25">
      <c r="A131" s="120" t="s">
        <v>1375</v>
      </c>
      <c r="C131"/>
    </row>
    <row r="132" spans="1:3" x14ac:dyDescent="0.25">
      <c r="A132" s="146" t="s">
        <v>1418</v>
      </c>
      <c r="C132"/>
    </row>
    <row r="133" spans="1:3" x14ac:dyDescent="0.25">
      <c r="A133" s="146" t="s">
        <v>1421</v>
      </c>
      <c r="C133"/>
    </row>
    <row r="134" spans="1:3" x14ac:dyDescent="0.25">
      <c r="A134" s="146" t="s">
        <v>1428</v>
      </c>
      <c r="C134"/>
    </row>
    <row r="135" spans="1:3" x14ac:dyDescent="0.25">
      <c r="A135" s="146" t="s">
        <v>1436</v>
      </c>
      <c r="C135"/>
    </row>
    <row r="136" spans="1:3" x14ac:dyDescent="0.25">
      <c r="A136" s="146" t="s">
        <v>1573</v>
      </c>
      <c r="C136"/>
    </row>
    <row r="137" spans="1:3" x14ac:dyDescent="0.25">
      <c r="A137" s="146" t="s">
        <v>1461</v>
      </c>
      <c r="C137"/>
    </row>
    <row r="138" spans="1:3" x14ac:dyDescent="0.25">
      <c r="A138" s="146" t="s">
        <v>1474</v>
      </c>
      <c r="C138"/>
    </row>
    <row r="139" spans="1:3" x14ac:dyDescent="0.25">
      <c r="A139" s="146" t="s">
        <v>1480</v>
      </c>
      <c r="C139"/>
    </row>
    <row r="140" spans="1:3" x14ac:dyDescent="0.25">
      <c r="A140" s="180" t="s">
        <v>1702</v>
      </c>
      <c r="C140"/>
    </row>
    <row r="141" spans="1:3" x14ac:dyDescent="0.25">
      <c r="A141" s="180" t="s">
        <v>1703</v>
      </c>
      <c r="C141"/>
    </row>
    <row r="142" spans="1:3" x14ac:dyDescent="0.25">
      <c r="A142" s="180" t="s">
        <v>1714</v>
      </c>
      <c r="C142"/>
    </row>
    <row r="143" spans="1:3" x14ac:dyDescent="0.25">
      <c r="A143" s="180" t="s">
        <v>1726</v>
      </c>
      <c r="C143"/>
    </row>
    <row r="144" spans="1:3" x14ac:dyDescent="0.25">
      <c r="A144" s="199" t="s">
        <v>1732</v>
      </c>
      <c r="C144"/>
    </row>
    <row r="145" spans="1:3" x14ac:dyDescent="0.25">
      <c r="A145" s="199" t="s">
        <v>1733</v>
      </c>
      <c r="C145"/>
    </row>
    <row r="146" spans="1:3" x14ac:dyDescent="0.25">
      <c r="A146" s="199" t="s">
        <v>1734</v>
      </c>
      <c r="C146"/>
    </row>
    <row r="147" spans="1:3" x14ac:dyDescent="0.25">
      <c r="A147"/>
      <c r="C147"/>
    </row>
    <row r="148" spans="1:3" x14ac:dyDescent="0.25">
      <c r="A148"/>
      <c r="C148"/>
    </row>
    <row r="149" spans="1:3" x14ac:dyDescent="0.25">
      <c r="A149"/>
      <c r="C149"/>
    </row>
    <row r="150" spans="1:3" x14ac:dyDescent="0.25">
      <c r="A150"/>
      <c r="C150"/>
    </row>
    <row r="151" spans="1:3" x14ac:dyDescent="0.25">
      <c r="A151"/>
      <c r="C151"/>
    </row>
    <row r="152" spans="1:3" x14ac:dyDescent="0.25">
      <c r="A152"/>
      <c r="C152"/>
    </row>
    <row r="153" spans="1:3" x14ac:dyDescent="0.25">
      <c r="A153"/>
      <c r="C153"/>
    </row>
    <row r="154" spans="1:3" x14ac:dyDescent="0.25">
      <c r="A154"/>
      <c r="C154"/>
    </row>
    <row r="155" spans="1:3" x14ac:dyDescent="0.25">
      <c r="A155"/>
      <c r="C155"/>
    </row>
    <row r="156" spans="1:3" x14ac:dyDescent="0.25">
      <c r="A156"/>
      <c r="C156"/>
    </row>
    <row r="157" spans="1:3" x14ac:dyDescent="0.25">
      <c r="A157"/>
      <c r="C157"/>
    </row>
    <row r="158" spans="1:3" x14ac:dyDescent="0.25">
      <c r="A158"/>
      <c r="C158"/>
    </row>
    <row r="159" spans="1:3" x14ac:dyDescent="0.25">
      <c r="A159"/>
      <c r="C159"/>
    </row>
    <row r="160" spans="1:3" x14ac:dyDescent="0.25">
      <c r="A160"/>
      <c r="C160"/>
    </row>
    <row r="161" spans="1:3" x14ac:dyDescent="0.25">
      <c r="A161"/>
      <c r="C161"/>
    </row>
    <row r="162" spans="1:3" x14ac:dyDescent="0.25">
      <c r="A162"/>
      <c r="C162"/>
    </row>
    <row r="163" spans="1:3" x14ac:dyDescent="0.25">
      <c r="A163"/>
      <c r="C163"/>
    </row>
    <row r="164" spans="1:3" x14ac:dyDescent="0.25">
      <c r="A164"/>
      <c r="C164"/>
    </row>
    <row r="165" spans="1:3" x14ac:dyDescent="0.25">
      <c r="A165"/>
      <c r="C165"/>
    </row>
    <row r="166" spans="1:3" x14ac:dyDescent="0.25">
      <c r="A166"/>
      <c r="C166"/>
    </row>
    <row r="167" spans="1:3" x14ac:dyDescent="0.25">
      <c r="A167"/>
      <c r="C167"/>
    </row>
    <row r="168" spans="1:3" x14ac:dyDescent="0.25">
      <c r="A168"/>
      <c r="C168"/>
    </row>
    <row r="169" spans="1:3" x14ac:dyDescent="0.25">
      <c r="A169"/>
      <c r="C169"/>
    </row>
    <row r="170" spans="1:3" x14ac:dyDescent="0.25">
      <c r="A170"/>
      <c r="C170"/>
    </row>
    <row r="171" spans="1:3" x14ac:dyDescent="0.25">
      <c r="A171"/>
      <c r="C171"/>
    </row>
    <row r="172" spans="1:3" x14ac:dyDescent="0.25">
      <c r="A172"/>
      <c r="C172"/>
    </row>
    <row r="173" spans="1:3" x14ac:dyDescent="0.25">
      <c r="A173"/>
      <c r="C173"/>
    </row>
    <row r="174" spans="1:3" x14ac:dyDescent="0.25">
      <c r="A174"/>
      <c r="C174"/>
    </row>
    <row r="175" spans="1:3" x14ac:dyDescent="0.25">
      <c r="A175"/>
      <c r="C175"/>
    </row>
    <row r="176" spans="1:3" x14ac:dyDescent="0.25">
      <c r="A176"/>
      <c r="C176"/>
    </row>
    <row r="177" spans="1:3" x14ac:dyDescent="0.25">
      <c r="A177"/>
      <c r="C177"/>
    </row>
    <row r="178" spans="1:3" x14ac:dyDescent="0.25">
      <c r="A178"/>
      <c r="C178"/>
    </row>
    <row r="179" spans="1:3" x14ac:dyDescent="0.25">
      <c r="A179"/>
      <c r="C179"/>
    </row>
    <row r="180" spans="1:3" x14ac:dyDescent="0.25">
      <c r="A180"/>
      <c r="C180"/>
    </row>
    <row r="181" spans="1:3" x14ac:dyDescent="0.25">
      <c r="A181"/>
      <c r="C181"/>
    </row>
    <row r="182" spans="1:3" x14ac:dyDescent="0.25">
      <c r="A182"/>
      <c r="C182"/>
    </row>
    <row r="183" spans="1:3" x14ac:dyDescent="0.25">
      <c r="A183"/>
      <c r="C183"/>
    </row>
    <row r="184" spans="1:3" x14ac:dyDescent="0.25">
      <c r="A184"/>
      <c r="C184"/>
    </row>
    <row r="185" spans="1:3" x14ac:dyDescent="0.25">
      <c r="A185"/>
      <c r="C185"/>
    </row>
    <row r="186" spans="1:3" x14ac:dyDescent="0.25">
      <c r="A186"/>
      <c r="C186"/>
    </row>
    <row r="187" spans="1:3" x14ac:dyDescent="0.25">
      <c r="A187"/>
      <c r="C187"/>
    </row>
    <row r="188" spans="1:3" x14ac:dyDescent="0.25">
      <c r="A188"/>
      <c r="C188"/>
    </row>
    <row r="189" spans="1:3" x14ac:dyDescent="0.25">
      <c r="A189"/>
      <c r="C189"/>
    </row>
    <row r="190" spans="1:3" x14ac:dyDescent="0.25">
      <c r="A190"/>
      <c r="C190"/>
    </row>
    <row r="191" spans="1:3" x14ac:dyDescent="0.25">
      <c r="A191"/>
      <c r="C191"/>
    </row>
    <row r="192" spans="1:3" x14ac:dyDescent="0.25">
      <c r="A192"/>
      <c r="C192"/>
    </row>
    <row r="193" spans="1:3" x14ac:dyDescent="0.25">
      <c r="A193"/>
      <c r="C193"/>
    </row>
    <row r="194" spans="1:3" x14ac:dyDescent="0.25">
      <c r="A194"/>
      <c r="C194"/>
    </row>
    <row r="195" spans="1:3" x14ac:dyDescent="0.25">
      <c r="A195"/>
      <c r="C195"/>
    </row>
    <row r="196" spans="1:3" x14ac:dyDescent="0.25">
      <c r="A196"/>
      <c r="C196"/>
    </row>
    <row r="197" spans="1:3" x14ac:dyDescent="0.25">
      <c r="A197"/>
      <c r="C197"/>
    </row>
    <row r="198" spans="1:3" x14ac:dyDescent="0.25">
      <c r="A198"/>
      <c r="C198"/>
    </row>
    <row r="199" spans="1:3" x14ac:dyDescent="0.25">
      <c r="A199"/>
      <c r="C199"/>
    </row>
    <row r="200" spans="1:3" x14ac:dyDescent="0.25">
      <c r="A200"/>
      <c r="C200"/>
    </row>
    <row r="201" spans="1:3" x14ac:dyDescent="0.25">
      <c r="A201"/>
      <c r="C201"/>
    </row>
    <row r="202" spans="1:3" x14ac:dyDescent="0.25">
      <c r="A202"/>
      <c r="C202"/>
    </row>
    <row r="203" spans="1:3" x14ac:dyDescent="0.25">
      <c r="A203"/>
      <c r="C203"/>
    </row>
    <row r="204" spans="1:3" x14ac:dyDescent="0.25">
      <c r="A204"/>
      <c r="C204"/>
    </row>
    <row r="205" spans="1:3" x14ac:dyDescent="0.25">
      <c r="A205"/>
      <c r="C205"/>
    </row>
    <row r="206" spans="1:3" x14ac:dyDescent="0.25">
      <c r="A206"/>
      <c r="C206"/>
    </row>
    <row r="207" spans="1:3" x14ac:dyDescent="0.25">
      <c r="A207"/>
      <c r="C207"/>
    </row>
    <row r="208" spans="1:3" x14ac:dyDescent="0.25">
      <c r="A208"/>
      <c r="C208"/>
    </row>
    <row r="209" spans="1:3" x14ac:dyDescent="0.25">
      <c r="A209"/>
      <c r="C209"/>
    </row>
    <row r="210" spans="1:3" x14ac:dyDescent="0.25">
      <c r="A210"/>
      <c r="C210"/>
    </row>
    <row r="211" spans="1:3" x14ac:dyDescent="0.25">
      <c r="A211"/>
      <c r="C211"/>
    </row>
    <row r="212" spans="1:3" x14ac:dyDescent="0.25">
      <c r="A212"/>
      <c r="C212"/>
    </row>
    <row r="213" spans="1:3" x14ac:dyDescent="0.25">
      <c r="A213"/>
      <c r="C213"/>
    </row>
    <row r="214" spans="1:3" x14ac:dyDescent="0.25">
      <c r="A214"/>
      <c r="C214"/>
    </row>
    <row r="215" spans="1:3" x14ac:dyDescent="0.25">
      <c r="A215"/>
      <c r="C215"/>
    </row>
    <row r="216" spans="1:3" x14ac:dyDescent="0.25">
      <c r="A216"/>
      <c r="C216"/>
    </row>
    <row r="217" spans="1:3" x14ac:dyDescent="0.25">
      <c r="A217"/>
      <c r="C217"/>
    </row>
    <row r="218" spans="1:3" x14ac:dyDescent="0.25">
      <c r="A218"/>
      <c r="C218"/>
    </row>
    <row r="219" spans="1:3" x14ac:dyDescent="0.25">
      <c r="A219"/>
      <c r="C219"/>
    </row>
    <row r="220" spans="1:3" x14ac:dyDescent="0.25">
      <c r="A220"/>
      <c r="C220"/>
    </row>
    <row r="221" spans="1:3" x14ac:dyDescent="0.25">
      <c r="A221"/>
      <c r="C221"/>
    </row>
    <row r="222" spans="1:3" x14ac:dyDescent="0.25">
      <c r="A222"/>
      <c r="C222"/>
    </row>
    <row r="223" spans="1:3" x14ac:dyDescent="0.25">
      <c r="A223"/>
      <c r="C223"/>
    </row>
    <row r="224" spans="1:3" x14ac:dyDescent="0.25">
      <c r="A224"/>
      <c r="C224"/>
    </row>
    <row r="225" spans="1:3" x14ac:dyDescent="0.25">
      <c r="A225"/>
      <c r="C225"/>
    </row>
    <row r="226" spans="1:3" x14ac:dyDescent="0.25">
      <c r="A226"/>
      <c r="C226"/>
    </row>
    <row r="227" spans="1:3" x14ac:dyDescent="0.25">
      <c r="A227"/>
      <c r="C227"/>
    </row>
    <row r="228" spans="1:3" x14ac:dyDescent="0.25">
      <c r="A228"/>
      <c r="C228"/>
    </row>
    <row r="229" spans="1:3" x14ac:dyDescent="0.25">
      <c r="A229"/>
      <c r="C229"/>
    </row>
    <row r="230" spans="1:3" x14ac:dyDescent="0.25">
      <c r="A230"/>
      <c r="C230"/>
    </row>
    <row r="231" spans="1:3" x14ac:dyDescent="0.25">
      <c r="A231"/>
      <c r="C231"/>
    </row>
    <row r="232" spans="1:3" x14ac:dyDescent="0.25">
      <c r="A232"/>
      <c r="C232"/>
    </row>
    <row r="233" spans="1:3" x14ac:dyDescent="0.25">
      <c r="A233"/>
      <c r="C233"/>
    </row>
    <row r="234" spans="1:3" x14ac:dyDescent="0.25">
      <c r="A234"/>
      <c r="C234"/>
    </row>
    <row r="235" spans="1:3" x14ac:dyDescent="0.25">
      <c r="A235"/>
      <c r="C235"/>
    </row>
    <row r="236" spans="1:3" x14ac:dyDescent="0.25">
      <c r="A236"/>
      <c r="C236"/>
    </row>
    <row r="237" spans="1:3" x14ac:dyDescent="0.25">
      <c r="A237"/>
      <c r="C237"/>
    </row>
    <row r="238" spans="1:3" x14ac:dyDescent="0.25">
      <c r="A238"/>
      <c r="C238"/>
    </row>
    <row r="239" spans="1:3" x14ac:dyDescent="0.25">
      <c r="A239"/>
      <c r="C239"/>
    </row>
    <row r="240" spans="1:3" x14ac:dyDescent="0.25">
      <c r="A240"/>
      <c r="C240"/>
    </row>
    <row r="241" spans="1:3" x14ac:dyDescent="0.25">
      <c r="A241"/>
      <c r="C241"/>
    </row>
    <row r="242" spans="1:3" x14ac:dyDescent="0.25">
      <c r="A242"/>
      <c r="C242"/>
    </row>
    <row r="243" spans="1:3" x14ac:dyDescent="0.25">
      <c r="A243"/>
      <c r="C243"/>
    </row>
    <row r="244" spans="1:3" x14ac:dyDescent="0.25">
      <c r="A244"/>
      <c r="C244"/>
    </row>
    <row r="245" spans="1:3" x14ac:dyDescent="0.25">
      <c r="A245"/>
      <c r="C245"/>
    </row>
    <row r="246" spans="1:3" x14ac:dyDescent="0.25">
      <c r="A246"/>
      <c r="C246"/>
    </row>
    <row r="247" spans="1:3" x14ac:dyDescent="0.25">
      <c r="A247"/>
      <c r="C247"/>
    </row>
    <row r="248" spans="1:3" x14ac:dyDescent="0.25">
      <c r="A248"/>
      <c r="C248"/>
    </row>
    <row r="249" spans="1:3" x14ac:dyDescent="0.25">
      <c r="A249"/>
      <c r="C249"/>
    </row>
    <row r="250" spans="1:3" x14ac:dyDescent="0.25">
      <c r="A250"/>
      <c r="C250"/>
    </row>
    <row r="251" spans="1:3" x14ac:dyDescent="0.25">
      <c r="A251"/>
      <c r="C251"/>
    </row>
    <row r="252" spans="1:3" x14ac:dyDescent="0.25">
      <c r="A252"/>
      <c r="C252"/>
    </row>
    <row r="253" spans="1:3" x14ac:dyDescent="0.25">
      <c r="A253"/>
      <c r="C253"/>
    </row>
    <row r="254" spans="1:3" x14ac:dyDescent="0.25">
      <c r="A254"/>
      <c r="C254"/>
    </row>
    <row r="255" spans="1:3" x14ac:dyDescent="0.25">
      <c r="A255"/>
      <c r="C255"/>
    </row>
    <row r="256" spans="1:3" x14ac:dyDescent="0.25">
      <c r="A256"/>
      <c r="C256"/>
    </row>
    <row r="257" spans="1:3" x14ac:dyDescent="0.25">
      <c r="A257"/>
      <c r="C257"/>
    </row>
    <row r="258" spans="1:3" x14ac:dyDescent="0.25">
      <c r="A258"/>
      <c r="C258"/>
    </row>
    <row r="259" spans="1:3" x14ac:dyDescent="0.25">
      <c r="A259"/>
      <c r="C259"/>
    </row>
    <row r="260" spans="1:3" x14ac:dyDescent="0.25">
      <c r="A260"/>
      <c r="C260"/>
    </row>
    <row r="261" spans="1:3" x14ac:dyDescent="0.25">
      <c r="A261"/>
      <c r="C261"/>
    </row>
    <row r="262" spans="1:3" x14ac:dyDescent="0.25">
      <c r="A262"/>
      <c r="C262"/>
    </row>
    <row r="263" spans="1:3" x14ac:dyDescent="0.25">
      <c r="A263"/>
      <c r="C263"/>
    </row>
    <row r="264" spans="1:3" x14ac:dyDescent="0.25">
      <c r="A264"/>
      <c r="C264"/>
    </row>
    <row r="265" spans="1:3" x14ac:dyDescent="0.25">
      <c r="A265"/>
      <c r="C265"/>
    </row>
    <row r="266" spans="1:3" x14ac:dyDescent="0.25">
      <c r="A266"/>
      <c r="C266"/>
    </row>
    <row r="267" spans="1:3" x14ac:dyDescent="0.25">
      <c r="A267"/>
      <c r="C267"/>
    </row>
    <row r="268" spans="1:3" x14ac:dyDescent="0.25">
      <c r="A268"/>
      <c r="C268"/>
    </row>
    <row r="269" spans="1:3" x14ac:dyDescent="0.25">
      <c r="A269"/>
      <c r="C269"/>
    </row>
    <row r="270" spans="1:3" x14ac:dyDescent="0.25">
      <c r="A270"/>
      <c r="C270"/>
    </row>
    <row r="271" spans="1:3" x14ac:dyDescent="0.25">
      <c r="A271"/>
      <c r="C271"/>
    </row>
    <row r="272" spans="1:3" x14ac:dyDescent="0.25">
      <c r="A272"/>
      <c r="C272"/>
    </row>
    <row r="273" spans="1:3" x14ac:dyDescent="0.25">
      <c r="A273"/>
      <c r="C273"/>
    </row>
    <row r="274" spans="1:3" x14ac:dyDescent="0.25">
      <c r="A274"/>
      <c r="C274"/>
    </row>
    <row r="275" spans="1:3" x14ac:dyDescent="0.25">
      <c r="A275"/>
      <c r="C275"/>
    </row>
    <row r="276" spans="1:3" x14ac:dyDescent="0.25">
      <c r="A276"/>
      <c r="C276"/>
    </row>
    <row r="277" spans="1:3" x14ac:dyDescent="0.25">
      <c r="A277"/>
      <c r="C277"/>
    </row>
    <row r="278" spans="1:3" x14ac:dyDescent="0.25">
      <c r="A278"/>
      <c r="C278"/>
    </row>
    <row r="279" spans="1:3" x14ac:dyDescent="0.25">
      <c r="A279"/>
      <c r="C279"/>
    </row>
    <row r="280" spans="1:3" x14ac:dyDescent="0.25">
      <c r="A280"/>
      <c r="C280"/>
    </row>
    <row r="281" spans="1:3" x14ac:dyDescent="0.25">
      <c r="A281"/>
      <c r="C281"/>
    </row>
    <row r="282" spans="1:3" x14ac:dyDescent="0.25">
      <c r="A282"/>
      <c r="C282"/>
    </row>
    <row r="283" spans="1:3" x14ac:dyDescent="0.25">
      <c r="A283"/>
      <c r="C283"/>
    </row>
    <row r="284" spans="1:3" x14ac:dyDescent="0.25">
      <c r="A284"/>
      <c r="C284"/>
    </row>
    <row r="285" spans="1:3" x14ac:dyDescent="0.25">
      <c r="A285"/>
      <c r="C285"/>
    </row>
    <row r="286" spans="1:3" x14ac:dyDescent="0.25">
      <c r="A286"/>
      <c r="C286"/>
    </row>
    <row r="287" spans="1:3" x14ac:dyDescent="0.25">
      <c r="A287"/>
      <c r="C287"/>
    </row>
    <row r="288" spans="1:3" x14ac:dyDescent="0.25">
      <c r="A288"/>
      <c r="C288"/>
    </row>
    <row r="289" spans="1:3" x14ac:dyDescent="0.25">
      <c r="A289"/>
      <c r="C289"/>
    </row>
    <row r="290" spans="1:3" x14ac:dyDescent="0.25">
      <c r="A290"/>
      <c r="C290"/>
    </row>
    <row r="291" spans="1:3" x14ac:dyDescent="0.25">
      <c r="A291"/>
      <c r="C291"/>
    </row>
    <row r="292" spans="1:3" x14ac:dyDescent="0.25">
      <c r="A292"/>
      <c r="C292"/>
    </row>
    <row r="293" spans="1:3" x14ac:dyDescent="0.25">
      <c r="A293"/>
      <c r="C293"/>
    </row>
    <row r="294" spans="1:3" x14ac:dyDescent="0.25">
      <c r="A294"/>
      <c r="C294"/>
    </row>
    <row r="295" spans="1:3" x14ac:dyDescent="0.25">
      <c r="A295"/>
      <c r="C295"/>
    </row>
    <row r="296" spans="1:3" x14ac:dyDescent="0.25">
      <c r="A296"/>
      <c r="C296"/>
    </row>
    <row r="297" spans="1:3" x14ac:dyDescent="0.25">
      <c r="A297"/>
      <c r="C297"/>
    </row>
    <row r="298" spans="1:3" x14ac:dyDescent="0.25">
      <c r="A298"/>
      <c r="C298"/>
    </row>
    <row r="299" spans="1:3" x14ac:dyDescent="0.25">
      <c r="A299"/>
      <c r="C299"/>
    </row>
    <row r="300" spans="1:3" x14ac:dyDescent="0.25">
      <c r="A300"/>
      <c r="C300"/>
    </row>
    <row r="301" spans="1:3" x14ac:dyDescent="0.25">
      <c r="A301"/>
      <c r="C301"/>
    </row>
    <row r="302" spans="1:3" x14ac:dyDescent="0.25">
      <c r="A302"/>
      <c r="C302"/>
    </row>
    <row r="303" spans="1:3" x14ac:dyDescent="0.25">
      <c r="A303"/>
      <c r="C303"/>
    </row>
    <row r="304" spans="1:3" x14ac:dyDescent="0.25">
      <c r="A304"/>
      <c r="C304"/>
    </row>
    <row r="305" spans="1:3" x14ac:dyDescent="0.25">
      <c r="A305"/>
      <c r="C305"/>
    </row>
    <row r="306" spans="1:3" x14ac:dyDescent="0.25">
      <c r="A306"/>
      <c r="C306"/>
    </row>
    <row r="307" spans="1:3" x14ac:dyDescent="0.25">
      <c r="A307"/>
      <c r="C307"/>
    </row>
    <row r="308" spans="1:3" x14ac:dyDescent="0.25">
      <c r="A308"/>
      <c r="C308"/>
    </row>
    <row r="309" spans="1:3" x14ac:dyDescent="0.25">
      <c r="A309"/>
      <c r="C309"/>
    </row>
    <row r="310" spans="1:3" x14ac:dyDescent="0.25">
      <c r="A310"/>
      <c r="C310"/>
    </row>
    <row r="311" spans="1:3" x14ac:dyDescent="0.25">
      <c r="A311"/>
      <c r="C311"/>
    </row>
    <row r="312" spans="1:3" x14ac:dyDescent="0.25">
      <c r="A312"/>
      <c r="C312"/>
    </row>
    <row r="313" spans="1:3" x14ac:dyDescent="0.25">
      <c r="A313"/>
      <c r="C313"/>
    </row>
    <row r="314" spans="1:3" x14ac:dyDescent="0.25">
      <c r="A314"/>
      <c r="C314"/>
    </row>
    <row r="315" spans="1:3" x14ac:dyDescent="0.25">
      <c r="A315"/>
      <c r="C315"/>
    </row>
    <row r="316" spans="1:3" x14ac:dyDescent="0.25">
      <c r="A316"/>
      <c r="C316"/>
    </row>
    <row r="317" spans="1:3" x14ac:dyDescent="0.25">
      <c r="A317"/>
      <c r="C317"/>
    </row>
    <row r="318" spans="1:3" x14ac:dyDescent="0.25">
      <c r="A318"/>
      <c r="C318"/>
    </row>
    <row r="319" spans="1:3" x14ac:dyDescent="0.25">
      <c r="A319"/>
      <c r="C319"/>
    </row>
    <row r="320" spans="1:3" x14ac:dyDescent="0.25">
      <c r="A320"/>
      <c r="C320"/>
    </row>
    <row r="321" spans="1:3" x14ac:dyDescent="0.25">
      <c r="A321"/>
      <c r="C321"/>
    </row>
    <row r="322" spans="1:3" x14ac:dyDescent="0.25">
      <c r="A322"/>
      <c r="C322"/>
    </row>
    <row r="323" spans="1:3" x14ac:dyDescent="0.25">
      <c r="A323"/>
      <c r="C323"/>
    </row>
    <row r="324" spans="1:3" x14ac:dyDescent="0.25">
      <c r="A324"/>
      <c r="C324"/>
    </row>
    <row r="325" spans="1:3" x14ac:dyDescent="0.25">
      <c r="A325"/>
      <c r="C325"/>
    </row>
    <row r="326" spans="1:3" x14ac:dyDescent="0.25">
      <c r="A326"/>
      <c r="C326"/>
    </row>
    <row r="327" spans="1:3" x14ac:dyDescent="0.25">
      <c r="A327"/>
      <c r="C327"/>
    </row>
    <row r="328" spans="1:3" x14ac:dyDescent="0.25">
      <c r="A328"/>
      <c r="C328"/>
    </row>
    <row r="329" spans="1:3" x14ac:dyDescent="0.25">
      <c r="A329"/>
      <c r="C329"/>
    </row>
    <row r="330" spans="1:3" x14ac:dyDescent="0.25">
      <c r="A330"/>
      <c r="C330"/>
    </row>
    <row r="331" spans="1:3" x14ac:dyDescent="0.25">
      <c r="A331"/>
      <c r="C331"/>
    </row>
    <row r="332" spans="1:3" x14ac:dyDescent="0.25">
      <c r="A332"/>
      <c r="C332"/>
    </row>
    <row r="333" spans="1:3" x14ac:dyDescent="0.25">
      <c r="A333"/>
      <c r="C333"/>
    </row>
    <row r="334" spans="1:3" x14ac:dyDescent="0.25">
      <c r="A334"/>
      <c r="C334"/>
    </row>
    <row r="335" spans="1:3" x14ac:dyDescent="0.25">
      <c r="A335"/>
      <c r="C335"/>
    </row>
    <row r="336" spans="1:3" x14ac:dyDescent="0.25">
      <c r="A336"/>
      <c r="C336"/>
    </row>
    <row r="337" spans="1:3" x14ac:dyDescent="0.25">
      <c r="A337"/>
      <c r="C337"/>
    </row>
    <row r="338" spans="1:3" x14ac:dyDescent="0.25">
      <c r="A338"/>
      <c r="C338"/>
    </row>
    <row r="339" spans="1:3" x14ac:dyDescent="0.25">
      <c r="A339"/>
      <c r="C339"/>
    </row>
    <row r="340" spans="1:3" x14ac:dyDescent="0.25">
      <c r="A340"/>
      <c r="C340"/>
    </row>
    <row r="341" spans="1:3" x14ac:dyDescent="0.25">
      <c r="A341"/>
      <c r="C341"/>
    </row>
    <row r="342" spans="1:3" x14ac:dyDescent="0.25">
      <c r="A342"/>
      <c r="C342"/>
    </row>
    <row r="343" spans="1:3" x14ac:dyDescent="0.25">
      <c r="A343"/>
      <c r="C343"/>
    </row>
    <row r="344" spans="1:3" x14ac:dyDescent="0.25">
      <c r="A344"/>
      <c r="C344"/>
    </row>
    <row r="345" spans="1:3" x14ac:dyDescent="0.25">
      <c r="A345"/>
      <c r="C345"/>
    </row>
    <row r="346" spans="1:3" x14ac:dyDescent="0.25">
      <c r="A346"/>
      <c r="C346"/>
    </row>
    <row r="347" spans="1:3" x14ac:dyDescent="0.25">
      <c r="A347"/>
      <c r="C347"/>
    </row>
    <row r="348" spans="1:3" x14ac:dyDescent="0.25">
      <c r="A348"/>
      <c r="C348"/>
    </row>
    <row r="349" spans="1:3" x14ac:dyDescent="0.25">
      <c r="A349"/>
      <c r="C349"/>
    </row>
    <row r="350" spans="1:3" x14ac:dyDescent="0.25">
      <c r="A350"/>
    </row>
    <row r="351" spans="1:3" x14ac:dyDescent="0.25">
      <c r="A351"/>
    </row>
    <row r="352" spans="1:3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</sheetData>
  <hyperlinks>
    <hyperlink ref="A132" r:id="rId1"/>
    <hyperlink ref="A133" r:id="rId2"/>
    <hyperlink ref="A134" r:id="rId3"/>
    <hyperlink ref="A135" r:id="rId4"/>
    <hyperlink ref="A137" r:id="rId5"/>
    <hyperlink ref="A138" r:id="rId6"/>
    <hyperlink ref="A81" r:id="rId7"/>
    <hyperlink ref="A80" r:id="rId8"/>
    <hyperlink ref="A129" r:id="rId9"/>
    <hyperlink ref="A123" r:id="rId10"/>
    <hyperlink ref="A136" r:id="rId11"/>
    <hyperlink ref="A4" r:id="rId12"/>
    <hyperlink ref="A139" r:id="rId13"/>
    <hyperlink ref="A140" r:id="rId14"/>
    <hyperlink ref="A141" r:id="rId15"/>
    <hyperlink ref="A130" r:id="rId16"/>
    <hyperlink ref="A66" r:id="rId17"/>
    <hyperlink ref="A95" r:id="rId18"/>
    <hyperlink ref="A142" r:id="rId19"/>
    <hyperlink ref="A41" r:id="rId20"/>
    <hyperlink ref="A143" r:id="rId21"/>
    <hyperlink ref="A144" r:id="rId22"/>
    <hyperlink ref="A145" r:id="rId23"/>
    <hyperlink ref="A146" r:id="rId2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205" zoomScaleNormal="205" workbookViewId="0">
      <selection activeCell="C14" sqref="C14"/>
    </sheetView>
  </sheetViews>
  <sheetFormatPr baseColWidth="10" defaultRowHeight="15" x14ac:dyDescent="0.25"/>
  <cols>
    <col min="1" max="1" width="32.7109375" style="10" bestFit="1" customWidth="1"/>
    <col min="2" max="2" width="12" style="10" customWidth="1"/>
    <col min="3" max="3" width="3.140625" style="10" customWidth="1"/>
    <col min="4" max="4" width="14.5703125" style="10" customWidth="1"/>
    <col min="5" max="5" width="13.140625" style="10" customWidth="1"/>
    <col min="6" max="6" width="2.140625" style="10" customWidth="1"/>
    <col min="7" max="7" width="7.7109375" style="10" bestFit="1" customWidth="1"/>
    <col min="8" max="8" width="8.28515625" style="10" bestFit="1" customWidth="1"/>
    <col min="9" max="9" width="2.140625" style="10" customWidth="1"/>
    <col min="10" max="11" width="7.7109375" style="10" customWidth="1"/>
    <col min="12" max="16384" width="11.42578125" style="10"/>
  </cols>
  <sheetData>
    <row r="1" spans="1:11" ht="20.25" thickBot="1" x14ac:dyDescent="0.3">
      <c r="A1" s="246" t="s">
        <v>1219</v>
      </c>
      <c r="B1" s="246"/>
      <c r="C1" s="246"/>
      <c r="D1" s="246"/>
      <c r="E1" s="246"/>
      <c r="F1" s="62"/>
    </row>
    <row r="2" spans="1:11" ht="16.5" thickTop="1" thickBot="1" x14ac:dyDescent="0.3"/>
    <row r="3" spans="1:11" ht="18.75" thickTop="1" thickBot="1" x14ac:dyDescent="0.3">
      <c r="B3" s="255" t="s">
        <v>1220</v>
      </c>
      <c r="C3" s="256"/>
      <c r="D3" s="11" t="s">
        <v>1221</v>
      </c>
      <c r="E3" s="12"/>
      <c r="F3" s="59"/>
    </row>
    <row r="4" spans="1:11" ht="18.75" thickTop="1" thickBot="1" x14ac:dyDescent="0.3">
      <c r="A4" s="13" t="s">
        <v>1173</v>
      </c>
      <c r="B4" s="134">
        <f>COUNTIFS(LIBRO_SOCIOS!M:M,"ZITRON-ASCAZ HOSPITALARIA")</f>
        <v>80</v>
      </c>
      <c r="C4" s="135"/>
      <c r="D4" s="122">
        <v>34</v>
      </c>
      <c r="E4" s="123">
        <f>B4*D4</f>
        <v>2720</v>
      </c>
      <c r="F4" s="61"/>
      <c r="G4" s="57">
        <f>B4/B10</f>
        <v>0.34782608695652173</v>
      </c>
      <c r="H4" s="247">
        <f>(B4+B5)/B10</f>
        <v>0.40869565217391307</v>
      </c>
      <c r="K4" s="252">
        <f>(B4+B7)/B10</f>
        <v>0.82173913043478264</v>
      </c>
    </row>
    <row r="5" spans="1:11" ht="18.75" thickTop="1" thickBot="1" x14ac:dyDescent="0.25">
      <c r="A5" s="14" t="s">
        <v>1174</v>
      </c>
      <c r="B5" s="131">
        <f>COUNTIFS(LIBRO_SOCIOS!M:M,"ZITRON-ASCAZ AMBULATORIA")</f>
        <v>14</v>
      </c>
      <c r="C5" s="136">
        <f>B4+B5</f>
        <v>94</v>
      </c>
      <c r="D5" s="126">
        <v>22</v>
      </c>
      <c r="E5" s="127">
        <f>B5*D5</f>
        <v>308</v>
      </c>
      <c r="F5" s="61"/>
      <c r="G5" s="58">
        <f>B5/B10</f>
        <v>6.0869565217391307E-2</v>
      </c>
      <c r="H5" s="248"/>
      <c r="J5" s="249">
        <f>(B5+B8)/B10</f>
        <v>0.17826086956521739</v>
      </c>
      <c r="K5" s="253"/>
    </row>
    <row r="6" spans="1:11" ht="18.75" thickTop="1" thickBot="1" x14ac:dyDescent="0.3">
      <c r="A6" s="14"/>
      <c r="B6" s="124"/>
      <c r="C6" s="128"/>
      <c r="D6" s="125"/>
      <c r="E6" s="127"/>
      <c r="F6" s="61"/>
      <c r="G6" s="56"/>
      <c r="H6" s="56"/>
      <c r="J6" s="250"/>
      <c r="K6" s="253"/>
    </row>
    <row r="7" spans="1:11" ht="18.75" thickTop="1" thickBot="1" x14ac:dyDescent="0.3">
      <c r="A7" s="14" t="s">
        <v>804</v>
      </c>
      <c r="B7" s="131">
        <f>COUNTIFS(LIBRO_SOCIOS!M:M,"ASCAZ HOSPITALARIA")</f>
        <v>109</v>
      </c>
      <c r="C7" s="132"/>
      <c r="D7" s="125">
        <f>D4</f>
        <v>34</v>
      </c>
      <c r="E7" s="127">
        <f t="shared" ref="E7:E8" si="0">B7*D7</f>
        <v>3706</v>
      </c>
      <c r="F7" s="61"/>
      <c r="G7" s="57">
        <f>B7/B10</f>
        <v>0.47391304347826085</v>
      </c>
      <c r="H7" s="247">
        <f>(B7+B8)/B10</f>
        <v>0.59130434782608698</v>
      </c>
      <c r="J7" s="250"/>
      <c r="K7" s="254"/>
    </row>
    <row r="8" spans="1:11" ht="18.75" thickTop="1" thickBot="1" x14ac:dyDescent="0.25">
      <c r="A8" s="15" t="s">
        <v>805</v>
      </c>
      <c r="B8" s="133">
        <f>COUNTIFS(LIBRO_SOCIOS!M:M,"ASCAZ AMBULATORIA")</f>
        <v>27</v>
      </c>
      <c r="C8" s="137">
        <f>B7+B8</f>
        <v>136</v>
      </c>
      <c r="D8" s="129">
        <f>D5</f>
        <v>22</v>
      </c>
      <c r="E8" s="130">
        <f t="shared" si="0"/>
        <v>594</v>
      </c>
      <c r="F8" s="61"/>
      <c r="G8" s="58">
        <f>B8/B10</f>
        <v>0.11739130434782609</v>
      </c>
      <c r="H8" s="248"/>
      <c r="J8" s="251"/>
    </row>
    <row r="9" spans="1:11" ht="15.75" thickTop="1" x14ac:dyDescent="0.25">
      <c r="E9" s="16"/>
      <c r="F9" s="16"/>
    </row>
    <row r="10" spans="1:11" ht="15.75" thickBot="1" x14ac:dyDescent="0.3">
      <c r="B10" s="17">
        <f>SUM(B4:B8)</f>
        <v>230</v>
      </c>
      <c r="C10" s="121"/>
      <c r="E10" s="18">
        <f>SUM(E4:E8)</f>
        <v>7328</v>
      </c>
      <c r="F10" s="60"/>
    </row>
    <row r="11" spans="1:11" ht="15.75" thickTop="1" x14ac:dyDescent="0.25"/>
    <row r="12" spans="1:11" ht="15.75" thickBot="1" x14ac:dyDescent="0.3">
      <c r="E12" s="18">
        <f>E10*12</f>
        <v>87936</v>
      </c>
    </row>
    <row r="13" spans="1:11" ht="15.75" thickTop="1" x14ac:dyDescent="0.25"/>
  </sheetData>
  <mergeCells count="6">
    <mergeCell ref="A1:E1"/>
    <mergeCell ref="H4:H5"/>
    <mergeCell ref="H7:H8"/>
    <mergeCell ref="J5:J8"/>
    <mergeCell ref="K4:K7"/>
    <mergeCell ref="B3:C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4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zoomScale="171" zoomScaleNormal="171" workbookViewId="0">
      <selection activeCell="I10" sqref="I10"/>
    </sheetView>
  </sheetViews>
  <sheetFormatPr baseColWidth="10" defaultRowHeight="15" x14ac:dyDescent="0.25"/>
  <cols>
    <col min="1" max="1" width="3.5703125" style="19" customWidth="1"/>
    <col min="2" max="5" width="11.42578125" style="19"/>
    <col min="6" max="6" width="4" style="19" customWidth="1"/>
    <col min="7" max="10" width="11.42578125" style="19"/>
    <col min="11" max="11" width="4.140625" style="19" customWidth="1"/>
    <col min="12" max="15" width="11.42578125" style="19"/>
    <col min="16" max="16" width="4.5703125" style="19" customWidth="1"/>
    <col min="17" max="16384" width="11.42578125" style="19"/>
  </cols>
  <sheetData>
    <row r="1" spans="1:16" ht="15" customHeight="1" x14ac:dyDescent="0.25">
      <c r="A1" s="257" t="s">
        <v>1237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9"/>
    </row>
    <row r="2" spans="1:16" ht="15.75" customHeight="1" x14ac:dyDescent="0.25">
      <c r="A2" s="260"/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2"/>
    </row>
    <row r="3" spans="1:16" ht="15.75" thickBot="1" x14ac:dyDescent="0.3">
      <c r="A3" s="263"/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5"/>
    </row>
    <row r="4" spans="1:16" ht="8.25" customHeight="1" x14ac:dyDescent="0.25"/>
    <row r="5" spans="1:16" ht="8.25" customHeight="1" thickBot="1" x14ac:dyDescent="0.3"/>
    <row r="6" spans="1:16" x14ac:dyDescent="0.25">
      <c r="A6" s="20"/>
      <c r="B6" s="258" t="s">
        <v>1230</v>
      </c>
      <c r="C6" s="258"/>
      <c r="D6" s="266">
        <f ca="1">C18/M18</f>
        <v>0.17903930131004367</v>
      </c>
      <c r="E6" s="266"/>
      <c r="F6" s="21"/>
      <c r="G6" s="258" t="s">
        <v>1231</v>
      </c>
      <c r="H6" s="258"/>
      <c r="I6" s="266">
        <f ca="1">H18/M18</f>
        <v>0.82096069868995636</v>
      </c>
      <c r="J6" s="266"/>
      <c r="K6" s="21"/>
      <c r="L6" s="258" t="s">
        <v>1232</v>
      </c>
      <c r="M6" s="258"/>
      <c r="N6" s="268">
        <f ca="1">I6+D6</f>
        <v>1</v>
      </c>
      <c r="O6" s="268"/>
      <c r="P6" s="22"/>
    </row>
    <row r="7" spans="1:16" x14ac:dyDescent="0.25">
      <c r="A7" s="23"/>
      <c r="B7" s="261"/>
      <c r="C7" s="261"/>
      <c r="D7" s="267"/>
      <c r="E7" s="267"/>
      <c r="F7" s="24"/>
      <c r="G7" s="261"/>
      <c r="H7" s="261"/>
      <c r="I7" s="267"/>
      <c r="J7" s="267"/>
      <c r="K7" s="24"/>
      <c r="L7" s="261"/>
      <c r="M7" s="261"/>
      <c r="N7" s="269"/>
      <c r="O7" s="269"/>
      <c r="P7" s="25"/>
    </row>
    <row r="8" spans="1:16" ht="21" x14ac:dyDescent="0.25">
      <c r="A8" s="23"/>
      <c r="B8" s="63"/>
      <c r="C8" s="63"/>
      <c r="D8" s="64"/>
      <c r="E8" s="64"/>
      <c r="F8" s="24"/>
      <c r="G8" s="63"/>
      <c r="H8" s="63"/>
      <c r="I8" s="64"/>
      <c r="J8" s="64"/>
      <c r="K8" s="24"/>
      <c r="L8" s="63"/>
      <c r="M8" s="63"/>
      <c r="N8" s="65"/>
      <c r="O8" s="65"/>
      <c r="P8" s="25"/>
    </row>
    <row r="9" spans="1:16" x14ac:dyDescent="0.25">
      <c r="A9" s="26"/>
      <c r="B9" s="27" t="s">
        <v>1238</v>
      </c>
      <c r="C9" s="27">
        <f ca="1">COUNTIFS(LIBRO_SOCIOS!X:X,"&gt;65",LIBRO_SOCIOS!L:L,"ambulatoria")</f>
        <v>3</v>
      </c>
      <c r="D9" s="28">
        <f t="shared" ref="D9:D14" ca="1" si="0">(C9/$C$18)</f>
        <v>7.3170731707317069E-2</v>
      </c>
      <c r="E9" s="28">
        <f t="shared" ref="E9:E12" ca="1" si="1">E10+D9</f>
        <v>0.99999999999999989</v>
      </c>
      <c r="F9" s="24"/>
      <c r="G9" s="27" t="s">
        <v>1238</v>
      </c>
      <c r="H9" s="27">
        <f ca="1">COUNTIFS(LIBRO_SOCIOS!X:X,"&gt;65",LIBRO_SOCIOS!L:L,"HOSPITALARIA")</f>
        <v>9</v>
      </c>
      <c r="I9" s="28">
        <f t="shared" ref="I9:I14" ca="1" si="2">(H9/$H$18)</f>
        <v>4.7872340425531915E-2</v>
      </c>
      <c r="J9" s="28">
        <f ca="1">J10+I9</f>
        <v>0.99999999999999989</v>
      </c>
      <c r="K9" s="24"/>
      <c r="L9" s="27" t="s">
        <v>1238</v>
      </c>
      <c r="M9" s="27">
        <f ca="1">C9+H9</f>
        <v>12</v>
      </c>
      <c r="N9" s="28">
        <f t="shared" ref="N9:N14" ca="1" si="3">(M9/$M$18)</f>
        <v>5.2401746724890827E-2</v>
      </c>
      <c r="O9" s="28">
        <f ca="1">O10+N9</f>
        <v>1</v>
      </c>
      <c r="P9" s="25"/>
    </row>
    <row r="10" spans="1:16" x14ac:dyDescent="0.25">
      <c r="A10" s="26"/>
      <c r="B10" s="27" t="s">
        <v>1239</v>
      </c>
      <c r="C10" s="27">
        <f ca="1">COUNTIFS(LIBRO_SOCIOS!X:X,"&gt;50",LIBRO_SOCIOS!X:X,"&lt;66",LIBRO_SOCIOS!L:L,"ambulatoria")</f>
        <v>10</v>
      </c>
      <c r="D10" s="28">
        <f t="shared" ca="1" si="0"/>
        <v>0.24390243902439024</v>
      </c>
      <c r="E10" s="28">
        <f t="shared" ca="1" si="1"/>
        <v>0.92682926829268286</v>
      </c>
      <c r="F10" s="24"/>
      <c r="G10" s="27" t="s">
        <v>1239</v>
      </c>
      <c r="H10" s="27">
        <f ca="1">COUNTIFS(LIBRO_SOCIOS!X:X,"&gt;50",LIBRO_SOCIOS!X:X,"&lt;66",LIBRO_SOCIOS!L:L,"HOSPITALARIA")</f>
        <v>37</v>
      </c>
      <c r="I10" s="28">
        <f t="shared" ca="1" si="2"/>
        <v>0.19680851063829788</v>
      </c>
      <c r="J10" s="28">
        <f t="shared" ref="J10:J12" ca="1" si="4">J11+I10</f>
        <v>0.95212765957446799</v>
      </c>
      <c r="K10" s="24"/>
      <c r="L10" s="27" t="s">
        <v>1239</v>
      </c>
      <c r="M10" s="27">
        <f ca="1">C10+H10</f>
        <v>47</v>
      </c>
      <c r="N10" s="28">
        <f t="shared" ca="1" si="3"/>
        <v>0.20524017467248909</v>
      </c>
      <c r="O10" s="28">
        <f t="shared" ref="O10:O12" ca="1" si="5">O11+N10</f>
        <v>0.94759825327510927</v>
      </c>
      <c r="P10" s="25"/>
    </row>
    <row r="11" spans="1:16" x14ac:dyDescent="0.25">
      <c r="A11" s="26"/>
      <c r="B11" s="27" t="s">
        <v>1223</v>
      </c>
      <c r="C11" s="27">
        <f ca="1">COUNTIFS(LIBRO_SOCIOS!X:X,"&gt;40",LIBRO_SOCIOS!X:X,"&lt;51",LIBRO_SOCIOS!L:L,"ambulatoria")</f>
        <v>4</v>
      </c>
      <c r="D11" s="28">
        <f t="shared" ca="1" si="0"/>
        <v>9.7560975609756101E-2</v>
      </c>
      <c r="E11" s="28">
        <f t="shared" ca="1" si="1"/>
        <v>0.68292682926829262</v>
      </c>
      <c r="F11" s="24"/>
      <c r="G11" s="27" t="s">
        <v>1223</v>
      </c>
      <c r="H11" s="27">
        <f ca="1">COUNTIFS(LIBRO_SOCIOS!X:X,"&gt;40",LIBRO_SOCIOS!X:X,"&lt;51",LIBRO_SOCIOS!L:L,"HOSPITALARIA")</f>
        <v>58</v>
      </c>
      <c r="I11" s="28">
        <f t="shared" ca="1" si="2"/>
        <v>0.30851063829787234</v>
      </c>
      <c r="J11" s="28">
        <f t="shared" ca="1" si="4"/>
        <v>0.75531914893617014</v>
      </c>
      <c r="K11" s="24"/>
      <c r="L11" s="27" t="s">
        <v>1223</v>
      </c>
      <c r="M11" s="27">
        <f ca="1">C11+H11</f>
        <v>62</v>
      </c>
      <c r="N11" s="28">
        <f t="shared" ca="1" si="3"/>
        <v>0.27074235807860264</v>
      </c>
      <c r="O11" s="28">
        <f t="shared" ca="1" si="5"/>
        <v>0.74235807860262015</v>
      </c>
      <c r="P11" s="25"/>
    </row>
    <row r="12" spans="1:16" x14ac:dyDescent="0.25">
      <c r="A12" s="26"/>
      <c r="B12" s="27" t="s">
        <v>1224</v>
      </c>
      <c r="C12" s="27">
        <f ca="1">COUNTIFS(LIBRO_SOCIOS!X:X,"&gt;30",LIBRO_SOCIOS!X:X,"&lt;41",LIBRO_SOCIOS!L:L,"ambulatoria")</f>
        <v>6</v>
      </c>
      <c r="D12" s="28">
        <f t="shared" ca="1" si="0"/>
        <v>0.14634146341463414</v>
      </c>
      <c r="E12" s="28">
        <f t="shared" ca="1" si="1"/>
        <v>0.58536585365853655</v>
      </c>
      <c r="F12" s="24"/>
      <c r="G12" s="27" t="s">
        <v>1224</v>
      </c>
      <c r="H12" s="27">
        <f ca="1">COUNTIFS(LIBRO_SOCIOS!X:X,"&gt;30",LIBRO_SOCIOS!X:X,"&lt;41",LIBRO_SOCIOS!L:L,"HOSPITALARIA")</f>
        <v>62</v>
      </c>
      <c r="I12" s="28">
        <f t="shared" ca="1" si="2"/>
        <v>0.32978723404255317</v>
      </c>
      <c r="J12" s="28">
        <f t="shared" ca="1" si="4"/>
        <v>0.44680851063829785</v>
      </c>
      <c r="K12" s="24"/>
      <c r="L12" s="27" t="s">
        <v>1224</v>
      </c>
      <c r="M12" s="27">
        <f ca="1">C12+H12</f>
        <v>68</v>
      </c>
      <c r="N12" s="28">
        <f t="shared" ca="1" si="3"/>
        <v>0.29694323144104806</v>
      </c>
      <c r="O12" s="28">
        <f t="shared" ca="1" si="5"/>
        <v>0.47161572052401751</v>
      </c>
      <c r="P12" s="25"/>
    </row>
    <row r="13" spans="1:16" x14ac:dyDescent="0.25">
      <c r="A13" s="26"/>
      <c r="B13" s="27" t="s">
        <v>1225</v>
      </c>
      <c r="C13" s="27">
        <f ca="1">COUNTIFS(LIBRO_SOCIOS!X:X,"&gt;20",LIBRO_SOCIOS!X:X,"&lt;31",LIBRO_SOCIOS!L:L,"ambulatoria")</f>
        <v>3</v>
      </c>
      <c r="D13" s="28">
        <f t="shared" ca="1" si="0"/>
        <v>7.3170731707317069E-2</v>
      </c>
      <c r="E13" s="28">
        <f ca="1">E14+D13</f>
        <v>0.43902439024390244</v>
      </c>
      <c r="F13" s="24"/>
      <c r="G13" s="27" t="s">
        <v>1225</v>
      </c>
      <c r="H13" s="27">
        <f ca="1">COUNTIFS(LIBRO_SOCIOS!X:X,"&gt;20",LIBRO_SOCIOS!X:X,"&lt;31",LIBRO_SOCIOS!L:L,"HOSPITALARIA")</f>
        <v>9</v>
      </c>
      <c r="I13" s="28">
        <f t="shared" ca="1" si="2"/>
        <v>4.7872340425531915E-2</v>
      </c>
      <c r="J13" s="28">
        <f ca="1">J14+I13</f>
        <v>0.11702127659574468</v>
      </c>
      <c r="K13" s="24"/>
      <c r="L13" s="27" t="s">
        <v>1225</v>
      </c>
      <c r="M13" s="27">
        <f ca="1">C13+H13</f>
        <v>12</v>
      </c>
      <c r="N13" s="28">
        <f t="shared" ca="1" si="3"/>
        <v>5.2401746724890827E-2</v>
      </c>
      <c r="O13" s="28">
        <f ca="1">O14+N13</f>
        <v>0.17467248908296945</v>
      </c>
      <c r="P13" s="25"/>
    </row>
    <row r="14" spans="1:16" x14ac:dyDescent="0.25">
      <c r="A14" s="26"/>
      <c r="B14" s="29" t="s">
        <v>1226</v>
      </c>
      <c r="C14" s="27">
        <f ca="1">COUNTIFS(LIBRO_SOCIOS!X:X,"&gt;10",LIBRO_SOCIOS!X:X,"&lt;21",LIBRO_SOCIOS!L:L,"ambulatoria")</f>
        <v>3</v>
      </c>
      <c r="D14" s="28">
        <f t="shared" ca="1" si="0"/>
        <v>7.3170731707317069E-2</v>
      </c>
      <c r="E14" s="28">
        <f ca="1">D15+D14</f>
        <v>0.36585365853658536</v>
      </c>
      <c r="F14" s="24"/>
      <c r="G14" s="29" t="s">
        <v>1226</v>
      </c>
      <c r="H14" s="27">
        <f ca="1">COUNTIFS(LIBRO_SOCIOS!X:X,"&gt;10",LIBRO_SOCIOS!X:X,"&lt;21",LIBRO_SOCIOS!L:L,"HOSPITALARIA")</f>
        <v>4</v>
      </c>
      <c r="I14" s="28">
        <f t="shared" ca="1" si="2"/>
        <v>2.1276595744680851E-2</v>
      </c>
      <c r="J14" s="28">
        <f ca="1">I15+I14</f>
        <v>6.9148936170212769E-2</v>
      </c>
      <c r="K14" s="24"/>
      <c r="L14" s="29" t="s">
        <v>1226</v>
      </c>
      <c r="M14" s="27">
        <f t="shared" ref="M14" ca="1" si="6">C14+H14</f>
        <v>7</v>
      </c>
      <c r="N14" s="28">
        <f t="shared" ca="1" si="3"/>
        <v>3.0567685589519649E-2</v>
      </c>
      <c r="O14" s="28">
        <f ca="1">N15+N14</f>
        <v>0.12227074235807861</v>
      </c>
      <c r="P14" s="25"/>
    </row>
    <row r="15" spans="1:16" x14ac:dyDescent="0.25">
      <c r="A15" s="26"/>
      <c r="B15" s="30" t="s">
        <v>1227</v>
      </c>
      <c r="C15" s="27">
        <f ca="1">COUNTIFS(LIBRO_SOCIOS!X:X,"&gt;0",LIBRO_SOCIOS!X:X,"&lt;11",LIBRO_SOCIOS!L:L,"ambulatoria")</f>
        <v>12</v>
      </c>
      <c r="D15" s="28">
        <f ca="1">(C15/$C$18)</f>
        <v>0.29268292682926828</v>
      </c>
      <c r="F15" s="24"/>
      <c r="G15" s="30" t="s">
        <v>1227</v>
      </c>
      <c r="H15" s="27">
        <f ca="1">COUNTIFS(LIBRO_SOCIOS!X:X,"&gt;0",LIBRO_SOCIOS!X:X,"&lt;11",LIBRO_SOCIOS!L:L,"HOSPITALARIA")</f>
        <v>9</v>
      </c>
      <c r="I15" s="28">
        <f ca="1">(H15/$H$18)</f>
        <v>4.7872340425531915E-2</v>
      </c>
      <c r="K15" s="24"/>
      <c r="L15" s="30" t="s">
        <v>1227</v>
      </c>
      <c r="M15" s="27">
        <f ca="1">C15+H15</f>
        <v>21</v>
      </c>
      <c r="N15" s="28">
        <f ca="1">(M15/$M$18)</f>
        <v>9.1703056768558958E-2</v>
      </c>
      <c r="P15" s="25"/>
    </row>
    <row r="16" spans="1:16" x14ac:dyDescent="0.25">
      <c r="A16" s="26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5"/>
    </row>
    <row r="17" spans="1:16" x14ac:dyDescent="0.25">
      <c r="A17" s="26"/>
      <c r="B17" s="27"/>
      <c r="C17" s="27"/>
      <c r="D17" s="28"/>
      <c r="E17" s="28"/>
      <c r="F17" s="24"/>
      <c r="G17" s="27"/>
      <c r="H17" s="27"/>
      <c r="I17" s="32"/>
      <c r="J17" s="28"/>
      <c r="K17" s="24"/>
      <c r="L17" s="27"/>
      <c r="M17" s="27"/>
      <c r="N17" s="28"/>
      <c r="O17" s="28"/>
      <c r="P17" s="25"/>
    </row>
    <row r="18" spans="1:16" ht="15.75" x14ac:dyDescent="0.25">
      <c r="A18" s="26"/>
      <c r="B18" s="99" t="s">
        <v>1232</v>
      </c>
      <c r="C18" s="100">
        <f ca="1">SUM(C9:C15)</f>
        <v>41</v>
      </c>
      <c r="D18" s="101" t="s">
        <v>1240</v>
      </c>
      <c r="E18" s="102">
        <f ca="1">((5*C15)+(15*C14)+(25*C13)+(35*C12)+(45*C11)+(60*C10)+(70*C9))/C18</f>
        <v>33.658536585365852</v>
      </c>
      <c r="F18" s="24"/>
      <c r="G18" s="99" t="s">
        <v>1232</v>
      </c>
      <c r="H18" s="100">
        <f ca="1">SUM(H9:H15)</f>
        <v>188</v>
      </c>
      <c r="I18" s="101" t="s">
        <v>1240</v>
      </c>
      <c r="J18" s="102">
        <f ca="1">((5*H15)+(15*H14)+(25*H13)+(35*H12)+(45*H11)+(60*H10)+(70*H9))/H18</f>
        <v>42.340425531914896</v>
      </c>
      <c r="K18" s="24"/>
      <c r="L18" s="99" t="s">
        <v>1232</v>
      </c>
      <c r="M18" s="100">
        <f ca="1">SUM(M9:M15)</f>
        <v>229</v>
      </c>
      <c r="N18" s="101" t="s">
        <v>1240</v>
      </c>
      <c r="O18" s="102">
        <f ca="1">((5*M15)+(15*M14)+(25*M13)+(35*M12)+(45*M11)+(60*M10)+(70*M9))/M18</f>
        <v>40.786026200873366</v>
      </c>
      <c r="P18" s="25"/>
    </row>
    <row r="19" spans="1:16" x14ac:dyDescent="0.25">
      <c r="A19" s="26"/>
      <c r="B19" s="27"/>
      <c r="C19" s="33"/>
      <c r="D19" s="32"/>
      <c r="E19" s="32"/>
      <c r="F19" s="24"/>
      <c r="G19" s="27"/>
      <c r="H19" s="27"/>
      <c r="I19" s="32"/>
      <c r="J19" s="32"/>
      <c r="K19" s="24"/>
      <c r="L19" s="27"/>
      <c r="M19" s="33"/>
      <c r="N19" s="32"/>
      <c r="O19" s="32"/>
      <c r="P19" s="25"/>
    </row>
    <row r="20" spans="1:16" ht="15.75" thickBot="1" x14ac:dyDescent="0.3">
      <c r="A20" s="35"/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8"/>
    </row>
  </sheetData>
  <sheetProtection sheet="1" objects="1" scenarios="1"/>
  <mergeCells count="7">
    <mergeCell ref="A1:P3"/>
    <mergeCell ref="B6:C7"/>
    <mergeCell ref="D6:E7"/>
    <mergeCell ref="G6:H7"/>
    <mergeCell ref="I6:J7"/>
    <mergeCell ref="L6:M7"/>
    <mergeCell ref="N6:O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1"/>
  <sheetViews>
    <sheetView zoomScale="52" zoomScaleNormal="52" workbookViewId="0">
      <selection activeCell="BD32" sqref="BD32"/>
    </sheetView>
  </sheetViews>
  <sheetFormatPr baseColWidth="10" defaultRowHeight="15" x14ac:dyDescent="0.25"/>
  <cols>
    <col min="1" max="1" width="4.85546875" style="19" customWidth="1"/>
    <col min="2" max="3" width="12.85546875" style="19" customWidth="1"/>
    <col min="4" max="4" width="11.85546875" style="19" bestFit="1" customWidth="1"/>
    <col min="5" max="5" width="8.7109375" style="19" customWidth="1"/>
    <col min="6" max="6" width="4.85546875" style="19" customWidth="1"/>
    <col min="7" max="8" width="12.85546875" style="19" customWidth="1"/>
    <col min="9" max="10" width="8.7109375" style="19" customWidth="1"/>
    <col min="11" max="11" width="4.85546875" style="19" customWidth="1"/>
    <col min="12" max="12" width="12.5703125" style="19" customWidth="1"/>
    <col min="13" max="15" width="8.7109375" style="19" customWidth="1"/>
    <col min="16" max="16" width="4.85546875" style="19" customWidth="1"/>
    <col min="17" max="18" width="2.5703125" style="19" customWidth="1"/>
    <col min="19" max="19" width="4.7109375" style="19" customWidth="1"/>
    <col min="20" max="21" width="12.85546875" style="19" customWidth="1"/>
    <col min="22" max="23" width="8.7109375" style="19" customWidth="1"/>
    <col min="24" max="24" width="4.7109375" style="19" customWidth="1"/>
    <col min="25" max="26" width="12.85546875" style="19" customWidth="1"/>
    <col min="27" max="28" width="8.7109375" style="19" customWidth="1"/>
    <col min="29" max="29" width="4.7109375" style="19" customWidth="1"/>
    <col min="30" max="33" width="8.7109375" style="19" customWidth="1"/>
    <col min="34" max="34" width="4.7109375" style="19" customWidth="1"/>
    <col min="35" max="36" width="2.5703125" style="19" customWidth="1"/>
    <col min="37" max="37" width="4.7109375" style="19" customWidth="1"/>
    <col min="38" max="39" width="12.85546875" style="19" customWidth="1"/>
    <col min="40" max="41" width="8.7109375" style="19" customWidth="1"/>
    <col min="42" max="42" width="4.7109375" style="19" customWidth="1"/>
    <col min="43" max="44" width="12.85546875" style="19" customWidth="1"/>
    <col min="45" max="46" width="8.7109375" style="19" customWidth="1"/>
    <col min="47" max="47" width="4.7109375" style="19" customWidth="1"/>
    <col min="48" max="51" width="8.7109375" style="19" customWidth="1"/>
    <col min="52" max="53" width="4.7109375" style="19" customWidth="1"/>
    <col min="54" max="16384" width="11.42578125" style="19"/>
  </cols>
  <sheetData>
    <row r="1" spans="1:52" ht="18.75" x14ac:dyDescent="0.3">
      <c r="A1" s="284" t="s">
        <v>580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S1" s="285" t="s">
        <v>1229</v>
      </c>
      <c r="T1" s="285"/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K1" s="286" t="s">
        <v>1232</v>
      </c>
      <c r="AL1" s="286"/>
      <c r="AM1" s="286"/>
      <c r="AN1" s="286"/>
      <c r="AO1" s="286"/>
      <c r="AP1" s="286"/>
      <c r="AQ1" s="286"/>
      <c r="AR1" s="286"/>
      <c r="AS1" s="286"/>
      <c r="AT1" s="286"/>
      <c r="AU1" s="286"/>
      <c r="AV1" s="286"/>
      <c r="AW1" s="286"/>
      <c r="AX1" s="286"/>
      <c r="AY1" s="286"/>
      <c r="AZ1" s="286"/>
    </row>
    <row r="2" spans="1:52" ht="15.75" thickBot="1" x14ac:dyDescent="0.3"/>
    <row r="3" spans="1:52" ht="15" customHeight="1" x14ac:dyDescent="0.25">
      <c r="A3" s="20"/>
      <c r="B3" s="258" t="s">
        <v>1230</v>
      </c>
      <c r="C3" s="258"/>
      <c r="D3" s="266">
        <f ca="1">C25/M25</f>
        <v>0.15053763440860216</v>
      </c>
      <c r="E3" s="266"/>
      <c r="F3" s="21"/>
      <c r="G3" s="258" t="s">
        <v>1231</v>
      </c>
      <c r="H3" s="258"/>
      <c r="I3" s="266">
        <f ca="1">H25/M25</f>
        <v>0.84946236559139787</v>
      </c>
      <c r="J3" s="266"/>
      <c r="K3" s="21"/>
      <c r="L3" s="258" t="s">
        <v>1232</v>
      </c>
      <c r="M3" s="258"/>
      <c r="N3" s="268">
        <f ca="1">I3+D3</f>
        <v>1</v>
      </c>
      <c r="O3" s="268"/>
      <c r="P3" s="22"/>
      <c r="S3" s="20"/>
      <c r="T3" s="258" t="s">
        <v>1230</v>
      </c>
      <c r="U3" s="258"/>
      <c r="V3" s="266">
        <f ca="1">U25/AE25</f>
        <v>0.19852941176470587</v>
      </c>
      <c r="W3" s="266"/>
      <c r="X3" s="21"/>
      <c r="Y3" s="258" t="s">
        <v>1231</v>
      </c>
      <c r="Z3" s="258"/>
      <c r="AA3" s="266">
        <f ca="1">Z25/AE25</f>
        <v>0.80147058823529416</v>
      </c>
      <c r="AB3" s="266"/>
      <c r="AC3" s="21"/>
      <c r="AD3" s="258" t="s">
        <v>1232</v>
      </c>
      <c r="AE3" s="258"/>
      <c r="AF3" s="268">
        <f ca="1">AA3+V3</f>
        <v>1</v>
      </c>
      <c r="AG3" s="268"/>
      <c r="AH3" s="22"/>
      <c r="AK3" s="20"/>
      <c r="AL3" s="258" t="s">
        <v>1230</v>
      </c>
      <c r="AM3" s="258"/>
      <c r="AN3" s="266">
        <f ca="1">AM25/AW25</f>
        <v>0.17903930131004367</v>
      </c>
      <c r="AO3" s="266"/>
      <c r="AP3" s="21"/>
      <c r="AQ3" s="258" t="s">
        <v>1231</v>
      </c>
      <c r="AR3" s="258"/>
      <c r="AS3" s="266">
        <f ca="1">AR25/AW25</f>
        <v>0.82096069868995636</v>
      </c>
      <c r="AT3" s="266"/>
      <c r="AU3" s="21"/>
      <c r="AV3" s="258" t="s">
        <v>1232</v>
      </c>
      <c r="AW3" s="258"/>
      <c r="AX3" s="268">
        <f ca="1">AS3+AN3</f>
        <v>1</v>
      </c>
      <c r="AY3" s="268"/>
      <c r="AZ3" s="22"/>
    </row>
    <row r="4" spans="1:52" ht="15" customHeight="1" x14ac:dyDescent="0.25">
      <c r="A4" s="23"/>
      <c r="B4" s="261"/>
      <c r="C4" s="261"/>
      <c r="D4" s="267"/>
      <c r="E4" s="267"/>
      <c r="F4" s="24"/>
      <c r="G4" s="261"/>
      <c r="H4" s="261"/>
      <c r="I4" s="267"/>
      <c r="J4" s="267"/>
      <c r="K4" s="24"/>
      <c r="L4" s="261"/>
      <c r="M4" s="261"/>
      <c r="N4" s="269"/>
      <c r="O4" s="269"/>
      <c r="P4" s="25"/>
      <c r="S4" s="23"/>
      <c r="T4" s="261"/>
      <c r="U4" s="261"/>
      <c r="V4" s="267"/>
      <c r="W4" s="267"/>
      <c r="X4" s="24"/>
      <c r="Y4" s="261"/>
      <c r="Z4" s="261"/>
      <c r="AA4" s="267"/>
      <c r="AB4" s="267"/>
      <c r="AC4" s="24"/>
      <c r="AD4" s="261"/>
      <c r="AE4" s="261"/>
      <c r="AF4" s="269"/>
      <c r="AG4" s="269"/>
      <c r="AH4" s="25"/>
      <c r="AK4" s="23"/>
      <c r="AL4" s="261"/>
      <c r="AM4" s="261"/>
      <c r="AN4" s="267"/>
      <c r="AO4" s="267"/>
      <c r="AP4" s="24"/>
      <c r="AQ4" s="261"/>
      <c r="AR4" s="261"/>
      <c r="AS4" s="267"/>
      <c r="AT4" s="267"/>
      <c r="AU4" s="24"/>
      <c r="AV4" s="261"/>
      <c r="AW4" s="261"/>
      <c r="AX4" s="269"/>
      <c r="AY4" s="269"/>
      <c r="AZ4" s="25"/>
    </row>
    <row r="5" spans="1:52" ht="15.75" customHeight="1" x14ac:dyDescent="0.25">
      <c r="A5" s="26"/>
      <c r="B5" s="27" t="s">
        <v>1342</v>
      </c>
      <c r="C5" s="27">
        <f ca="1">COUNTIFS(LIBRO_SOCIOS!$X:$X,"&gt;85",LIBRO_SOCIOS!$M:$M,"ZITRON-ASCAZ ambulatoria")</f>
        <v>0</v>
      </c>
      <c r="D5" s="28">
        <f t="shared" ref="D5:D21" ca="1" si="0">(C5/$C$25)</f>
        <v>0</v>
      </c>
      <c r="E5" s="28">
        <f t="shared" ref="E5:E19" ca="1" si="1">E6+D5</f>
        <v>0.99999999999999978</v>
      </c>
      <c r="F5" s="24"/>
      <c r="G5" s="27" t="s">
        <v>1342</v>
      </c>
      <c r="H5" s="27">
        <f ca="1">COUNTIFS(LIBRO_SOCIOS!$X:$X,"&gt;85",LIBRO_SOCIOS!$M:$M,"ZITRON-ASCAZ HOSPITALARIA")</f>
        <v>0</v>
      </c>
      <c r="I5" s="28">
        <f t="shared" ref="I5:I20" ca="1" si="2">(H5/$H$25)</f>
        <v>0</v>
      </c>
      <c r="J5" s="28">
        <f t="shared" ref="J5:J19" ca="1" si="3">J6+I5</f>
        <v>0.99999999999999989</v>
      </c>
      <c r="K5" s="24"/>
      <c r="L5" s="27" t="s">
        <v>1342</v>
      </c>
      <c r="M5" s="27">
        <f t="shared" ref="M5:M21" ca="1" si="4">C5+H5</f>
        <v>0</v>
      </c>
      <c r="N5" s="28">
        <f t="shared" ref="N5:N20" ca="1" si="5">(M5/$M$25)</f>
        <v>0</v>
      </c>
      <c r="O5" s="28">
        <f t="shared" ref="O5:O19" ca="1" si="6">O6+N5</f>
        <v>1</v>
      </c>
      <c r="P5" s="25"/>
      <c r="S5" s="26"/>
      <c r="T5" s="27" t="s">
        <v>1342</v>
      </c>
      <c r="U5" s="27">
        <f ca="1">COUNTIFS(LIBRO_SOCIOS!$X:$X,"&gt;85",LIBRO_SOCIOS!$M:$M,"ASCAZ ambulatoria")</f>
        <v>0</v>
      </c>
      <c r="V5" s="28">
        <f t="shared" ref="V5:V21" ca="1" si="7">(U5/$U$25)</f>
        <v>0</v>
      </c>
      <c r="W5" s="28">
        <f t="shared" ref="W5:W19" ca="1" si="8">W6+V5</f>
        <v>1</v>
      </c>
      <c r="X5" s="24"/>
      <c r="Y5" s="27" t="s">
        <v>1342</v>
      </c>
      <c r="Z5" s="27">
        <f ca="1">COUNTIFS(LIBRO_SOCIOS!$X:$X,"&gt;85",LIBRO_SOCIOS!$M:$M,"ASCAZ HOSPITALARIA")</f>
        <v>0</v>
      </c>
      <c r="AA5" s="28">
        <f t="shared" ref="AA5:AA21" ca="1" si="9">(Z5/$Z$25)</f>
        <v>0</v>
      </c>
      <c r="AB5" s="28">
        <f t="shared" ref="AB5:AB19" ca="1" si="10">AB6+AA5</f>
        <v>1</v>
      </c>
      <c r="AC5" s="24"/>
      <c r="AD5" s="27" t="s">
        <v>1342</v>
      </c>
      <c r="AE5" s="27">
        <f t="shared" ref="AE5:AE22" ca="1" si="11">U5+Z5</f>
        <v>0</v>
      </c>
      <c r="AF5" s="28">
        <f t="shared" ref="AF5:AF21" ca="1" si="12">(AE5/$AE$25)</f>
        <v>0</v>
      </c>
      <c r="AG5" s="28">
        <f t="shared" ref="AG5:AG19" ca="1" si="13">AG6+AF5</f>
        <v>1.0000000000000002</v>
      </c>
      <c r="AH5" s="25"/>
      <c r="AK5" s="26"/>
      <c r="AL5" s="27" t="s">
        <v>1342</v>
      </c>
      <c r="AM5" s="27">
        <f t="shared" ref="AM5:AM21" ca="1" si="14">C5+U5</f>
        <v>0</v>
      </c>
      <c r="AN5" s="28">
        <f t="shared" ref="AN5:AN20" ca="1" si="15">(AM5/$AM$25)</f>
        <v>0</v>
      </c>
      <c r="AO5" s="28">
        <f t="shared" ref="AO5:AO19" ca="1" si="16">AO6+AN5</f>
        <v>1</v>
      </c>
      <c r="AP5" s="24"/>
      <c r="AQ5" s="27" t="s">
        <v>1342</v>
      </c>
      <c r="AR5" s="27">
        <f t="shared" ref="AR5:AR21" ca="1" si="17">Z5+H5</f>
        <v>0</v>
      </c>
      <c r="AS5" s="28">
        <f t="shared" ref="AS5:AS21" ca="1" si="18">(AR5/$AR$25)</f>
        <v>0</v>
      </c>
      <c r="AT5" s="28">
        <f t="shared" ref="AT5:AT19" ca="1" si="19">AT6+AS5</f>
        <v>1</v>
      </c>
      <c r="AU5" s="24"/>
      <c r="AV5" s="27" t="s">
        <v>1342</v>
      </c>
      <c r="AW5" s="27">
        <f t="shared" ref="AW5:AW21" ca="1" si="20">AM5+AR5</f>
        <v>0</v>
      </c>
      <c r="AX5" s="28">
        <f t="shared" ref="AX5:AX21" ca="1" si="21">(AW5/$AW$25)</f>
        <v>0</v>
      </c>
      <c r="AY5" s="28">
        <f t="shared" ref="AY5:AY19" ca="1" si="22">AY6+AX5</f>
        <v>1.0000000000000002</v>
      </c>
      <c r="AZ5" s="25"/>
    </row>
    <row r="6" spans="1:52" ht="15.75" customHeight="1" x14ac:dyDescent="0.25">
      <c r="A6" s="26"/>
      <c r="B6" s="27" t="s">
        <v>1341</v>
      </c>
      <c r="C6" s="27">
        <f ca="1">COUNTIFS(LIBRO_SOCIOS!$X:$X,"&gt;80",LIBRO_SOCIOS!$X:$X,"&lt;86",LIBRO_SOCIOS!$M:$M,"ZITRON-ASCAZ ambulatoria")</f>
        <v>0</v>
      </c>
      <c r="D6" s="28">
        <f t="shared" ca="1" si="0"/>
        <v>0</v>
      </c>
      <c r="E6" s="28">
        <f t="shared" ca="1" si="1"/>
        <v>0.99999999999999978</v>
      </c>
      <c r="F6" s="24"/>
      <c r="G6" s="27" t="s">
        <v>1341</v>
      </c>
      <c r="H6" s="27">
        <f ca="1">COUNTIFS(LIBRO_SOCIOS!$X:$X,"&gt;80",LIBRO_SOCIOS!$X:$X,"&lt;86",LIBRO_SOCIOS!$M:$M,"ZITRON-ASCAZ HOSPITALARIA")</f>
        <v>0</v>
      </c>
      <c r="I6" s="28">
        <f t="shared" ca="1" si="2"/>
        <v>0</v>
      </c>
      <c r="J6" s="28">
        <f t="shared" ca="1" si="3"/>
        <v>0.99999999999999989</v>
      </c>
      <c r="K6" s="24"/>
      <c r="L6" s="27" t="s">
        <v>1341</v>
      </c>
      <c r="M6" s="27">
        <f t="shared" ca="1" si="4"/>
        <v>0</v>
      </c>
      <c r="N6" s="28">
        <f t="shared" ca="1" si="5"/>
        <v>0</v>
      </c>
      <c r="O6" s="28">
        <f t="shared" ca="1" si="6"/>
        <v>1</v>
      </c>
      <c r="P6" s="25"/>
      <c r="S6" s="26"/>
      <c r="T6" s="27" t="s">
        <v>1341</v>
      </c>
      <c r="U6" s="27">
        <f ca="1">COUNTIFS(LIBRO_SOCIOS!$X:$X,"&gt;80",LIBRO_SOCIOS!$X:$X,"&lt;86",LIBRO_SOCIOS!$M:$M,"ASCAZ ambulatoria")</f>
        <v>0</v>
      </c>
      <c r="V6" s="28">
        <f t="shared" ca="1" si="7"/>
        <v>0</v>
      </c>
      <c r="W6" s="28">
        <f t="shared" ca="1" si="8"/>
        <v>1</v>
      </c>
      <c r="X6" s="24"/>
      <c r="Y6" s="27" t="s">
        <v>1341</v>
      </c>
      <c r="Z6" s="27">
        <f ca="1">COUNTIFS(LIBRO_SOCIOS!$X:$X,"&gt;80",LIBRO_SOCIOS!$X:$X,"&lt;86",LIBRO_SOCIOS!$M:$M,"ASCAZ HOSPITALARIA")</f>
        <v>1</v>
      </c>
      <c r="AA6" s="28">
        <f t="shared" ca="1" si="9"/>
        <v>9.1743119266055051E-3</v>
      </c>
      <c r="AB6" s="28">
        <f t="shared" ca="1" si="10"/>
        <v>1</v>
      </c>
      <c r="AC6" s="24"/>
      <c r="AD6" s="27" t="s">
        <v>1341</v>
      </c>
      <c r="AE6" s="27">
        <f t="shared" ca="1" si="11"/>
        <v>1</v>
      </c>
      <c r="AF6" s="28">
        <f t="shared" ca="1" si="12"/>
        <v>7.3529411764705881E-3</v>
      </c>
      <c r="AG6" s="28">
        <f t="shared" ca="1" si="13"/>
        <v>1.0000000000000002</v>
      </c>
      <c r="AH6" s="25"/>
      <c r="AK6" s="26"/>
      <c r="AL6" s="27" t="s">
        <v>1341</v>
      </c>
      <c r="AM6" s="27">
        <f t="shared" ca="1" si="14"/>
        <v>0</v>
      </c>
      <c r="AN6" s="28">
        <f t="shared" ca="1" si="15"/>
        <v>0</v>
      </c>
      <c r="AO6" s="28">
        <f t="shared" ca="1" si="16"/>
        <v>1</v>
      </c>
      <c r="AP6" s="24"/>
      <c r="AQ6" s="27" t="s">
        <v>1341</v>
      </c>
      <c r="AR6" s="27">
        <f t="shared" ca="1" si="17"/>
        <v>1</v>
      </c>
      <c r="AS6" s="28">
        <f t="shared" ca="1" si="18"/>
        <v>5.3191489361702126E-3</v>
      </c>
      <c r="AT6" s="28">
        <f t="shared" ca="1" si="19"/>
        <v>1</v>
      </c>
      <c r="AU6" s="24"/>
      <c r="AV6" s="27" t="s">
        <v>1341</v>
      </c>
      <c r="AW6" s="27">
        <f t="shared" ca="1" si="20"/>
        <v>1</v>
      </c>
      <c r="AX6" s="28">
        <f t="shared" ca="1" si="21"/>
        <v>4.3668122270742356E-3</v>
      </c>
      <c r="AY6" s="28">
        <f t="shared" ca="1" si="22"/>
        <v>1.0000000000000002</v>
      </c>
      <c r="AZ6" s="25"/>
    </row>
    <row r="7" spans="1:52" ht="15.75" customHeight="1" x14ac:dyDescent="0.25">
      <c r="A7" s="26"/>
      <c r="B7" s="27" t="s">
        <v>1326</v>
      </c>
      <c r="C7" s="27">
        <f ca="1">COUNTIFS(LIBRO_SOCIOS!$X:$X,"&gt;75",LIBRO_SOCIOS!$X:$X,"&lt;81",LIBRO_SOCIOS!$M:$M,"ZITRON-ASCAZ ambulatoria")</f>
        <v>0</v>
      </c>
      <c r="D7" s="28">
        <f t="shared" ca="1" si="0"/>
        <v>0</v>
      </c>
      <c r="E7" s="28">
        <f t="shared" ca="1" si="1"/>
        <v>0.99999999999999978</v>
      </c>
      <c r="F7" s="24"/>
      <c r="G7" s="27" t="s">
        <v>1326</v>
      </c>
      <c r="H7" s="27">
        <f ca="1">COUNTIFS(LIBRO_SOCIOS!$X:$X,"&gt;75",LIBRO_SOCIOS!$X:$X,"&lt;81",LIBRO_SOCIOS!$M:$M,"ZITRON-ASCAZ HOSPITALARIA")</f>
        <v>0</v>
      </c>
      <c r="I7" s="28">
        <f t="shared" ca="1" si="2"/>
        <v>0</v>
      </c>
      <c r="J7" s="28">
        <f t="shared" ca="1" si="3"/>
        <v>0.99999999999999989</v>
      </c>
      <c r="K7" s="24"/>
      <c r="L7" s="27" t="s">
        <v>1326</v>
      </c>
      <c r="M7" s="27">
        <f t="shared" ca="1" si="4"/>
        <v>0</v>
      </c>
      <c r="N7" s="28">
        <f t="shared" ca="1" si="5"/>
        <v>0</v>
      </c>
      <c r="O7" s="28">
        <f t="shared" ca="1" si="6"/>
        <v>1</v>
      </c>
      <c r="P7" s="25"/>
      <c r="S7" s="26"/>
      <c r="T7" s="27" t="s">
        <v>1326</v>
      </c>
      <c r="U7" s="27">
        <f ca="1">COUNTIFS(LIBRO_SOCIOS!$X:$X,"&gt;75",LIBRO_SOCIOS!$X:$X,"&lt;81",LIBRO_SOCIOS!$M:$M,"ASCAZ ambulatoria")</f>
        <v>1</v>
      </c>
      <c r="V7" s="28">
        <f t="shared" ca="1" si="7"/>
        <v>3.7037037037037035E-2</v>
      </c>
      <c r="W7" s="28">
        <f t="shared" ca="1" si="8"/>
        <v>1</v>
      </c>
      <c r="X7" s="24"/>
      <c r="Y7" s="27" t="s">
        <v>1326</v>
      </c>
      <c r="Z7" s="27">
        <f ca="1">COUNTIFS(LIBRO_SOCIOS!$X:$X,"&gt;75",LIBRO_SOCIOS!$X:$X,"&lt;81",LIBRO_SOCIOS!$M:$M,"ASCAZ HOSPITALARIA")</f>
        <v>2</v>
      </c>
      <c r="AA7" s="28">
        <f t="shared" ca="1" si="9"/>
        <v>1.834862385321101E-2</v>
      </c>
      <c r="AB7" s="28">
        <f t="shared" ca="1" si="10"/>
        <v>0.99082568807339444</v>
      </c>
      <c r="AC7" s="24"/>
      <c r="AD7" s="27" t="s">
        <v>1326</v>
      </c>
      <c r="AE7" s="27">
        <f t="shared" ca="1" si="11"/>
        <v>3</v>
      </c>
      <c r="AF7" s="28">
        <f t="shared" ca="1" si="12"/>
        <v>2.2058823529411766E-2</v>
      </c>
      <c r="AG7" s="28">
        <f t="shared" ca="1" si="13"/>
        <v>0.99264705882352955</v>
      </c>
      <c r="AH7" s="25"/>
      <c r="AK7" s="26"/>
      <c r="AL7" s="27" t="s">
        <v>1326</v>
      </c>
      <c r="AM7" s="27">
        <f t="shared" ca="1" si="14"/>
        <v>1</v>
      </c>
      <c r="AN7" s="28">
        <f t="shared" ca="1" si="15"/>
        <v>2.4390243902439025E-2</v>
      </c>
      <c r="AO7" s="28">
        <f t="shared" ca="1" si="16"/>
        <v>1</v>
      </c>
      <c r="AP7" s="24"/>
      <c r="AQ7" s="27" t="s">
        <v>1326</v>
      </c>
      <c r="AR7" s="27">
        <f t="shared" ca="1" si="17"/>
        <v>2</v>
      </c>
      <c r="AS7" s="28">
        <f t="shared" ca="1" si="18"/>
        <v>1.0638297872340425E-2</v>
      </c>
      <c r="AT7" s="28">
        <f t="shared" ca="1" si="19"/>
        <v>0.99468085106382986</v>
      </c>
      <c r="AU7" s="24"/>
      <c r="AV7" s="27" t="s">
        <v>1326</v>
      </c>
      <c r="AW7" s="27">
        <f t="shared" ca="1" si="20"/>
        <v>3</v>
      </c>
      <c r="AX7" s="28">
        <f t="shared" ca="1" si="21"/>
        <v>1.3100436681222707E-2</v>
      </c>
      <c r="AY7" s="28">
        <f t="shared" ca="1" si="22"/>
        <v>0.99563318777292598</v>
      </c>
      <c r="AZ7" s="25"/>
    </row>
    <row r="8" spans="1:52" ht="15.75" customHeight="1" x14ac:dyDescent="0.25">
      <c r="A8" s="26"/>
      <c r="B8" s="27" t="s">
        <v>1325</v>
      </c>
      <c r="C8" s="27">
        <f ca="1">COUNTIFS(LIBRO_SOCIOS!$X:$X,"&gt;70",LIBRO_SOCIOS!$X:$X,"&lt;76",LIBRO_SOCIOS!$M:$M,"ZITRON-ASCAZ ambulatoria")</f>
        <v>0</v>
      </c>
      <c r="D8" s="28">
        <f t="shared" ca="1" si="0"/>
        <v>0</v>
      </c>
      <c r="E8" s="28">
        <f t="shared" ca="1" si="1"/>
        <v>0.99999999999999978</v>
      </c>
      <c r="F8" s="24"/>
      <c r="G8" s="27" t="s">
        <v>1325</v>
      </c>
      <c r="H8" s="27">
        <f ca="1">COUNTIFS(LIBRO_SOCIOS!$X:$X,"&gt;70",LIBRO_SOCIOS!$X:$X,"&lt;76",LIBRO_SOCIOS!$M:$M,"ZITRON-ASCAZ HOSPITALARIA")</f>
        <v>0</v>
      </c>
      <c r="I8" s="28">
        <f t="shared" ca="1" si="2"/>
        <v>0</v>
      </c>
      <c r="J8" s="28">
        <f t="shared" ca="1" si="3"/>
        <v>0.99999999999999989</v>
      </c>
      <c r="K8" s="24"/>
      <c r="L8" s="27" t="s">
        <v>1325</v>
      </c>
      <c r="M8" s="27">
        <f t="shared" ca="1" si="4"/>
        <v>0</v>
      </c>
      <c r="N8" s="28">
        <f t="shared" ca="1" si="5"/>
        <v>0</v>
      </c>
      <c r="O8" s="28">
        <f t="shared" ca="1" si="6"/>
        <v>1</v>
      </c>
      <c r="P8" s="25"/>
      <c r="S8" s="26"/>
      <c r="T8" s="27" t="s">
        <v>1325</v>
      </c>
      <c r="U8" s="27">
        <f ca="1">COUNTIFS(LIBRO_SOCIOS!$X:$X,"&gt;70",LIBRO_SOCIOS!$X:$X,"&lt;76",LIBRO_SOCIOS!$M:$M,"ASCAZ ambulatoria")</f>
        <v>0</v>
      </c>
      <c r="V8" s="28">
        <f t="shared" ca="1" si="7"/>
        <v>0</v>
      </c>
      <c r="W8" s="28">
        <f t="shared" ca="1" si="8"/>
        <v>0.96296296296296291</v>
      </c>
      <c r="X8" s="24"/>
      <c r="Y8" s="27" t="s">
        <v>1325</v>
      </c>
      <c r="Z8" s="27">
        <f ca="1">COUNTIFS(LIBRO_SOCIOS!$X:$X,"&gt;70",LIBRO_SOCIOS!$X:$X,"&lt;76",LIBRO_SOCIOS!$M:$M,"ASCAZ HOSPITALARIA")</f>
        <v>3</v>
      </c>
      <c r="AA8" s="28">
        <f t="shared" ca="1" si="9"/>
        <v>2.7522935779816515E-2</v>
      </c>
      <c r="AB8" s="28">
        <f t="shared" ca="1" si="10"/>
        <v>0.97247706422018343</v>
      </c>
      <c r="AC8" s="24"/>
      <c r="AD8" s="27" t="s">
        <v>1325</v>
      </c>
      <c r="AE8" s="27">
        <f t="shared" ca="1" si="11"/>
        <v>3</v>
      </c>
      <c r="AF8" s="28">
        <f t="shared" ca="1" si="12"/>
        <v>2.2058823529411766E-2</v>
      </c>
      <c r="AG8" s="28">
        <f t="shared" ca="1" si="13"/>
        <v>0.97058823529411775</v>
      </c>
      <c r="AH8" s="25"/>
      <c r="AK8" s="26"/>
      <c r="AL8" s="27" t="s">
        <v>1325</v>
      </c>
      <c r="AM8" s="27">
        <f t="shared" ca="1" si="14"/>
        <v>0</v>
      </c>
      <c r="AN8" s="28">
        <f t="shared" ca="1" si="15"/>
        <v>0</v>
      </c>
      <c r="AO8" s="28">
        <f t="shared" ca="1" si="16"/>
        <v>0.97560975609756106</v>
      </c>
      <c r="AP8" s="24"/>
      <c r="AQ8" s="27" t="s">
        <v>1325</v>
      </c>
      <c r="AR8" s="27">
        <f t="shared" ca="1" si="17"/>
        <v>3</v>
      </c>
      <c r="AS8" s="28">
        <f t="shared" ca="1" si="18"/>
        <v>1.5957446808510637E-2</v>
      </c>
      <c r="AT8" s="28">
        <f t="shared" ca="1" si="19"/>
        <v>0.98404255319148948</v>
      </c>
      <c r="AU8" s="24"/>
      <c r="AV8" s="27" t="s">
        <v>1325</v>
      </c>
      <c r="AW8" s="27">
        <f t="shared" ca="1" si="20"/>
        <v>3</v>
      </c>
      <c r="AX8" s="28">
        <f t="shared" ca="1" si="21"/>
        <v>1.3100436681222707E-2</v>
      </c>
      <c r="AY8" s="28">
        <f t="shared" ca="1" si="22"/>
        <v>0.98253275109170324</v>
      </c>
      <c r="AZ8" s="25"/>
    </row>
    <row r="9" spans="1:52" ht="15.75" customHeight="1" x14ac:dyDescent="0.25">
      <c r="A9" s="26"/>
      <c r="B9" s="27" t="s">
        <v>1327</v>
      </c>
      <c r="C9" s="27">
        <f ca="1">COUNTIFS(LIBRO_SOCIOS!$X:$X,"&gt;65",LIBRO_SOCIOS!$X:$X,"&lt;71",LIBRO_SOCIOS!$M:$M,"ZITRON-ASCAZ ambulatoria")</f>
        <v>0</v>
      </c>
      <c r="D9" s="28">
        <f t="shared" ca="1" si="0"/>
        <v>0</v>
      </c>
      <c r="E9" s="28">
        <f t="shared" ca="1" si="1"/>
        <v>0.99999999999999978</v>
      </c>
      <c r="F9" s="24"/>
      <c r="G9" s="27" t="s">
        <v>1327</v>
      </c>
      <c r="H9" s="27">
        <f ca="1">COUNTIFS(LIBRO_SOCIOS!$X:$X,"&gt;65",LIBRO_SOCIOS!$X:$X,"&lt;71",LIBRO_SOCIOS!$M:$M,"ZITRON-ASCAZ HOSPITALARIA")</f>
        <v>0</v>
      </c>
      <c r="I9" s="28">
        <f t="shared" ca="1" si="2"/>
        <v>0</v>
      </c>
      <c r="J9" s="28">
        <f t="shared" ca="1" si="3"/>
        <v>0.99999999999999989</v>
      </c>
      <c r="K9" s="24"/>
      <c r="L9" s="27" t="s">
        <v>1327</v>
      </c>
      <c r="M9" s="27">
        <f t="shared" ca="1" si="4"/>
        <v>0</v>
      </c>
      <c r="N9" s="28">
        <f t="shared" ca="1" si="5"/>
        <v>0</v>
      </c>
      <c r="O9" s="28">
        <f t="shared" ca="1" si="6"/>
        <v>1</v>
      </c>
      <c r="P9" s="25"/>
      <c r="S9" s="26"/>
      <c r="T9" s="27" t="s">
        <v>1327</v>
      </c>
      <c r="U9" s="27">
        <f ca="1">COUNTIFS(LIBRO_SOCIOS!$X:$X,"&gt;65",LIBRO_SOCIOS!$X:$X,"&lt;71",LIBRO_SOCIOS!$M:$M,"ASCAZ ambulatoria")</f>
        <v>2</v>
      </c>
      <c r="V9" s="28">
        <f t="shared" ca="1" si="7"/>
        <v>7.407407407407407E-2</v>
      </c>
      <c r="W9" s="28">
        <f t="shared" ca="1" si="8"/>
        <v>0.96296296296296291</v>
      </c>
      <c r="X9" s="24"/>
      <c r="Y9" s="27" t="s">
        <v>1327</v>
      </c>
      <c r="Z9" s="27">
        <f ca="1">COUNTIFS(LIBRO_SOCIOS!$X:$X,"&gt;65",LIBRO_SOCIOS!$X:$X,"&lt;71",LIBRO_SOCIOS!$M:$M,"ASCAZ HOSPITALARIA")</f>
        <v>3</v>
      </c>
      <c r="AA9" s="28">
        <f t="shared" ca="1" si="9"/>
        <v>2.7522935779816515E-2</v>
      </c>
      <c r="AB9" s="28">
        <f t="shared" ca="1" si="10"/>
        <v>0.94495412844036686</v>
      </c>
      <c r="AC9" s="24"/>
      <c r="AD9" s="27" t="s">
        <v>1327</v>
      </c>
      <c r="AE9" s="27">
        <f t="shared" ca="1" si="11"/>
        <v>5</v>
      </c>
      <c r="AF9" s="28">
        <f t="shared" ca="1" si="12"/>
        <v>3.6764705882352942E-2</v>
      </c>
      <c r="AG9" s="28">
        <f t="shared" ca="1" si="13"/>
        <v>0.94852941176470595</v>
      </c>
      <c r="AH9" s="25"/>
      <c r="AK9" s="26"/>
      <c r="AL9" s="27" t="s">
        <v>1327</v>
      </c>
      <c r="AM9" s="27">
        <f t="shared" ca="1" si="14"/>
        <v>2</v>
      </c>
      <c r="AN9" s="28">
        <f t="shared" ca="1" si="15"/>
        <v>4.878048780487805E-2</v>
      </c>
      <c r="AO9" s="28">
        <f t="shared" ca="1" si="16"/>
        <v>0.97560975609756106</v>
      </c>
      <c r="AP9" s="24"/>
      <c r="AQ9" s="27" t="s">
        <v>1327</v>
      </c>
      <c r="AR9" s="27">
        <f t="shared" ca="1" si="17"/>
        <v>3</v>
      </c>
      <c r="AS9" s="28">
        <f t="shared" ca="1" si="18"/>
        <v>1.5957446808510637E-2</v>
      </c>
      <c r="AT9" s="28">
        <f t="shared" ca="1" si="19"/>
        <v>0.96808510638297884</v>
      </c>
      <c r="AU9" s="24"/>
      <c r="AV9" s="27" t="s">
        <v>1327</v>
      </c>
      <c r="AW9" s="27">
        <f t="shared" ca="1" si="20"/>
        <v>5</v>
      </c>
      <c r="AX9" s="28">
        <f t="shared" ca="1" si="21"/>
        <v>2.1834061135371178E-2</v>
      </c>
      <c r="AY9" s="28">
        <f t="shared" ca="1" si="22"/>
        <v>0.9694323144104805</v>
      </c>
      <c r="AZ9" s="25"/>
    </row>
    <row r="10" spans="1:52" ht="15.75" customHeight="1" x14ac:dyDescent="0.25">
      <c r="A10" s="26"/>
      <c r="B10" s="27" t="s">
        <v>1328</v>
      </c>
      <c r="C10" s="27">
        <f ca="1">COUNTIFS(LIBRO_SOCIOS!$X:$X,"&gt;60",LIBRO_SOCIOS!$X:$X,"&lt;66",LIBRO_SOCIOS!$M:$M,"ZITRON-ASCAZ ambulatoria")</f>
        <v>0</v>
      </c>
      <c r="D10" s="28">
        <f t="shared" ca="1" si="0"/>
        <v>0</v>
      </c>
      <c r="E10" s="28">
        <f t="shared" ca="1" si="1"/>
        <v>0.99999999999999978</v>
      </c>
      <c r="F10" s="24"/>
      <c r="G10" s="27" t="s">
        <v>1328</v>
      </c>
      <c r="H10" s="27">
        <f ca="1">COUNTIFS(LIBRO_SOCIOS!$X:$X,"&gt;60",LIBRO_SOCIOS!$X:$X,"&lt;66",LIBRO_SOCIOS!$M:$M,"ZITRON-ASCAZ HOSPITALARIA")</f>
        <v>6</v>
      </c>
      <c r="I10" s="28">
        <f t="shared" ca="1" si="2"/>
        <v>7.5949367088607597E-2</v>
      </c>
      <c r="J10" s="28">
        <f t="shared" ca="1" si="3"/>
        <v>0.99999999999999989</v>
      </c>
      <c r="K10" s="24"/>
      <c r="L10" s="27" t="s">
        <v>1328</v>
      </c>
      <c r="M10" s="27">
        <f t="shared" ca="1" si="4"/>
        <v>6</v>
      </c>
      <c r="N10" s="28">
        <f t="shared" ca="1" si="5"/>
        <v>6.4516129032258063E-2</v>
      </c>
      <c r="O10" s="28">
        <f t="shared" ca="1" si="6"/>
        <v>1</v>
      </c>
      <c r="P10" s="25"/>
      <c r="S10" s="26"/>
      <c r="T10" s="27" t="s">
        <v>1328</v>
      </c>
      <c r="U10" s="27">
        <f ca="1">COUNTIFS(LIBRO_SOCIOS!$X:$X,"&gt;60",LIBRO_SOCIOS!$X:$X,"&lt;66",LIBRO_SOCIOS!$M:$M,"ASCAZ ambulatoria")</f>
        <v>5</v>
      </c>
      <c r="V10" s="28">
        <f t="shared" ca="1" si="7"/>
        <v>0.18518518518518517</v>
      </c>
      <c r="W10" s="28">
        <f t="shared" ca="1" si="8"/>
        <v>0.88888888888888884</v>
      </c>
      <c r="X10" s="24"/>
      <c r="Y10" s="27" t="s">
        <v>1328</v>
      </c>
      <c r="Z10" s="27">
        <f ca="1">COUNTIFS(LIBRO_SOCIOS!$X:$X,"&gt;60",LIBRO_SOCIOS!$X:$X,"&lt;66",LIBRO_SOCIOS!$M:$M,"ASCAZ HOSPITALARIA")</f>
        <v>11</v>
      </c>
      <c r="AA10" s="28">
        <f t="shared" ca="1" si="9"/>
        <v>0.10091743119266056</v>
      </c>
      <c r="AB10" s="28">
        <f t="shared" ca="1" si="10"/>
        <v>0.91743119266055029</v>
      </c>
      <c r="AC10" s="24"/>
      <c r="AD10" s="27" t="s">
        <v>1328</v>
      </c>
      <c r="AE10" s="27">
        <f t="shared" ca="1" si="11"/>
        <v>16</v>
      </c>
      <c r="AF10" s="28">
        <f t="shared" ca="1" si="12"/>
        <v>0.11764705882352941</v>
      </c>
      <c r="AG10" s="28">
        <f t="shared" ca="1" si="13"/>
        <v>0.91176470588235303</v>
      </c>
      <c r="AH10" s="25"/>
      <c r="AK10" s="26"/>
      <c r="AL10" s="27" t="s">
        <v>1328</v>
      </c>
      <c r="AM10" s="27">
        <f t="shared" ca="1" si="14"/>
        <v>5</v>
      </c>
      <c r="AN10" s="28">
        <f t="shared" ca="1" si="15"/>
        <v>0.12195121951219512</v>
      </c>
      <c r="AO10" s="28">
        <f t="shared" ca="1" si="16"/>
        <v>0.92682926829268297</v>
      </c>
      <c r="AP10" s="24"/>
      <c r="AQ10" s="27" t="s">
        <v>1328</v>
      </c>
      <c r="AR10" s="27">
        <f t="shared" ca="1" si="17"/>
        <v>17</v>
      </c>
      <c r="AS10" s="28">
        <f t="shared" ca="1" si="18"/>
        <v>9.0425531914893623E-2</v>
      </c>
      <c r="AT10" s="28">
        <f t="shared" ca="1" si="19"/>
        <v>0.95212765957446821</v>
      </c>
      <c r="AU10" s="24"/>
      <c r="AV10" s="27" t="s">
        <v>1328</v>
      </c>
      <c r="AW10" s="27">
        <f t="shared" ca="1" si="20"/>
        <v>22</v>
      </c>
      <c r="AX10" s="28">
        <f t="shared" ca="1" si="21"/>
        <v>9.606986899563319E-2</v>
      </c>
      <c r="AY10" s="28">
        <f t="shared" ca="1" si="22"/>
        <v>0.94759825327510927</v>
      </c>
      <c r="AZ10" s="25"/>
    </row>
    <row r="11" spans="1:52" ht="15.75" customHeight="1" x14ac:dyDescent="0.25">
      <c r="A11" s="26"/>
      <c r="B11" s="27" t="s">
        <v>1329</v>
      </c>
      <c r="C11" s="27">
        <f ca="1">COUNTIFS(LIBRO_SOCIOS!$X:$X,"&gt;55",LIBRO_SOCIOS!$X:$X,"&lt;61",LIBRO_SOCIOS!$M:$M,"ZITRON-ASCAZ ambulatoria")</f>
        <v>0</v>
      </c>
      <c r="D11" s="28">
        <f t="shared" ca="1" si="0"/>
        <v>0</v>
      </c>
      <c r="E11" s="28">
        <f t="shared" ca="1" si="1"/>
        <v>0.99999999999999978</v>
      </c>
      <c r="F11" s="24"/>
      <c r="G11" s="27" t="s">
        <v>1329</v>
      </c>
      <c r="H11" s="27">
        <f ca="1">COUNTIFS(LIBRO_SOCIOS!$X:$X,"&gt;55",LIBRO_SOCIOS!$X:$X,"&lt;61",LIBRO_SOCIOS!$M:$M,"ZITRON-ASCAZ HOSPITALARIA")</f>
        <v>1</v>
      </c>
      <c r="I11" s="28">
        <f t="shared" ca="1" si="2"/>
        <v>1.2658227848101266E-2</v>
      </c>
      <c r="J11" s="28">
        <f t="shared" ca="1" si="3"/>
        <v>0.92405063291139233</v>
      </c>
      <c r="K11" s="24"/>
      <c r="L11" s="27" t="s">
        <v>1329</v>
      </c>
      <c r="M11" s="27">
        <f t="shared" ca="1" si="4"/>
        <v>1</v>
      </c>
      <c r="N11" s="28">
        <f t="shared" ca="1" si="5"/>
        <v>1.0752688172043012E-2</v>
      </c>
      <c r="O11" s="28">
        <f t="shared" ca="1" si="6"/>
        <v>0.93548387096774199</v>
      </c>
      <c r="P11" s="25"/>
      <c r="S11" s="26"/>
      <c r="T11" s="27" t="s">
        <v>1329</v>
      </c>
      <c r="U11" s="27">
        <f ca="1">COUNTIFS(LIBRO_SOCIOS!$X:$X,"&gt;55",LIBRO_SOCIOS!$X:$X,"&lt;61",LIBRO_SOCIOS!$M:$M,"ASCAZ ambulatoria")</f>
        <v>3</v>
      </c>
      <c r="V11" s="28">
        <f t="shared" ca="1" si="7"/>
        <v>0.1111111111111111</v>
      </c>
      <c r="W11" s="28">
        <f t="shared" ca="1" si="8"/>
        <v>0.70370370370370372</v>
      </c>
      <c r="X11" s="24"/>
      <c r="Y11" s="27" t="s">
        <v>1329</v>
      </c>
      <c r="Z11" s="27">
        <f ca="1">COUNTIFS(LIBRO_SOCIOS!$X:$X,"&gt;55",LIBRO_SOCIOS!$X:$X,"&lt;61",LIBRO_SOCIOS!$M:$M,"ASCAZ HOSPITALARIA")</f>
        <v>6</v>
      </c>
      <c r="AA11" s="28">
        <f t="shared" ca="1" si="9"/>
        <v>5.5045871559633031E-2</v>
      </c>
      <c r="AB11" s="28">
        <f t="shared" ca="1" si="10"/>
        <v>0.81651376146788979</v>
      </c>
      <c r="AC11" s="24"/>
      <c r="AD11" s="27" t="s">
        <v>1329</v>
      </c>
      <c r="AE11" s="27">
        <f t="shared" ca="1" si="11"/>
        <v>9</v>
      </c>
      <c r="AF11" s="28">
        <f t="shared" ca="1" si="12"/>
        <v>6.6176470588235295E-2</v>
      </c>
      <c r="AG11" s="28">
        <f t="shared" ca="1" si="13"/>
        <v>0.79411764705882359</v>
      </c>
      <c r="AH11" s="25"/>
      <c r="AK11" s="26"/>
      <c r="AL11" s="27" t="s">
        <v>1329</v>
      </c>
      <c r="AM11" s="27">
        <f t="shared" ca="1" si="14"/>
        <v>3</v>
      </c>
      <c r="AN11" s="28">
        <f t="shared" ca="1" si="15"/>
        <v>7.3170731707317069E-2</v>
      </c>
      <c r="AO11" s="28">
        <f t="shared" ca="1" si="16"/>
        <v>0.80487804878048785</v>
      </c>
      <c r="AP11" s="24"/>
      <c r="AQ11" s="27" t="s">
        <v>1329</v>
      </c>
      <c r="AR11" s="27">
        <f t="shared" ca="1" si="17"/>
        <v>7</v>
      </c>
      <c r="AS11" s="28">
        <f t="shared" ca="1" si="18"/>
        <v>3.7234042553191488E-2</v>
      </c>
      <c r="AT11" s="28">
        <f t="shared" ca="1" si="19"/>
        <v>0.86170212765957455</v>
      </c>
      <c r="AU11" s="24"/>
      <c r="AV11" s="27" t="s">
        <v>1329</v>
      </c>
      <c r="AW11" s="27">
        <f t="shared" ca="1" si="20"/>
        <v>10</v>
      </c>
      <c r="AX11" s="28">
        <f t="shared" ca="1" si="21"/>
        <v>4.3668122270742356E-2</v>
      </c>
      <c r="AY11" s="28">
        <f t="shared" ca="1" si="22"/>
        <v>0.85152838427947608</v>
      </c>
      <c r="AZ11" s="25"/>
    </row>
    <row r="12" spans="1:52" ht="15.75" customHeight="1" x14ac:dyDescent="0.25">
      <c r="A12" s="26"/>
      <c r="B12" s="27" t="s">
        <v>1330</v>
      </c>
      <c r="C12" s="27">
        <f ca="1">COUNTIFS(LIBRO_SOCIOS!$X:$X,"&gt;50",LIBRO_SOCIOS!$X:$X,"&lt;56",LIBRO_SOCIOS!$M:$M,"ZITRON-ASCAZ ambulatoria")</f>
        <v>0</v>
      </c>
      <c r="D12" s="28">
        <f t="shared" ca="1" si="0"/>
        <v>0</v>
      </c>
      <c r="E12" s="28">
        <f t="shared" ca="1" si="1"/>
        <v>0.99999999999999978</v>
      </c>
      <c r="F12" s="24"/>
      <c r="G12" s="27" t="s">
        <v>1330</v>
      </c>
      <c r="H12" s="27">
        <f ca="1">COUNTIFS(LIBRO_SOCIOS!$X:$X,"&gt;50",LIBRO_SOCIOS!$X:$X,"&lt;56",LIBRO_SOCIOS!$M:$M,"ZITRON-ASCAZ HOSPITALARIA")</f>
        <v>4</v>
      </c>
      <c r="I12" s="28">
        <f t="shared" ca="1" si="2"/>
        <v>5.0632911392405063E-2</v>
      </c>
      <c r="J12" s="28">
        <f t="shared" ca="1" si="3"/>
        <v>0.91139240506329111</v>
      </c>
      <c r="K12" s="24"/>
      <c r="L12" s="27" t="s">
        <v>1330</v>
      </c>
      <c r="M12" s="27">
        <f t="shared" ca="1" si="4"/>
        <v>4</v>
      </c>
      <c r="N12" s="28">
        <f t="shared" ca="1" si="5"/>
        <v>4.3010752688172046E-2</v>
      </c>
      <c r="O12" s="28">
        <f t="shared" ca="1" si="6"/>
        <v>0.92473118279569899</v>
      </c>
      <c r="P12" s="25"/>
      <c r="S12" s="26"/>
      <c r="T12" s="27" t="s">
        <v>1330</v>
      </c>
      <c r="U12" s="27">
        <f ca="1">COUNTIFS(LIBRO_SOCIOS!$X:$X,"&gt;50",LIBRO_SOCIOS!$X:$X,"&lt;56",LIBRO_SOCIOS!$M:$M,"ASCAZ ambulatoria")</f>
        <v>2</v>
      </c>
      <c r="V12" s="28">
        <f t="shared" ca="1" si="7"/>
        <v>7.407407407407407E-2</v>
      </c>
      <c r="W12" s="28">
        <f t="shared" ca="1" si="8"/>
        <v>0.59259259259259256</v>
      </c>
      <c r="X12" s="24"/>
      <c r="Y12" s="27" t="s">
        <v>1330</v>
      </c>
      <c r="Z12" s="27">
        <f ca="1">COUNTIFS(LIBRO_SOCIOS!$X:$X,"&gt;50",LIBRO_SOCIOS!$X:$X,"&lt;56",LIBRO_SOCIOS!$M:$M,"ASCAZ HOSPITALARIA")</f>
        <v>9</v>
      </c>
      <c r="AA12" s="28">
        <f t="shared" ca="1" si="9"/>
        <v>8.2568807339449546E-2</v>
      </c>
      <c r="AB12" s="28">
        <f t="shared" ca="1" si="10"/>
        <v>0.76146788990825676</v>
      </c>
      <c r="AC12" s="24"/>
      <c r="AD12" s="27" t="s">
        <v>1330</v>
      </c>
      <c r="AE12" s="27">
        <f t="shared" ca="1" si="11"/>
        <v>11</v>
      </c>
      <c r="AF12" s="28">
        <f t="shared" ca="1" si="12"/>
        <v>8.0882352941176475E-2</v>
      </c>
      <c r="AG12" s="28">
        <f t="shared" ca="1" si="13"/>
        <v>0.72794117647058831</v>
      </c>
      <c r="AH12" s="25"/>
      <c r="AK12" s="26"/>
      <c r="AL12" s="27" t="s">
        <v>1330</v>
      </c>
      <c r="AM12" s="27">
        <f t="shared" ca="1" si="14"/>
        <v>2</v>
      </c>
      <c r="AN12" s="28">
        <f t="shared" ca="1" si="15"/>
        <v>4.878048780487805E-2</v>
      </c>
      <c r="AO12" s="28">
        <f t="shared" ca="1" si="16"/>
        <v>0.73170731707317083</v>
      </c>
      <c r="AP12" s="24"/>
      <c r="AQ12" s="27" t="s">
        <v>1330</v>
      </c>
      <c r="AR12" s="27">
        <f t="shared" ca="1" si="17"/>
        <v>13</v>
      </c>
      <c r="AS12" s="28">
        <f t="shared" ca="1" si="18"/>
        <v>6.9148936170212769E-2</v>
      </c>
      <c r="AT12" s="28">
        <f t="shared" ca="1" si="19"/>
        <v>0.82446808510638303</v>
      </c>
      <c r="AU12" s="24"/>
      <c r="AV12" s="27" t="s">
        <v>1330</v>
      </c>
      <c r="AW12" s="27">
        <f t="shared" ca="1" si="20"/>
        <v>15</v>
      </c>
      <c r="AX12" s="28">
        <f t="shared" ca="1" si="21"/>
        <v>6.5502183406113537E-2</v>
      </c>
      <c r="AY12" s="28">
        <f t="shared" ca="1" si="22"/>
        <v>0.80786026200873373</v>
      </c>
      <c r="AZ12" s="25"/>
    </row>
    <row r="13" spans="1:52" ht="15.75" customHeight="1" x14ac:dyDescent="0.25">
      <c r="A13" s="26"/>
      <c r="B13" s="27" t="s">
        <v>1331</v>
      </c>
      <c r="C13" s="27">
        <f ca="1">COUNTIFS(LIBRO_SOCIOS!$X:$X,"&gt;45",LIBRO_SOCIOS!$X:$X,"&lt;51",LIBRO_SOCIOS!$M:$M,"ZITRON-ASCAZ ambulatoria")</f>
        <v>0</v>
      </c>
      <c r="D13" s="28">
        <f t="shared" ca="1" si="0"/>
        <v>0</v>
      </c>
      <c r="E13" s="28">
        <f t="shared" ca="1" si="1"/>
        <v>0.99999999999999978</v>
      </c>
      <c r="F13" s="24"/>
      <c r="G13" s="27" t="s">
        <v>1331</v>
      </c>
      <c r="H13" s="27">
        <f ca="1">COUNTIFS(LIBRO_SOCIOS!$X:$X,"&gt;45",LIBRO_SOCIOS!$X:$X,"&lt;51",LIBRO_SOCIOS!$M:$M,"ZITRON-ASCAZ HOSPITALARIA")</f>
        <v>6</v>
      </c>
      <c r="I13" s="28">
        <f t="shared" ca="1" si="2"/>
        <v>7.5949367088607597E-2</v>
      </c>
      <c r="J13" s="28">
        <f t="shared" ca="1" si="3"/>
        <v>0.860759493670886</v>
      </c>
      <c r="K13" s="24"/>
      <c r="L13" s="27" t="s">
        <v>1331</v>
      </c>
      <c r="M13" s="27">
        <f t="shared" ca="1" si="4"/>
        <v>6</v>
      </c>
      <c r="N13" s="28">
        <f t="shared" ca="1" si="5"/>
        <v>6.4516129032258063E-2</v>
      </c>
      <c r="O13" s="28">
        <f t="shared" ca="1" si="6"/>
        <v>0.88172043010752699</v>
      </c>
      <c r="P13" s="25"/>
      <c r="S13" s="26"/>
      <c r="T13" s="27" t="s">
        <v>1331</v>
      </c>
      <c r="U13" s="27">
        <f ca="1">COUNTIFS(LIBRO_SOCIOS!$X:$X,"&gt;45",LIBRO_SOCIOS!$X:$X,"&lt;51",LIBRO_SOCIOS!$M:$M,"ASCAZ ambulatoria")</f>
        <v>0</v>
      </c>
      <c r="V13" s="28">
        <f t="shared" ca="1" si="7"/>
        <v>0</v>
      </c>
      <c r="W13" s="28">
        <f t="shared" ca="1" si="8"/>
        <v>0.51851851851851849</v>
      </c>
      <c r="X13" s="24"/>
      <c r="Y13" s="27" t="s">
        <v>1331</v>
      </c>
      <c r="Z13" s="27">
        <f ca="1">COUNTIFS(LIBRO_SOCIOS!$X:$X,"&gt;45",LIBRO_SOCIOS!$X:$X,"&lt;51",LIBRO_SOCIOS!$M:$M,"ASCAZ HOSPITALARIA")</f>
        <v>17</v>
      </c>
      <c r="AA13" s="28">
        <f t="shared" ca="1" si="9"/>
        <v>0.15596330275229359</v>
      </c>
      <c r="AB13" s="28">
        <f t="shared" ca="1" si="10"/>
        <v>0.67889908256880727</v>
      </c>
      <c r="AC13" s="24"/>
      <c r="AD13" s="27" t="s">
        <v>1331</v>
      </c>
      <c r="AE13" s="27">
        <f t="shared" ca="1" si="11"/>
        <v>17</v>
      </c>
      <c r="AF13" s="28">
        <f t="shared" ca="1" si="12"/>
        <v>0.125</v>
      </c>
      <c r="AG13" s="28">
        <f t="shared" ca="1" si="13"/>
        <v>0.6470588235294118</v>
      </c>
      <c r="AH13" s="25"/>
      <c r="AK13" s="26"/>
      <c r="AL13" s="27" t="s">
        <v>1331</v>
      </c>
      <c r="AM13" s="27">
        <f t="shared" ca="1" si="14"/>
        <v>0</v>
      </c>
      <c r="AN13" s="28">
        <f t="shared" ca="1" si="15"/>
        <v>0</v>
      </c>
      <c r="AO13" s="28">
        <f t="shared" ca="1" si="16"/>
        <v>0.68292682926829273</v>
      </c>
      <c r="AP13" s="24"/>
      <c r="AQ13" s="27" t="s">
        <v>1331</v>
      </c>
      <c r="AR13" s="27">
        <f t="shared" ca="1" si="17"/>
        <v>23</v>
      </c>
      <c r="AS13" s="28">
        <f t="shared" ca="1" si="18"/>
        <v>0.12234042553191489</v>
      </c>
      <c r="AT13" s="28">
        <f t="shared" ca="1" si="19"/>
        <v>0.75531914893617025</v>
      </c>
      <c r="AU13" s="24"/>
      <c r="AV13" s="27" t="s">
        <v>1331</v>
      </c>
      <c r="AW13" s="27">
        <f t="shared" ca="1" si="20"/>
        <v>23</v>
      </c>
      <c r="AX13" s="28">
        <f t="shared" ca="1" si="21"/>
        <v>0.10043668122270742</v>
      </c>
      <c r="AY13" s="28">
        <f t="shared" ca="1" si="22"/>
        <v>0.74235807860262015</v>
      </c>
      <c r="AZ13" s="25"/>
    </row>
    <row r="14" spans="1:52" ht="15.75" customHeight="1" x14ac:dyDescent="0.25">
      <c r="A14" s="26"/>
      <c r="B14" s="27" t="s">
        <v>1332</v>
      </c>
      <c r="C14" s="27">
        <f ca="1">COUNTIFS(LIBRO_SOCIOS!$X:$X,"&gt;40",LIBRO_SOCIOS!$X:$X,"&lt;46",LIBRO_SOCIOS!$M:$M,"ZITRON-ASCAZ ambulatoria")</f>
        <v>2</v>
      </c>
      <c r="D14" s="28">
        <f t="shared" ca="1" si="0"/>
        <v>0.14285714285714285</v>
      </c>
      <c r="E14" s="28">
        <f t="shared" ca="1" si="1"/>
        <v>0.99999999999999978</v>
      </c>
      <c r="F14" s="24"/>
      <c r="G14" s="27" t="s">
        <v>1332</v>
      </c>
      <c r="H14" s="27">
        <f ca="1">COUNTIFS(LIBRO_SOCIOS!$X:$X,"&gt;40",LIBRO_SOCIOS!$X:$X,"&lt;46",LIBRO_SOCIOS!$M:$M,"ZITRON-ASCAZ HOSPITALARIA")</f>
        <v>17</v>
      </c>
      <c r="I14" s="28">
        <f t="shared" ca="1" si="2"/>
        <v>0.21518987341772153</v>
      </c>
      <c r="J14" s="28">
        <f t="shared" ca="1" si="3"/>
        <v>0.78481012658227844</v>
      </c>
      <c r="K14" s="24"/>
      <c r="L14" s="27" t="s">
        <v>1332</v>
      </c>
      <c r="M14" s="27">
        <f t="shared" ca="1" si="4"/>
        <v>19</v>
      </c>
      <c r="N14" s="28">
        <f t="shared" ca="1" si="5"/>
        <v>0.20430107526881722</v>
      </c>
      <c r="O14" s="28">
        <f t="shared" ca="1" si="6"/>
        <v>0.81720430107526887</v>
      </c>
      <c r="P14" s="25"/>
      <c r="S14" s="26"/>
      <c r="T14" s="27" t="s">
        <v>1332</v>
      </c>
      <c r="U14" s="27">
        <f ca="1">COUNTIFS(LIBRO_SOCIOS!$X:$X,"&gt;40",LIBRO_SOCIOS!$X:$X,"&lt;46",LIBRO_SOCIOS!$M:$M,"ASCAZ ambulatoria")</f>
        <v>2</v>
      </c>
      <c r="V14" s="28">
        <f t="shared" ca="1" si="7"/>
        <v>7.407407407407407E-2</v>
      </c>
      <c r="W14" s="28">
        <f t="shared" ca="1" si="8"/>
        <v>0.51851851851851849</v>
      </c>
      <c r="X14" s="24"/>
      <c r="Y14" s="27" t="s">
        <v>1332</v>
      </c>
      <c r="Z14" s="27">
        <f ca="1">COUNTIFS(LIBRO_SOCIOS!$X:$X,"&gt;40",LIBRO_SOCIOS!$X:$X,"&lt;46",LIBRO_SOCIOS!$M:$M,"ASCAZ HOSPITALARIA")</f>
        <v>18</v>
      </c>
      <c r="AA14" s="28">
        <f t="shared" ca="1" si="9"/>
        <v>0.16513761467889909</v>
      </c>
      <c r="AB14" s="28">
        <f t="shared" ca="1" si="10"/>
        <v>0.52293577981651373</v>
      </c>
      <c r="AC14" s="24"/>
      <c r="AD14" s="27" t="s">
        <v>1332</v>
      </c>
      <c r="AE14" s="27">
        <f t="shared" ca="1" si="11"/>
        <v>20</v>
      </c>
      <c r="AF14" s="28">
        <f t="shared" ca="1" si="12"/>
        <v>0.14705882352941177</v>
      </c>
      <c r="AG14" s="28">
        <f t="shared" ca="1" si="13"/>
        <v>0.5220588235294118</v>
      </c>
      <c r="AH14" s="25"/>
      <c r="AK14" s="26"/>
      <c r="AL14" s="27" t="s">
        <v>1332</v>
      </c>
      <c r="AM14" s="27">
        <f t="shared" ca="1" si="14"/>
        <v>4</v>
      </c>
      <c r="AN14" s="28">
        <f t="shared" ca="1" si="15"/>
        <v>9.7560975609756101E-2</v>
      </c>
      <c r="AO14" s="28">
        <f t="shared" ca="1" si="16"/>
        <v>0.68292682926829273</v>
      </c>
      <c r="AP14" s="24"/>
      <c r="AQ14" s="27" t="s">
        <v>1332</v>
      </c>
      <c r="AR14" s="27">
        <f t="shared" ca="1" si="17"/>
        <v>35</v>
      </c>
      <c r="AS14" s="28">
        <f t="shared" ca="1" si="18"/>
        <v>0.18617021276595744</v>
      </c>
      <c r="AT14" s="28">
        <f t="shared" ca="1" si="19"/>
        <v>0.63297872340425532</v>
      </c>
      <c r="AU14" s="24"/>
      <c r="AV14" s="27" t="s">
        <v>1332</v>
      </c>
      <c r="AW14" s="27">
        <f t="shared" ca="1" si="20"/>
        <v>39</v>
      </c>
      <c r="AX14" s="28">
        <f t="shared" ca="1" si="21"/>
        <v>0.1703056768558952</v>
      </c>
      <c r="AY14" s="28">
        <f t="shared" ca="1" si="22"/>
        <v>0.64192139737991272</v>
      </c>
      <c r="AZ14" s="25"/>
    </row>
    <row r="15" spans="1:52" ht="15.75" customHeight="1" x14ac:dyDescent="0.25">
      <c r="A15" s="26"/>
      <c r="B15" s="27" t="s">
        <v>1333</v>
      </c>
      <c r="C15" s="27">
        <f ca="1">COUNTIFS(LIBRO_SOCIOS!$X:$X,"&gt;35",LIBRO_SOCIOS!$X:$X,"&lt;41",LIBRO_SOCIOS!$M:$M,"ZITRON-ASCAZ ambulatoria")</f>
        <v>1</v>
      </c>
      <c r="D15" s="28">
        <f t="shared" ca="1" si="0"/>
        <v>7.1428571428571425E-2</v>
      </c>
      <c r="E15" s="28">
        <f t="shared" ca="1" si="1"/>
        <v>0.85714285714285698</v>
      </c>
      <c r="F15" s="24"/>
      <c r="G15" s="27" t="s">
        <v>1333</v>
      </c>
      <c r="H15" s="27">
        <f ca="1">COUNTIFS(LIBRO_SOCIOS!$X:$X,"&gt;35",LIBRO_SOCIOS!$X:$X,"&lt;41",LIBRO_SOCIOS!$M:$M,"ZITRON-ASCAZ HOSPITALARIA")</f>
        <v>19</v>
      </c>
      <c r="I15" s="28">
        <f t="shared" ca="1" si="2"/>
        <v>0.24050632911392406</v>
      </c>
      <c r="J15" s="28">
        <f t="shared" ca="1" si="3"/>
        <v>0.56962025316455689</v>
      </c>
      <c r="K15" s="24"/>
      <c r="L15" s="27" t="s">
        <v>1333</v>
      </c>
      <c r="M15" s="27">
        <f t="shared" ca="1" si="4"/>
        <v>20</v>
      </c>
      <c r="N15" s="28">
        <f t="shared" ca="1" si="5"/>
        <v>0.21505376344086022</v>
      </c>
      <c r="O15" s="28">
        <f t="shared" ca="1" si="6"/>
        <v>0.61290322580645162</v>
      </c>
      <c r="P15" s="25"/>
      <c r="S15" s="26"/>
      <c r="T15" s="27" t="s">
        <v>1333</v>
      </c>
      <c r="U15" s="27">
        <f ca="1">COUNTIFS(LIBRO_SOCIOS!$X:$X,"&gt;35",LIBRO_SOCIOS!$X:$X,"&lt;41",LIBRO_SOCIOS!$M:$M,"ASCAZ ambulatoria")</f>
        <v>4</v>
      </c>
      <c r="V15" s="28">
        <f t="shared" ca="1" si="7"/>
        <v>0.14814814814814814</v>
      </c>
      <c r="W15" s="28">
        <f t="shared" ca="1" si="8"/>
        <v>0.44444444444444442</v>
      </c>
      <c r="X15" s="24"/>
      <c r="Y15" s="27" t="s">
        <v>1333</v>
      </c>
      <c r="Z15" s="27">
        <f ca="1">COUNTIFS(LIBRO_SOCIOS!$X:$X,"&gt;35",LIBRO_SOCIOS!$X:$X,"&lt;41",LIBRO_SOCIOS!$M:$M,"ASCAZ HOSPITALARIA")</f>
        <v>18</v>
      </c>
      <c r="AA15" s="28">
        <f t="shared" ca="1" si="9"/>
        <v>0.16513761467889909</v>
      </c>
      <c r="AB15" s="28">
        <f t="shared" ca="1" si="10"/>
        <v>0.3577981651376147</v>
      </c>
      <c r="AC15" s="24"/>
      <c r="AD15" s="27" t="s">
        <v>1333</v>
      </c>
      <c r="AE15" s="27">
        <f t="shared" ca="1" si="11"/>
        <v>22</v>
      </c>
      <c r="AF15" s="28">
        <f t="shared" ca="1" si="12"/>
        <v>0.16176470588235295</v>
      </c>
      <c r="AG15" s="28">
        <f t="shared" ca="1" si="13"/>
        <v>0.375</v>
      </c>
      <c r="AH15" s="25"/>
      <c r="AK15" s="26"/>
      <c r="AL15" s="27" t="s">
        <v>1333</v>
      </c>
      <c r="AM15" s="27">
        <f t="shared" ca="1" si="14"/>
        <v>5</v>
      </c>
      <c r="AN15" s="28">
        <f t="shared" ca="1" si="15"/>
        <v>0.12195121951219512</v>
      </c>
      <c r="AO15" s="28">
        <f t="shared" ca="1" si="16"/>
        <v>0.58536585365853666</v>
      </c>
      <c r="AP15" s="24"/>
      <c r="AQ15" s="27" t="s">
        <v>1333</v>
      </c>
      <c r="AR15" s="27">
        <f t="shared" ca="1" si="17"/>
        <v>37</v>
      </c>
      <c r="AS15" s="28">
        <f t="shared" ca="1" si="18"/>
        <v>0.19680851063829788</v>
      </c>
      <c r="AT15" s="28">
        <f t="shared" ca="1" si="19"/>
        <v>0.44680851063829785</v>
      </c>
      <c r="AU15" s="24"/>
      <c r="AV15" s="27" t="s">
        <v>1333</v>
      </c>
      <c r="AW15" s="27">
        <f t="shared" ca="1" si="20"/>
        <v>42</v>
      </c>
      <c r="AX15" s="28">
        <f t="shared" ca="1" si="21"/>
        <v>0.18340611353711792</v>
      </c>
      <c r="AY15" s="28">
        <f t="shared" ca="1" si="22"/>
        <v>0.47161572052401746</v>
      </c>
      <c r="AZ15" s="25"/>
    </row>
    <row r="16" spans="1:52" ht="15" customHeight="1" x14ac:dyDescent="0.25">
      <c r="A16" s="26"/>
      <c r="B16" s="27" t="s">
        <v>1334</v>
      </c>
      <c r="C16" s="27">
        <f ca="1">COUNTIFS(LIBRO_SOCIOS!$X:$X,"&gt;30",LIBRO_SOCIOS!$X:$X,"&lt;36",LIBRO_SOCIOS!$M:$M,"ZITRON-ASCAZ ambulatoria")</f>
        <v>0</v>
      </c>
      <c r="D16" s="28">
        <f t="shared" ca="1" si="0"/>
        <v>0</v>
      </c>
      <c r="E16" s="28">
        <f t="shared" ca="1" si="1"/>
        <v>0.78571428571428559</v>
      </c>
      <c r="F16" s="24"/>
      <c r="G16" s="27" t="s">
        <v>1334</v>
      </c>
      <c r="H16" s="27">
        <f ca="1">COUNTIFS(LIBRO_SOCIOS!$X:$X,"&gt;30",LIBRO_SOCIOS!$X:$X,"&lt;36",LIBRO_SOCIOS!$M:$M,"ZITRON-ASCAZ HOSPITALARIA")</f>
        <v>14</v>
      </c>
      <c r="I16" s="28">
        <f t="shared" ca="1" si="2"/>
        <v>0.17721518987341772</v>
      </c>
      <c r="J16" s="28">
        <f t="shared" ca="1" si="3"/>
        <v>0.32911392405063289</v>
      </c>
      <c r="K16" s="24"/>
      <c r="L16" s="27" t="s">
        <v>1334</v>
      </c>
      <c r="M16" s="27">
        <f t="shared" ca="1" si="4"/>
        <v>14</v>
      </c>
      <c r="N16" s="28">
        <f t="shared" ca="1" si="5"/>
        <v>0.15053763440860216</v>
      </c>
      <c r="O16" s="28">
        <f t="shared" ca="1" si="6"/>
        <v>0.39784946236559143</v>
      </c>
      <c r="P16" s="25"/>
      <c r="S16" s="26"/>
      <c r="T16" s="27" t="s">
        <v>1334</v>
      </c>
      <c r="U16" s="27">
        <f ca="1">COUNTIFS(LIBRO_SOCIOS!$X:$X,"&gt;30",LIBRO_SOCIOS!$X:$X,"&lt;36",LIBRO_SOCIOS!$M:$M,"ASCAZ ambulatoria")</f>
        <v>1</v>
      </c>
      <c r="V16" s="28">
        <f t="shared" ca="1" si="7"/>
        <v>3.7037037037037035E-2</v>
      </c>
      <c r="W16" s="28">
        <f t="shared" ca="1" si="8"/>
        <v>0.29629629629629628</v>
      </c>
      <c r="X16" s="24"/>
      <c r="Y16" s="27" t="s">
        <v>1334</v>
      </c>
      <c r="Z16" s="27">
        <f ca="1">COUNTIFS(LIBRO_SOCIOS!$X:$X,"&gt;30",LIBRO_SOCIOS!$X:$X,"&lt;36",LIBRO_SOCIOS!$M:$M,"ASCAZ HOSPITALARIA")</f>
        <v>11</v>
      </c>
      <c r="AA16" s="28">
        <f t="shared" ca="1" si="9"/>
        <v>0.10091743119266056</v>
      </c>
      <c r="AB16" s="28">
        <f t="shared" ca="1" si="10"/>
        <v>0.19266055045871561</v>
      </c>
      <c r="AC16" s="24"/>
      <c r="AD16" s="27" t="s">
        <v>1334</v>
      </c>
      <c r="AE16" s="27">
        <f t="shared" ca="1" si="11"/>
        <v>12</v>
      </c>
      <c r="AF16" s="28">
        <f t="shared" ca="1" si="12"/>
        <v>8.8235294117647065E-2</v>
      </c>
      <c r="AG16" s="28">
        <f ca="1">AG17+AF16</f>
        <v>0.21323529411764708</v>
      </c>
      <c r="AH16" s="25"/>
      <c r="AK16" s="26"/>
      <c r="AL16" s="27" t="s">
        <v>1334</v>
      </c>
      <c r="AM16" s="27">
        <f t="shared" ca="1" si="14"/>
        <v>1</v>
      </c>
      <c r="AN16" s="28">
        <f t="shared" ca="1" si="15"/>
        <v>2.4390243902439025E-2</v>
      </c>
      <c r="AO16" s="28">
        <f t="shared" ca="1" si="16"/>
        <v>0.46341463414634149</v>
      </c>
      <c r="AP16" s="24"/>
      <c r="AQ16" s="27" t="s">
        <v>1334</v>
      </c>
      <c r="AR16" s="27">
        <f t="shared" ca="1" si="17"/>
        <v>25</v>
      </c>
      <c r="AS16" s="28">
        <f t="shared" ca="1" si="18"/>
        <v>0.13297872340425532</v>
      </c>
      <c r="AT16" s="28">
        <f t="shared" ca="1" si="19"/>
        <v>0.24999999999999997</v>
      </c>
      <c r="AU16" s="24"/>
      <c r="AV16" s="27" t="s">
        <v>1334</v>
      </c>
      <c r="AW16" s="27">
        <f t="shared" ca="1" si="20"/>
        <v>26</v>
      </c>
      <c r="AX16" s="28">
        <f t="shared" ca="1" si="21"/>
        <v>0.11353711790393013</v>
      </c>
      <c r="AY16" s="28">
        <f t="shared" ca="1" si="22"/>
        <v>0.28820960698689957</v>
      </c>
      <c r="AZ16" s="25"/>
    </row>
    <row r="17" spans="1:52" ht="15" customHeight="1" x14ac:dyDescent="0.25">
      <c r="A17" s="26"/>
      <c r="B17" s="27" t="s">
        <v>1335</v>
      </c>
      <c r="C17" s="27">
        <f ca="1">COUNTIFS(LIBRO_SOCIOS!$X:$X,"&gt;25",LIBRO_SOCIOS!$X:$X,"&lt;31",LIBRO_SOCIOS!$M:$M,"ZITRON-ASCAZ ambulatoria")</f>
        <v>0</v>
      </c>
      <c r="D17" s="28">
        <f t="shared" ca="1" si="0"/>
        <v>0</v>
      </c>
      <c r="E17" s="28">
        <f t="shared" ca="1" si="1"/>
        <v>0.78571428571428559</v>
      </c>
      <c r="F17" s="24"/>
      <c r="G17" s="27" t="s">
        <v>1335</v>
      </c>
      <c r="H17" s="27">
        <f ca="1">COUNTIFS(LIBRO_SOCIOS!$X:$X,"&gt;25",LIBRO_SOCIOS!$X:$X,"&lt;31",LIBRO_SOCIOS!$M:$M,"ZITRON-ASCAZ HOSPITALARIA")</f>
        <v>3</v>
      </c>
      <c r="I17" s="28">
        <f t="shared" ca="1" si="2"/>
        <v>3.7974683544303799E-2</v>
      </c>
      <c r="J17" s="28">
        <f t="shared" ca="1" si="3"/>
        <v>0.15189873417721519</v>
      </c>
      <c r="K17" s="24"/>
      <c r="L17" s="27" t="s">
        <v>1335</v>
      </c>
      <c r="M17" s="27">
        <f t="shared" ca="1" si="4"/>
        <v>3</v>
      </c>
      <c r="N17" s="28">
        <f t="shared" ca="1" si="5"/>
        <v>3.2258064516129031E-2</v>
      </c>
      <c r="O17" s="28">
        <f t="shared" ca="1" si="6"/>
        <v>0.24731182795698928</v>
      </c>
      <c r="P17" s="25"/>
      <c r="S17" s="26"/>
      <c r="T17" s="27" t="s">
        <v>1335</v>
      </c>
      <c r="U17" s="27">
        <f ca="1">COUNTIFS(LIBRO_SOCIOS!$X:$X,"&gt;25",LIBRO_SOCIOS!$X:$X,"&lt;31",LIBRO_SOCIOS!$M:$M,"ASCAZ ambulatoria")</f>
        <v>2</v>
      </c>
      <c r="V17" s="28">
        <f t="shared" ca="1" si="7"/>
        <v>7.407407407407407E-2</v>
      </c>
      <c r="W17" s="28">
        <f t="shared" ca="1" si="8"/>
        <v>0.25925925925925924</v>
      </c>
      <c r="X17" s="24"/>
      <c r="Y17" s="27" t="s">
        <v>1335</v>
      </c>
      <c r="Z17" s="27">
        <f ca="1">COUNTIFS(LIBRO_SOCIOS!$X:$X,"&gt;25",LIBRO_SOCIOS!$X:$X,"&lt;31",LIBRO_SOCIOS!$M:$M,"ASCAZ HOSPITALARIA")</f>
        <v>3</v>
      </c>
      <c r="AA17" s="28">
        <f t="shared" ca="1" si="9"/>
        <v>2.7522935779816515E-2</v>
      </c>
      <c r="AB17" s="28">
        <f t="shared" ca="1" si="10"/>
        <v>9.1743119266055051E-2</v>
      </c>
      <c r="AC17" s="24"/>
      <c r="AD17" s="27" t="s">
        <v>1335</v>
      </c>
      <c r="AE17" s="27">
        <f t="shared" ca="1" si="11"/>
        <v>5</v>
      </c>
      <c r="AF17" s="28">
        <f t="shared" ca="1" si="12"/>
        <v>3.6764705882352942E-2</v>
      </c>
      <c r="AG17" s="28">
        <f t="shared" ca="1" si="13"/>
        <v>0.125</v>
      </c>
      <c r="AH17" s="25"/>
      <c r="AK17" s="26"/>
      <c r="AL17" s="27" t="s">
        <v>1335</v>
      </c>
      <c r="AM17" s="27">
        <f t="shared" ca="1" si="14"/>
        <v>2</v>
      </c>
      <c r="AN17" s="28">
        <f t="shared" ca="1" si="15"/>
        <v>4.878048780487805E-2</v>
      </c>
      <c r="AO17" s="28">
        <f t="shared" ca="1" si="16"/>
        <v>0.43902439024390244</v>
      </c>
      <c r="AP17" s="24"/>
      <c r="AQ17" s="27" t="s">
        <v>1335</v>
      </c>
      <c r="AR17" s="27">
        <f t="shared" ca="1" si="17"/>
        <v>6</v>
      </c>
      <c r="AS17" s="28">
        <f t="shared" ca="1" si="18"/>
        <v>3.1914893617021274E-2</v>
      </c>
      <c r="AT17" s="28">
        <f t="shared" ca="1" si="19"/>
        <v>0.11702127659574466</v>
      </c>
      <c r="AU17" s="24"/>
      <c r="AV17" s="27" t="s">
        <v>1335</v>
      </c>
      <c r="AW17" s="27">
        <f t="shared" ca="1" si="20"/>
        <v>8</v>
      </c>
      <c r="AX17" s="28">
        <f t="shared" ca="1" si="21"/>
        <v>3.4934497816593885E-2</v>
      </c>
      <c r="AY17" s="28">
        <f t="shared" ca="1" si="22"/>
        <v>0.17467248908296942</v>
      </c>
      <c r="AZ17" s="25"/>
    </row>
    <row r="18" spans="1:52" ht="15.75" customHeight="1" x14ac:dyDescent="0.25">
      <c r="A18" s="26"/>
      <c r="B18" s="27" t="s">
        <v>1336</v>
      </c>
      <c r="C18" s="27">
        <f ca="1">COUNTIFS(LIBRO_SOCIOS!$X:$X,"&gt;20",LIBRO_SOCIOS!$X:$X,"&lt;26",LIBRO_SOCIOS!$M:$M,"ZITRON-ASCAZ ambulatoria")</f>
        <v>0</v>
      </c>
      <c r="D18" s="28">
        <f t="shared" ca="1" si="0"/>
        <v>0</v>
      </c>
      <c r="E18" s="28">
        <f t="shared" ca="1" si="1"/>
        <v>0.78571428571428559</v>
      </c>
      <c r="F18" s="24"/>
      <c r="G18" s="27" t="s">
        <v>1336</v>
      </c>
      <c r="H18" s="27">
        <f ca="1">COUNTIFS(LIBRO_SOCIOS!$X:$X,"&gt;20",LIBRO_SOCIOS!$X:$X,"&lt;26",LIBRO_SOCIOS!$M:$M,"ZITRON-ASCAZ HOSPITALARIA")</f>
        <v>2</v>
      </c>
      <c r="I18" s="28">
        <f t="shared" ca="1" si="2"/>
        <v>2.5316455696202531E-2</v>
      </c>
      <c r="J18" s="28">
        <f t="shared" ca="1" si="3"/>
        <v>0.11392405063291139</v>
      </c>
      <c r="K18" s="24"/>
      <c r="L18" s="27" t="s">
        <v>1336</v>
      </c>
      <c r="M18" s="27">
        <f t="shared" ca="1" si="4"/>
        <v>2</v>
      </c>
      <c r="N18" s="28">
        <f t="shared" ca="1" si="5"/>
        <v>2.1505376344086023E-2</v>
      </c>
      <c r="O18" s="28">
        <f t="shared" ca="1" si="6"/>
        <v>0.21505376344086025</v>
      </c>
      <c r="P18" s="25"/>
      <c r="S18" s="26"/>
      <c r="T18" s="27" t="s">
        <v>1336</v>
      </c>
      <c r="U18" s="27">
        <f ca="1">COUNTIFS(LIBRO_SOCIOS!$X:$X,"&gt;20",LIBRO_SOCIOS!$X:$X,"&lt;26",LIBRO_SOCIOS!$M:$M,"ASCAZ ambulatoria")</f>
        <v>1</v>
      </c>
      <c r="V18" s="28">
        <f t="shared" ca="1" si="7"/>
        <v>3.7037037037037035E-2</v>
      </c>
      <c r="W18" s="28">
        <f t="shared" ca="1" si="8"/>
        <v>0.18518518518518517</v>
      </c>
      <c r="X18" s="24"/>
      <c r="Y18" s="27" t="s">
        <v>1336</v>
      </c>
      <c r="Z18" s="27">
        <f ca="1">COUNTIFS(LIBRO_SOCIOS!$X:$X,"&gt;20",LIBRO_SOCIOS!$X:$X,"&lt;26",LIBRO_SOCIOS!$M:$M,"ASCAZ HOSPITALARIA")</f>
        <v>1</v>
      </c>
      <c r="AA18" s="28">
        <f t="shared" ca="1" si="9"/>
        <v>9.1743119266055051E-3</v>
      </c>
      <c r="AB18" s="28">
        <f t="shared" ca="1" si="10"/>
        <v>6.4220183486238536E-2</v>
      </c>
      <c r="AC18" s="24"/>
      <c r="AD18" s="27" t="s">
        <v>1336</v>
      </c>
      <c r="AE18" s="27">
        <f t="shared" ca="1" si="11"/>
        <v>2</v>
      </c>
      <c r="AF18" s="28">
        <f t="shared" ca="1" si="12"/>
        <v>1.4705882352941176E-2</v>
      </c>
      <c r="AG18" s="28">
        <f t="shared" ca="1" si="13"/>
        <v>8.8235294117647065E-2</v>
      </c>
      <c r="AH18" s="25"/>
      <c r="AK18" s="26"/>
      <c r="AL18" s="27" t="s">
        <v>1336</v>
      </c>
      <c r="AM18" s="27">
        <f t="shared" ca="1" si="14"/>
        <v>1</v>
      </c>
      <c r="AN18" s="28">
        <f t="shared" ca="1" si="15"/>
        <v>2.4390243902439025E-2</v>
      </c>
      <c r="AO18" s="28">
        <f t="shared" ca="1" si="16"/>
        <v>0.3902439024390244</v>
      </c>
      <c r="AP18" s="24"/>
      <c r="AQ18" s="27" t="s">
        <v>1336</v>
      </c>
      <c r="AR18" s="27">
        <f t="shared" ca="1" si="17"/>
        <v>3</v>
      </c>
      <c r="AS18" s="28">
        <f t="shared" ca="1" si="18"/>
        <v>1.5957446808510637E-2</v>
      </c>
      <c r="AT18" s="28">
        <f t="shared" ca="1" si="19"/>
        <v>8.5106382978723388E-2</v>
      </c>
      <c r="AU18" s="24"/>
      <c r="AV18" s="27" t="s">
        <v>1336</v>
      </c>
      <c r="AW18" s="27">
        <f t="shared" ca="1" si="20"/>
        <v>4</v>
      </c>
      <c r="AX18" s="28">
        <f t="shared" ca="1" si="21"/>
        <v>1.7467248908296942E-2</v>
      </c>
      <c r="AY18" s="28">
        <f t="shared" ca="1" si="22"/>
        <v>0.13973799126637554</v>
      </c>
      <c r="AZ18" s="25"/>
    </row>
    <row r="19" spans="1:52" ht="15.75" customHeight="1" x14ac:dyDescent="0.25">
      <c r="A19" s="26"/>
      <c r="B19" s="29" t="s">
        <v>1337</v>
      </c>
      <c r="C19" s="27">
        <f ca="1">COUNTIFS(LIBRO_SOCIOS!$X:$X,"&gt;10",LIBRO_SOCIOS!$X:$X,"&lt;16",LIBRO_SOCIOS!$M:$M,"ZITRON-ASCAZ ambulatoria")</f>
        <v>2</v>
      </c>
      <c r="D19" s="28">
        <f t="shared" ca="1" si="0"/>
        <v>0.14285714285714285</v>
      </c>
      <c r="E19" s="28">
        <f t="shared" ca="1" si="1"/>
        <v>0.78571428571428559</v>
      </c>
      <c r="F19" s="24"/>
      <c r="G19" s="29" t="s">
        <v>1337</v>
      </c>
      <c r="H19" s="27">
        <f ca="1">COUNTIFS(LIBRO_SOCIOS!$X:$X,"&gt;10",LIBRO_SOCIOS!$X:$X,"&lt;16",LIBRO_SOCIOS!$M:$M,"ZITRON-ASCAZ HOSPITALARIA")</f>
        <v>1</v>
      </c>
      <c r="I19" s="28">
        <f t="shared" ca="1" si="2"/>
        <v>1.2658227848101266E-2</v>
      </c>
      <c r="J19" s="28">
        <f t="shared" ca="1" si="3"/>
        <v>8.8607594936708861E-2</v>
      </c>
      <c r="K19" s="24"/>
      <c r="L19" s="29" t="s">
        <v>1337</v>
      </c>
      <c r="M19" s="27">
        <f t="shared" ca="1" si="4"/>
        <v>3</v>
      </c>
      <c r="N19" s="28">
        <f ca="1">(M19/$M$25)</f>
        <v>3.2258064516129031E-2</v>
      </c>
      <c r="O19" s="28">
        <f t="shared" ca="1" si="6"/>
        <v>0.19354838709677422</v>
      </c>
      <c r="P19" s="25"/>
      <c r="S19" s="26"/>
      <c r="T19" s="29" t="s">
        <v>1337</v>
      </c>
      <c r="U19" s="27">
        <f ca="1">COUNTIFS(LIBRO_SOCIOS!$X:$X,"&gt;10",LIBRO_SOCIOS!$X:$X,"&lt;16",LIBRO_SOCIOS!$M:$M,"ASCAZ ambulatoria")</f>
        <v>0</v>
      </c>
      <c r="V19" s="28">
        <f t="shared" ca="1" si="7"/>
        <v>0</v>
      </c>
      <c r="W19" s="28">
        <f t="shared" ca="1" si="8"/>
        <v>0.14814814814814814</v>
      </c>
      <c r="X19" s="24"/>
      <c r="Y19" s="29" t="s">
        <v>1337</v>
      </c>
      <c r="Z19" s="27">
        <f ca="1">COUNTIFS(LIBRO_SOCIOS!$X:$X,"&gt;10",LIBRO_SOCIOS!$X:$X,"&lt;16",LIBRO_SOCIOS!$M:$M,"ASCAZ HOSPITALARIA")</f>
        <v>0</v>
      </c>
      <c r="AA19" s="28">
        <f t="shared" ca="1" si="9"/>
        <v>0</v>
      </c>
      <c r="AB19" s="28">
        <f t="shared" ca="1" si="10"/>
        <v>5.5045871559633031E-2</v>
      </c>
      <c r="AC19" s="24"/>
      <c r="AD19" s="29" t="s">
        <v>1337</v>
      </c>
      <c r="AE19" s="27">
        <f t="shared" ca="1" si="11"/>
        <v>0</v>
      </c>
      <c r="AF19" s="28">
        <f t="shared" ca="1" si="12"/>
        <v>0</v>
      </c>
      <c r="AG19" s="28">
        <f t="shared" ca="1" si="13"/>
        <v>7.3529411764705885E-2</v>
      </c>
      <c r="AH19" s="25"/>
      <c r="AK19" s="26"/>
      <c r="AL19" s="29" t="s">
        <v>1337</v>
      </c>
      <c r="AM19" s="27">
        <f t="shared" ca="1" si="14"/>
        <v>2</v>
      </c>
      <c r="AN19" s="28">
        <f t="shared" ca="1" si="15"/>
        <v>4.878048780487805E-2</v>
      </c>
      <c r="AO19" s="28">
        <f t="shared" ca="1" si="16"/>
        <v>0.36585365853658536</v>
      </c>
      <c r="AP19" s="24"/>
      <c r="AQ19" s="29" t="s">
        <v>1337</v>
      </c>
      <c r="AR19" s="27">
        <f t="shared" ca="1" si="17"/>
        <v>1</v>
      </c>
      <c r="AS19" s="28">
        <f t="shared" ca="1" si="18"/>
        <v>5.3191489361702126E-3</v>
      </c>
      <c r="AT19" s="28">
        <f t="shared" ca="1" si="19"/>
        <v>6.9148936170212755E-2</v>
      </c>
      <c r="AU19" s="24"/>
      <c r="AV19" s="29" t="s">
        <v>1337</v>
      </c>
      <c r="AW19" s="27">
        <f t="shared" ca="1" si="20"/>
        <v>3</v>
      </c>
      <c r="AX19" s="28">
        <f t="shared" ca="1" si="21"/>
        <v>1.3100436681222707E-2</v>
      </c>
      <c r="AY19" s="28">
        <f t="shared" ca="1" si="22"/>
        <v>0.1222707423580786</v>
      </c>
      <c r="AZ19" s="25"/>
    </row>
    <row r="20" spans="1:52" ht="15.75" customHeight="1" x14ac:dyDescent="0.25">
      <c r="A20" s="26"/>
      <c r="B20" s="29" t="s">
        <v>1338</v>
      </c>
      <c r="C20" s="27">
        <f ca="1">COUNTIFS(LIBRO_SOCIOS!$X:$X,"&gt;15",LIBRO_SOCIOS!$X:$X,"&lt;21",LIBRO_SOCIOS!$M:$M,"ZITRON-ASCAZ ambulatoria")</f>
        <v>1</v>
      </c>
      <c r="D20" s="28">
        <f t="shared" ca="1" si="0"/>
        <v>7.1428571428571425E-2</v>
      </c>
      <c r="E20" s="28">
        <f ca="1">E21+D20</f>
        <v>0.64285714285714279</v>
      </c>
      <c r="F20" s="24"/>
      <c r="G20" s="29" t="s">
        <v>1338</v>
      </c>
      <c r="H20" s="27">
        <f ca="1">COUNTIFS(LIBRO_SOCIOS!$X:$X,"&gt;15",LIBRO_SOCIOS!$X:$X,"&lt;21",LIBRO_SOCIOS!$M:$M,"ZITRON-ASCAZ HOSPITALARIA")</f>
        <v>1</v>
      </c>
      <c r="I20" s="28">
        <f t="shared" ca="1" si="2"/>
        <v>1.2658227848101266E-2</v>
      </c>
      <c r="J20" s="28">
        <f ca="1">J21+I20</f>
        <v>7.5949367088607597E-2</v>
      </c>
      <c r="K20" s="24"/>
      <c r="L20" s="29" t="s">
        <v>1338</v>
      </c>
      <c r="M20" s="27">
        <f t="shared" ca="1" si="4"/>
        <v>2</v>
      </c>
      <c r="N20" s="28">
        <f t="shared" ca="1" si="5"/>
        <v>2.1505376344086023E-2</v>
      </c>
      <c r="O20" s="28">
        <f ca="1">O21+N20</f>
        <v>0.16129032258064518</v>
      </c>
      <c r="P20" s="25"/>
      <c r="S20" s="26"/>
      <c r="T20" s="29" t="s">
        <v>1338</v>
      </c>
      <c r="U20" s="27">
        <f ca="1">COUNTIFS(LIBRO_SOCIOS!$X:$X,"&gt;15",LIBRO_SOCIOS!$X:$X,"&lt;21",LIBRO_SOCIOS!$M:$M,"ASCAZ ambulatoria")</f>
        <v>0</v>
      </c>
      <c r="V20" s="28">
        <f t="shared" ca="1" si="7"/>
        <v>0</v>
      </c>
      <c r="W20" s="28">
        <f ca="1">W21+V20</f>
        <v>0.14814814814814814</v>
      </c>
      <c r="X20" s="24"/>
      <c r="Y20" s="29" t="s">
        <v>1338</v>
      </c>
      <c r="Z20" s="27">
        <f ca="1">COUNTIFS(LIBRO_SOCIOS!$X:$X,"&gt;15",LIBRO_SOCIOS!$X:$X,"&lt;21",LIBRO_SOCIOS!$M:$M,"ASCAZ HOSPITALARIA")</f>
        <v>2</v>
      </c>
      <c r="AA20" s="28">
        <f t="shared" ca="1" si="9"/>
        <v>1.834862385321101E-2</v>
      </c>
      <c r="AB20" s="28">
        <f ca="1">AB21+AA20</f>
        <v>5.5045871559633031E-2</v>
      </c>
      <c r="AC20" s="24"/>
      <c r="AD20" s="29" t="s">
        <v>1338</v>
      </c>
      <c r="AE20" s="27">
        <f t="shared" ca="1" si="11"/>
        <v>2</v>
      </c>
      <c r="AF20" s="28">
        <f t="shared" ca="1" si="12"/>
        <v>1.4705882352941176E-2</v>
      </c>
      <c r="AG20" s="28">
        <f ca="1">AG21+AF20</f>
        <v>7.3529411764705885E-2</v>
      </c>
      <c r="AH20" s="25"/>
      <c r="AK20" s="26"/>
      <c r="AL20" s="29" t="s">
        <v>1338</v>
      </c>
      <c r="AM20" s="27">
        <f t="shared" ca="1" si="14"/>
        <v>1</v>
      </c>
      <c r="AN20" s="28">
        <f t="shared" ca="1" si="15"/>
        <v>2.4390243902439025E-2</v>
      </c>
      <c r="AO20" s="28">
        <f ca="1">AO21+AN20</f>
        <v>0.31707317073170732</v>
      </c>
      <c r="AP20" s="24"/>
      <c r="AQ20" s="29" t="s">
        <v>1338</v>
      </c>
      <c r="AR20" s="27">
        <f t="shared" ca="1" si="17"/>
        <v>3</v>
      </c>
      <c r="AS20" s="28">
        <f t="shared" ca="1" si="18"/>
        <v>1.5957446808510637E-2</v>
      </c>
      <c r="AT20" s="28">
        <f ca="1">AT21+AS20</f>
        <v>6.3829787234042548E-2</v>
      </c>
      <c r="AU20" s="24"/>
      <c r="AV20" s="29" t="s">
        <v>1338</v>
      </c>
      <c r="AW20" s="27">
        <f t="shared" ca="1" si="20"/>
        <v>4</v>
      </c>
      <c r="AX20" s="28">
        <f t="shared" ca="1" si="21"/>
        <v>1.7467248908296942E-2</v>
      </c>
      <c r="AY20" s="28">
        <f ca="1">AY21+AX20</f>
        <v>0.10917030567685589</v>
      </c>
      <c r="AZ20" s="25"/>
    </row>
    <row r="21" spans="1:52" ht="15.75" customHeight="1" x14ac:dyDescent="0.25">
      <c r="A21" s="26"/>
      <c r="B21" s="29" t="s">
        <v>1339</v>
      </c>
      <c r="C21" s="27">
        <f ca="1">COUNTIFS(LIBRO_SOCIOS!$X:$X,"&gt;5",LIBRO_SOCIOS!$X:$X,"&lt;11",LIBRO_SOCIOS!$M:$M,"ZITRON-ASCAZ ambulatoria")</f>
        <v>4</v>
      </c>
      <c r="D21" s="28">
        <f t="shared" ca="1" si="0"/>
        <v>0.2857142857142857</v>
      </c>
      <c r="E21" s="28">
        <f ca="1">D22+D21</f>
        <v>0.5714285714285714</v>
      </c>
      <c r="F21" s="24"/>
      <c r="G21" s="29" t="s">
        <v>1339</v>
      </c>
      <c r="H21" s="27">
        <f ca="1">COUNTIFS(LIBRO_SOCIOS!$X:$X,"&gt;5",LIBRO_SOCIOS!$X:$X,"&lt;11",LIBRO_SOCIOS!$M:$M,"ZITRON-ASCAZ HOSPITALARIA")</f>
        <v>4</v>
      </c>
      <c r="I21" s="28">
        <f ca="1">(H21/$H$25)</f>
        <v>5.0632911392405063E-2</v>
      </c>
      <c r="J21" s="28">
        <f ca="1">I22+I21</f>
        <v>6.3291139240506333E-2</v>
      </c>
      <c r="K21" s="24"/>
      <c r="L21" s="29" t="s">
        <v>1339</v>
      </c>
      <c r="M21" s="27">
        <f t="shared" ca="1" si="4"/>
        <v>8</v>
      </c>
      <c r="N21" s="28">
        <f ca="1">(M21/$M$25)</f>
        <v>8.6021505376344093E-2</v>
      </c>
      <c r="O21" s="28">
        <f ca="1">N22+N21</f>
        <v>0.13978494623655915</v>
      </c>
      <c r="P21" s="25"/>
      <c r="S21" s="26"/>
      <c r="T21" s="29" t="s">
        <v>1339</v>
      </c>
      <c r="U21" s="27">
        <f ca="1">COUNTIFS(LIBRO_SOCIOS!$X:$X,"&gt;5",LIBRO_SOCIOS!$X:$X,"&lt;11",LIBRO_SOCIOS!$M:$M,"ASCAZ ambulatoria")</f>
        <v>2</v>
      </c>
      <c r="V21" s="28">
        <f t="shared" ca="1" si="7"/>
        <v>7.407407407407407E-2</v>
      </c>
      <c r="W21" s="28">
        <f ca="1">V22+V21</f>
        <v>0.14814814814814814</v>
      </c>
      <c r="X21" s="24"/>
      <c r="Y21" s="29" t="s">
        <v>1339</v>
      </c>
      <c r="Z21" s="27">
        <f ca="1">COUNTIFS(LIBRO_SOCIOS!$X:$X,"&gt;5",LIBRO_SOCIOS!$X:$X,"&lt;11",LIBRO_SOCIOS!$M:$M,"ASCAZ HOSPITALARIA")</f>
        <v>2</v>
      </c>
      <c r="AA21" s="28">
        <f t="shared" ca="1" si="9"/>
        <v>1.834862385321101E-2</v>
      </c>
      <c r="AB21" s="28">
        <f ca="1">AA22+AA21</f>
        <v>3.669724770642202E-2</v>
      </c>
      <c r="AC21" s="24"/>
      <c r="AD21" s="29" t="s">
        <v>1339</v>
      </c>
      <c r="AE21" s="27">
        <f t="shared" ca="1" si="11"/>
        <v>4</v>
      </c>
      <c r="AF21" s="28">
        <f t="shared" ca="1" si="12"/>
        <v>2.9411764705882353E-2</v>
      </c>
      <c r="AG21" s="28">
        <f ca="1">AF22+AF21</f>
        <v>5.8823529411764705E-2</v>
      </c>
      <c r="AH21" s="25"/>
      <c r="AK21" s="26"/>
      <c r="AL21" s="29" t="s">
        <v>1339</v>
      </c>
      <c r="AM21" s="27">
        <f t="shared" ca="1" si="14"/>
        <v>6</v>
      </c>
      <c r="AN21" s="28">
        <f ca="1">(AM21/$AM$25)</f>
        <v>0.14634146341463414</v>
      </c>
      <c r="AO21" s="28">
        <f ca="1">AN22+AN21</f>
        <v>0.29268292682926828</v>
      </c>
      <c r="AP21" s="24"/>
      <c r="AQ21" s="29" t="s">
        <v>1339</v>
      </c>
      <c r="AR21" s="27">
        <f t="shared" ca="1" si="17"/>
        <v>6</v>
      </c>
      <c r="AS21" s="28">
        <f t="shared" ca="1" si="18"/>
        <v>3.1914893617021274E-2</v>
      </c>
      <c r="AT21" s="28">
        <f ca="1">AS22+AS21</f>
        <v>4.7872340425531915E-2</v>
      </c>
      <c r="AU21" s="24"/>
      <c r="AV21" s="29" t="s">
        <v>1339</v>
      </c>
      <c r="AW21" s="27">
        <f t="shared" ca="1" si="20"/>
        <v>12</v>
      </c>
      <c r="AX21" s="28">
        <f t="shared" ca="1" si="21"/>
        <v>5.2401746724890827E-2</v>
      </c>
      <c r="AY21" s="28">
        <f ca="1">AX22+AX21</f>
        <v>9.1703056768558944E-2</v>
      </c>
      <c r="AZ21" s="25"/>
    </row>
    <row r="22" spans="1:52" ht="15.75" customHeight="1" x14ac:dyDescent="0.25">
      <c r="A22" s="26"/>
      <c r="B22" s="30" t="s">
        <v>1340</v>
      </c>
      <c r="C22" s="27">
        <f ca="1">COUNTIFS(LIBRO_SOCIOS!$X:$X,"&gt;0",LIBRO_SOCIOS!$X:$X,"&lt;6",LIBRO_SOCIOS!$M:$M,"ZITRON-ASCAZ ambulatoria")</f>
        <v>4</v>
      </c>
      <c r="D22" s="28">
        <f ca="1">(C22/$C$25)</f>
        <v>0.2857142857142857</v>
      </c>
      <c r="F22" s="24"/>
      <c r="G22" s="30" t="s">
        <v>1340</v>
      </c>
      <c r="H22" s="27">
        <f ca="1">COUNTIFS(LIBRO_SOCIOS!$X:$X,"&gt;0",LIBRO_SOCIOS!$X:$X,"&lt;6",LIBRO_SOCIOS!$M:$M,"ZITRON-ASCAZ HOSPITALARIA")</f>
        <v>1</v>
      </c>
      <c r="I22" s="28">
        <f ca="1">(H22/$H$25)</f>
        <v>1.2658227848101266E-2</v>
      </c>
      <c r="K22" s="24"/>
      <c r="L22" s="30" t="s">
        <v>1340</v>
      </c>
      <c r="M22" s="27">
        <f t="shared" ref="M22" ca="1" si="23">C22+H22</f>
        <v>5</v>
      </c>
      <c r="N22" s="28">
        <f ca="1">(M22/$M$25)</f>
        <v>5.3763440860215055E-2</v>
      </c>
      <c r="P22" s="25"/>
      <c r="S22" s="26"/>
      <c r="T22" s="30" t="s">
        <v>1340</v>
      </c>
      <c r="U22" s="27">
        <f ca="1">COUNTIFS(LIBRO_SOCIOS!$X:$X,"&gt;0",LIBRO_SOCIOS!$X:$X,"&lt;6",LIBRO_SOCIOS!$M:$M,"ASCAZ ambulatoria")</f>
        <v>2</v>
      </c>
      <c r="V22" s="28">
        <f ca="1">(U22/$U$25)</f>
        <v>7.407407407407407E-2</v>
      </c>
      <c r="X22" s="24"/>
      <c r="Y22" s="30" t="s">
        <v>1340</v>
      </c>
      <c r="Z22" s="27">
        <f ca="1">COUNTIFS(LIBRO_SOCIOS!$X:$X,"&gt;0",LIBRO_SOCIOS!$X:$X,"&lt;6",LIBRO_SOCIOS!$M:$M,"ASCAZ HOSPITALARIA")</f>
        <v>2</v>
      </c>
      <c r="AA22" s="28">
        <f ca="1">(Z22/$Z$25)</f>
        <v>1.834862385321101E-2</v>
      </c>
      <c r="AC22" s="24"/>
      <c r="AD22" s="30" t="s">
        <v>1340</v>
      </c>
      <c r="AE22" s="27">
        <f t="shared" ca="1" si="11"/>
        <v>4</v>
      </c>
      <c r="AF22" s="28">
        <f ca="1">(AE22/$AE$25)</f>
        <v>2.9411764705882353E-2</v>
      </c>
      <c r="AH22" s="25"/>
      <c r="AK22" s="26"/>
      <c r="AL22" s="30" t="s">
        <v>1340</v>
      </c>
      <c r="AM22" s="27">
        <f t="shared" ref="AM22" ca="1" si="24">C22+U22</f>
        <v>6</v>
      </c>
      <c r="AN22" s="28">
        <f ca="1">(AM22/$AM$25)</f>
        <v>0.14634146341463414</v>
      </c>
      <c r="AP22" s="24"/>
      <c r="AQ22" s="30" t="s">
        <v>1340</v>
      </c>
      <c r="AR22" s="27">
        <f t="shared" ref="AR22" ca="1" si="25">Z22+H22</f>
        <v>3</v>
      </c>
      <c r="AS22" s="28">
        <f ca="1">(AR22/$AR$25)</f>
        <v>1.5957446808510637E-2</v>
      </c>
      <c r="AU22" s="24"/>
      <c r="AV22" s="30" t="s">
        <v>1340</v>
      </c>
      <c r="AW22" s="27">
        <f t="shared" ref="AW22" ca="1" si="26">AM22+AR22</f>
        <v>9</v>
      </c>
      <c r="AX22" s="28">
        <f ca="1">(AW22/$AW$25)</f>
        <v>3.9301310043668124E-2</v>
      </c>
      <c r="AZ22" s="25"/>
    </row>
    <row r="23" spans="1:52" ht="15.75" customHeight="1" x14ac:dyDescent="0.25">
      <c r="A23" s="26"/>
      <c r="F23" s="24"/>
      <c r="I23" s="31"/>
      <c r="J23" s="31"/>
      <c r="K23" s="24"/>
      <c r="P23" s="25"/>
      <c r="S23" s="26"/>
      <c r="X23" s="24"/>
      <c r="AA23" s="31"/>
      <c r="AB23" s="31"/>
      <c r="AC23" s="24"/>
      <c r="AH23" s="25"/>
      <c r="AK23" s="26"/>
      <c r="AP23" s="24"/>
      <c r="AU23" s="24"/>
      <c r="AZ23" s="25"/>
    </row>
    <row r="24" spans="1:52" x14ac:dyDescent="0.25">
      <c r="A24" s="26"/>
      <c r="B24" s="27"/>
      <c r="C24" s="27"/>
      <c r="D24" s="28"/>
      <c r="E24" s="28"/>
      <c r="F24" s="24"/>
      <c r="G24" s="27"/>
      <c r="H24" s="27"/>
      <c r="I24" s="32"/>
      <c r="J24" s="28"/>
      <c r="K24" s="24"/>
      <c r="L24" s="27"/>
      <c r="M24" s="27"/>
      <c r="N24" s="28"/>
      <c r="O24" s="28"/>
      <c r="P24" s="25"/>
      <c r="S24" s="26"/>
      <c r="T24" s="27"/>
      <c r="U24" s="27"/>
      <c r="V24" s="28"/>
      <c r="W24" s="28"/>
      <c r="X24" s="24"/>
      <c r="Y24" s="27"/>
      <c r="Z24" s="27"/>
      <c r="AA24" s="32"/>
      <c r="AB24" s="28"/>
      <c r="AC24" s="24"/>
      <c r="AD24" s="27"/>
      <c r="AE24" s="27"/>
      <c r="AF24" s="28"/>
      <c r="AG24" s="28"/>
      <c r="AH24" s="25"/>
      <c r="AK24" s="26"/>
      <c r="AL24" s="27"/>
      <c r="AM24" s="27"/>
      <c r="AN24" s="32"/>
      <c r="AO24" s="28"/>
      <c r="AP24" s="24"/>
      <c r="AQ24" s="27"/>
      <c r="AR24" s="27"/>
      <c r="AS24" s="32"/>
      <c r="AT24" s="28"/>
      <c r="AU24" s="24"/>
      <c r="AV24" s="27"/>
      <c r="AW24" s="27"/>
      <c r="AX24" s="32"/>
      <c r="AY24" s="28"/>
      <c r="AZ24" s="25"/>
    </row>
    <row r="25" spans="1:52" ht="15.75" customHeight="1" x14ac:dyDescent="0.25">
      <c r="A25" s="26"/>
      <c r="B25" s="27" t="s">
        <v>1232</v>
      </c>
      <c r="C25" s="27">
        <f ca="1">SUM(C5:C22)</f>
        <v>14</v>
      </c>
      <c r="D25" s="28"/>
      <c r="E25" s="32"/>
      <c r="F25" s="24"/>
      <c r="G25" s="27" t="s">
        <v>1232</v>
      </c>
      <c r="H25" s="27">
        <f ca="1">SUM(H5:H22)</f>
        <v>79</v>
      </c>
      <c r="I25" s="32"/>
      <c r="J25" s="32"/>
      <c r="K25" s="24"/>
      <c r="L25" s="27" t="s">
        <v>1232</v>
      </c>
      <c r="M25" s="27">
        <f ca="1">SUM(M5:M22)</f>
        <v>93</v>
      </c>
      <c r="N25" s="32"/>
      <c r="O25" s="32"/>
      <c r="P25" s="25"/>
      <c r="S25" s="26"/>
      <c r="T25" s="27" t="s">
        <v>1232</v>
      </c>
      <c r="U25" s="27">
        <f ca="1">SUM(U5:U22)</f>
        <v>27</v>
      </c>
      <c r="V25" s="28"/>
      <c r="W25" s="32"/>
      <c r="X25" s="24"/>
      <c r="Y25" s="27" t="s">
        <v>1232</v>
      </c>
      <c r="Z25" s="27">
        <f ca="1">SUM(Z5:Z22)</f>
        <v>109</v>
      </c>
      <c r="AA25" s="32"/>
      <c r="AB25" s="32"/>
      <c r="AC25" s="24"/>
      <c r="AD25" s="27" t="s">
        <v>1232</v>
      </c>
      <c r="AE25" s="27">
        <f ca="1">SUM(AE5:AE22)</f>
        <v>136</v>
      </c>
      <c r="AF25" s="32"/>
      <c r="AG25" s="32"/>
      <c r="AH25" s="25"/>
      <c r="AK25" s="26"/>
      <c r="AL25" s="27" t="s">
        <v>1232</v>
      </c>
      <c r="AM25" s="27">
        <f ca="1">SUM(AM5:AM22)</f>
        <v>41</v>
      </c>
      <c r="AN25" s="28"/>
      <c r="AO25" s="32"/>
      <c r="AP25" s="24"/>
      <c r="AQ25" s="27" t="s">
        <v>1232</v>
      </c>
      <c r="AR25" s="27">
        <f ca="1">SUM(AR5:AR22)</f>
        <v>188</v>
      </c>
      <c r="AS25" s="32"/>
      <c r="AT25" s="32"/>
      <c r="AU25" s="24"/>
      <c r="AV25" s="27" t="s">
        <v>1232</v>
      </c>
      <c r="AW25" s="27">
        <f ca="1">AM25+AR25</f>
        <v>229</v>
      </c>
      <c r="AX25" s="32"/>
      <c r="AY25" s="32"/>
      <c r="AZ25" s="25"/>
    </row>
    <row r="26" spans="1:52" ht="15.75" customHeight="1" x14ac:dyDescent="0.25">
      <c r="A26" s="26"/>
      <c r="B26" s="27"/>
      <c r="C26" s="33"/>
      <c r="D26" s="32"/>
      <c r="E26" s="32"/>
      <c r="F26" s="24"/>
      <c r="G26" s="27"/>
      <c r="H26" s="27"/>
      <c r="I26" s="32"/>
      <c r="J26" s="32"/>
      <c r="K26" s="24"/>
      <c r="L26" s="27"/>
      <c r="M26" s="33"/>
      <c r="N26" s="32"/>
      <c r="O26" s="32"/>
      <c r="P26" s="25"/>
      <c r="S26" s="26"/>
      <c r="T26" s="27"/>
      <c r="U26" s="33"/>
      <c r="V26" s="32"/>
      <c r="W26" s="32"/>
      <c r="X26" s="24"/>
      <c r="Y26" s="27"/>
      <c r="Z26" s="27"/>
      <c r="AA26" s="32"/>
      <c r="AB26" s="32"/>
      <c r="AC26" s="24"/>
      <c r="AD26" s="27"/>
      <c r="AE26" s="33"/>
      <c r="AF26" s="32"/>
      <c r="AG26" s="32"/>
      <c r="AH26" s="25"/>
      <c r="AK26" s="26"/>
      <c r="AL26" s="27"/>
      <c r="AM26" s="27"/>
      <c r="AN26" s="32"/>
      <c r="AO26" s="32"/>
      <c r="AP26" s="24"/>
      <c r="AQ26" s="27"/>
      <c r="AR26" s="27"/>
      <c r="AS26" s="32"/>
      <c r="AT26" s="32"/>
      <c r="AU26" s="24"/>
      <c r="AV26" s="27"/>
      <c r="AW26" s="27"/>
      <c r="AX26" s="32"/>
      <c r="AY26" s="32"/>
      <c r="AZ26" s="25"/>
    </row>
    <row r="27" spans="1:52" ht="15.75" customHeight="1" x14ac:dyDescent="0.25">
      <c r="A27" s="26"/>
      <c r="B27" s="27"/>
      <c r="C27" s="27" t="s">
        <v>1228</v>
      </c>
      <c r="D27" s="32"/>
      <c r="E27" s="32"/>
      <c r="F27" s="24"/>
      <c r="G27" s="27"/>
      <c r="H27" s="27" t="s">
        <v>1228</v>
      </c>
      <c r="I27" s="32"/>
      <c r="J27" s="32"/>
      <c r="K27" s="24"/>
      <c r="L27" s="27"/>
      <c r="M27" s="27" t="s">
        <v>1228</v>
      </c>
      <c r="N27" s="32"/>
      <c r="O27" s="32"/>
      <c r="P27" s="25"/>
      <c r="S27" s="26"/>
      <c r="T27" s="27"/>
      <c r="U27" s="27" t="s">
        <v>1228</v>
      </c>
      <c r="V27" s="32"/>
      <c r="W27" s="32"/>
      <c r="X27" s="24"/>
      <c r="Y27" s="27"/>
      <c r="Z27" s="27" t="s">
        <v>1228</v>
      </c>
      <c r="AA27" s="32"/>
      <c r="AB27" s="32"/>
      <c r="AC27" s="24"/>
      <c r="AD27" s="27"/>
      <c r="AE27" s="27" t="s">
        <v>1228</v>
      </c>
      <c r="AF27" s="32"/>
      <c r="AG27" s="32"/>
      <c r="AH27" s="25"/>
      <c r="AK27" s="26"/>
      <c r="AL27" s="27"/>
      <c r="AM27" s="27" t="s">
        <v>1228</v>
      </c>
      <c r="AN27" s="32"/>
      <c r="AO27" s="32"/>
      <c r="AP27" s="24"/>
      <c r="AQ27" s="27"/>
      <c r="AR27" s="27" t="s">
        <v>1228</v>
      </c>
      <c r="AS27" s="32"/>
      <c r="AT27" s="32"/>
      <c r="AU27" s="24"/>
      <c r="AV27" s="27"/>
      <c r="AW27" s="27" t="s">
        <v>1228</v>
      </c>
      <c r="AX27" s="32"/>
      <c r="AY27" s="32"/>
      <c r="AZ27" s="25"/>
    </row>
    <row r="28" spans="1:52" ht="15.75" customHeight="1" x14ac:dyDescent="0.25">
      <c r="A28" s="26"/>
      <c r="B28" s="27"/>
      <c r="C28" s="34">
        <f ca="1">((2.5*C22)+(7.5*C21)+(12.5*C20)+(17.5*C19)+(22.5*C18)+(27.5*C17)+(32.5*C16)+(37.5*C15)+(42.5*C14)+(47.5*C13)+(52.5*C12)+(57.5*C11)+(62.5*C10)+(67.5*C9)+(72.5*C8)+(77.5*C7)+(82.5*C6)+(87.5*C5))/C25</f>
        <v>15</v>
      </c>
      <c r="D28" s="32"/>
      <c r="E28" s="32"/>
      <c r="F28" s="24"/>
      <c r="G28" s="27"/>
      <c r="H28" s="34">
        <f ca="1">((2.5*H22)+(7.5*H21)+(12.5*H20)+(17.5*H19)+(22.5*H18)+(27.5*H17)+(32.5*H16)+(37.5*H15)+(42.5*H14)+(47.5*H13)+(52.5*H12)+(57.5*H11)+(62.5*H10)+(67.5*H9)+(72.5*H8)+(77.5*H7)+(82.5*H6)+(87.5*H5))/H25</f>
        <v>38.069620253164558</v>
      </c>
      <c r="I28" s="32"/>
      <c r="J28" s="32"/>
      <c r="K28" s="24"/>
      <c r="L28" s="27"/>
      <c r="M28" s="34">
        <f ca="1">((2.5*M22)+(7.5*M21)+(12.5*M20)+(17.5*M19)+(22.5*M18)+(27.5*M17)+(32.5*M16)+(37.5*M15)+(42.5*M14)+(47.5*M13)+(52.5*M12)+(57.5*M11)+(62.5*M10)+(67.5*M9)+(72.5*M8)+(77.5*M7)+(82.5*M6)+(87.5*M5))/M25</f>
        <v>34.596774193548384</v>
      </c>
      <c r="N28" s="32"/>
      <c r="O28" s="32"/>
      <c r="P28" s="25"/>
      <c r="S28" s="26"/>
      <c r="T28" s="27"/>
      <c r="U28" s="34">
        <f ca="1">((2.5*U22)+(7.5*U21)+(12.5*U20)+(17.5*U19)+(22.5*U18)+(27.5*U17)+(32.5*U16)+(37.5*U15)+(42.5*U14)+(47.5*U13)+(52.5*U12)+(57.5*U11)+(62.5*U10)+(67.5*U9)+(72.5*U8)+(77.5*U7)+(82.5*U6)+(87.5*U5))/U25</f>
        <v>43.24074074074074</v>
      </c>
      <c r="V28" s="32"/>
      <c r="W28" s="32"/>
      <c r="X28" s="24"/>
      <c r="Y28" s="27"/>
      <c r="Z28" s="34">
        <f ca="1">((2.5*Z22)+(7.5*Z21)+(12.5*Z20)+(17.5*Z19)+(22.5*Z18)+(27.5*Z17)+(32.5*Z16)+(37.5*Z15)+(42.5*Z14)+(47.5*Z13)+(52.5*Z12)+(57.5*Z11)+(62.5*Z10)+(67.5*Z9)+(72.5*Z8)+(77.5*Z7)+(82.5*Z6)+(87.5*Z5))/Z25</f>
        <v>45.11467889908257</v>
      </c>
      <c r="AA28" s="32"/>
      <c r="AB28" s="32"/>
      <c r="AC28" s="24"/>
      <c r="AD28" s="27"/>
      <c r="AE28" s="34">
        <f ca="1">((2.5*AE22)+(7.5*AE21)+(12.5*AE20)+(17.5*AE19)+(22.5*AE18)+(27.5*AE17)+(32.5*AE16)+(37.5*AE15)+(42.5*AE14)+(47.5*AE13)+(52.5*AE12)+(57.5*AE11)+(62.5*AE10)+(67.5*AE9)+(72.5*AE8)+(77.5*AE7)+(82.5*AE6)+(87.5*AE5))/AE25</f>
        <v>44.742647058823529</v>
      </c>
      <c r="AF28" s="32"/>
      <c r="AG28" s="32"/>
      <c r="AH28" s="25"/>
      <c r="AK28" s="26"/>
      <c r="AL28" s="27"/>
      <c r="AM28" s="34">
        <f ca="1">((2.5*AM22)+(7.5*AM21)+(12.5*AM20)+(17.5*AM19)+(22.5*AM18)+(27.5*AM17)+(32.5*AM16)+(37.5*AM15)+(42.5*AM14)+(47.5*AM13)+(52.5*AM12)+(57.5*AM11)+(62.5*AM10)+(67.5*AM9)+(72.5*AM8)+(77.5*AM7)+(82.5*AM6)+(87.5*AM5))/AM25</f>
        <v>33.597560975609753</v>
      </c>
      <c r="AN28" s="32"/>
      <c r="AO28" s="32"/>
      <c r="AP28" s="24"/>
      <c r="AQ28" s="27"/>
      <c r="AR28" s="34">
        <f ca="1">((2.5*AR22)+(7.5*AR21)+(12.5*AR20)+(17.5*AR19)+(22.5*AR18)+(27.5*AR17)+(32.5*AR16)+(37.5*AR15)+(42.5*AR14)+(47.5*AR13)+(52.5*AR12)+(57.5*AR11)+(62.5*AR10)+(67.5*AR9)+(72.5*AR8)+(77.5*AR7)+(82.5*AR6)+(87.5*AR5))/AR25</f>
        <v>42.154255319148938</v>
      </c>
      <c r="AS28" s="32"/>
      <c r="AT28" s="32"/>
      <c r="AU28" s="24"/>
      <c r="AV28" s="27"/>
      <c r="AW28" s="34">
        <f ca="1">((2.5*AW22)+(7.5*AW21)+(12.5*AW20)+(17.5*AW19)+(22.5*AW18)+(27.5*AW17)+(32.5*AW16)+(37.5*AW15)+(42.5*AW14)+(47.5*AW13)+(52.5*AW12)+(57.5*AW11)+(62.5*AW10)+(67.5*AW9)+(72.5*AW8)+(77.5*AW7)+(82.5*AW6)+(87.5*AW5))/AW25</f>
        <v>40.622270742358076</v>
      </c>
      <c r="AX28" s="32"/>
      <c r="AY28" s="32"/>
      <c r="AZ28" s="25"/>
    </row>
    <row r="29" spans="1:52" ht="15.75" thickBot="1" x14ac:dyDescent="0.3">
      <c r="A29" s="35"/>
      <c r="B29" s="36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8"/>
      <c r="S29" s="35"/>
      <c r="T29" s="36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8"/>
      <c r="AK29" s="35"/>
      <c r="AL29" s="36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8"/>
    </row>
    <row r="30" spans="1:52" x14ac:dyDescent="0.25">
      <c r="A30" s="39"/>
      <c r="S30" s="39"/>
      <c r="AK30" s="39"/>
    </row>
    <row r="32" spans="1:52" ht="15.75" thickBot="1" x14ac:dyDescent="0.3"/>
    <row r="33" spans="1:54" ht="15" customHeight="1" x14ac:dyDescent="0.25">
      <c r="A33" s="66"/>
      <c r="B33" s="280" t="s">
        <v>1230</v>
      </c>
      <c r="C33" s="280"/>
      <c r="D33" s="282">
        <f ca="1">C46/M46</f>
        <v>0.16</v>
      </c>
      <c r="E33" s="282"/>
      <c r="F33" s="40"/>
      <c r="G33" s="280" t="s">
        <v>1231</v>
      </c>
      <c r="H33" s="280"/>
      <c r="I33" s="282">
        <f ca="1">H46/M46</f>
        <v>0.84</v>
      </c>
      <c r="J33" s="282"/>
      <c r="K33" s="40"/>
      <c r="L33" s="280" t="s">
        <v>1232</v>
      </c>
      <c r="M33" s="280"/>
      <c r="N33" s="277">
        <f ca="1">I33+D33</f>
        <v>1</v>
      </c>
      <c r="O33" s="277"/>
      <c r="P33" s="41"/>
      <c r="S33" s="66"/>
      <c r="T33" s="280" t="s">
        <v>1230</v>
      </c>
      <c r="U33" s="280"/>
      <c r="V33" s="282">
        <f ca="1">U46/AE46</f>
        <v>0.21052631578947367</v>
      </c>
      <c r="W33" s="282"/>
      <c r="X33" s="40"/>
      <c r="Y33" s="280" t="s">
        <v>1231</v>
      </c>
      <c r="Z33" s="280"/>
      <c r="AA33" s="282">
        <f ca="1">Z46/AE46</f>
        <v>0.78947368421052633</v>
      </c>
      <c r="AB33" s="282"/>
      <c r="AC33" s="40"/>
      <c r="AD33" s="280" t="s">
        <v>1232</v>
      </c>
      <c r="AE33" s="280"/>
      <c r="AF33" s="277">
        <f ca="1">AA33+V33</f>
        <v>1</v>
      </c>
      <c r="AG33" s="277"/>
      <c r="AH33" s="41"/>
      <c r="AK33" s="66"/>
      <c r="AL33" s="280" t="s">
        <v>1230</v>
      </c>
      <c r="AM33" s="280"/>
      <c r="AN33" s="282">
        <f ca="1">AM46/AW46</f>
        <v>0.18691588785046728</v>
      </c>
      <c r="AO33" s="282"/>
      <c r="AP33" s="40"/>
      <c r="AQ33" s="280" t="s">
        <v>1231</v>
      </c>
      <c r="AR33" s="280"/>
      <c r="AS33" s="282">
        <f ca="1">AR46/AW46</f>
        <v>0.81308411214953269</v>
      </c>
      <c r="AT33" s="282"/>
      <c r="AU33" s="40"/>
      <c r="AV33" s="280" t="s">
        <v>1232</v>
      </c>
      <c r="AW33" s="280"/>
      <c r="AX33" s="277">
        <f ca="1">AS33+AN33</f>
        <v>1</v>
      </c>
      <c r="AY33" s="277"/>
      <c r="AZ33" s="41"/>
      <c r="BB33" s="279">
        <f ca="1">AW46/AW25</f>
        <v>0.46724890829694321</v>
      </c>
    </row>
    <row r="34" spans="1:54" ht="15" customHeight="1" x14ac:dyDescent="0.25">
      <c r="A34" s="67"/>
      <c r="B34" s="281"/>
      <c r="C34" s="281"/>
      <c r="D34" s="283"/>
      <c r="E34" s="283"/>
      <c r="F34" s="42"/>
      <c r="G34" s="281"/>
      <c r="H34" s="281"/>
      <c r="I34" s="283"/>
      <c r="J34" s="283"/>
      <c r="K34" s="42"/>
      <c r="L34" s="281"/>
      <c r="M34" s="281"/>
      <c r="N34" s="278"/>
      <c r="O34" s="278"/>
      <c r="P34" s="43"/>
      <c r="S34" s="67"/>
      <c r="T34" s="281"/>
      <c r="U34" s="281"/>
      <c r="V34" s="283"/>
      <c r="W34" s="283"/>
      <c r="X34" s="42"/>
      <c r="Y34" s="281"/>
      <c r="Z34" s="281"/>
      <c r="AA34" s="283"/>
      <c r="AB34" s="283"/>
      <c r="AC34" s="42"/>
      <c r="AD34" s="281"/>
      <c r="AE34" s="281"/>
      <c r="AF34" s="278"/>
      <c r="AG34" s="278"/>
      <c r="AH34" s="43"/>
      <c r="AK34" s="67"/>
      <c r="AL34" s="281"/>
      <c r="AM34" s="281"/>
      <c r="AN34" s="283"/>
      <c r="AO34" s="283"/>
      <c r="AP34" s="42"/>
      <c r="AQ34" s="281"/>
      <c r="AR34" s="281"/>
      <c r="AS34" s="283"/>
      <c r="AT34" s="283"/>
      <c r="AU34" s="42"/>
      <c r="AV34" s="281"/>
      <c r="AW34" s="281"/>
      <c r="AX34" s="278"/>
      <c r="AY34" s="278"/>
      <c r="AZ34" s="43"/>
      <c r="BB34" s="279"/>
    </row>
    <row r="35" spans="1:54" ht="15" customHeight="1" x14ac:dyDescent="0.25">
      <c r="A35" s="44"/>
      <c r="B35" s="27" t="s">
        <v>1235</v>
      </c>
      <c r="C35" s="27">
        <f ca="1">COUNTIFS(LIBRO_SOCIOS!X:X,"&gt;80",LIBRO_SOCIOS!M:M,"ZITRON-ASCAZ ambulatoria",LIBRO_SOCIOS!V:V,"h")</f>
        <v>0</v>
      </c>
      <c r="D35" s="28">
        <f t="shared" ref="D35:D41" ca="1" si="27">(C35/$C$46)</f>
        <v>0</v>
      </c>
      <c r="E35" s="28">
        <f t="shared" ref="E35:E36" ca="1" si="28">E36+D35</f>
        <v>1</v>
      </c>
      <c r="F35" s="42"/>
      <c r="G35" s="27" t="s">
        <v>1235</v>
      </c>
      <c r="H35" s="27">
        <f ca="1">COUNTIFS(LIBRO_SOCIOS!X:X,"&gt;80",LIBRO_SOCIOS!M:M,"ZITRON-ASCAZ HOSPITALARIA",LIBRO_SOCIOS!V:V,"h")</f>
        <v>0</v>
      </c>
      <c r="I35" s="28">
        <f t="shared" ref="I35:I41" ca="1" si="29">(H35/$H$46)</f>
        <v>0</v>
      </c>
      <c r="J35" s="28">
        <f t="shared" ref="J35:J40" ca="1" si="30">J36+I35</f>
        <v>1</v>
      </c>
      <c r="K35" s="42"/>
      <c r="L35" s="27" t="s">
        <v>1235</v>
      </c>
      <c r="M35" s="27">
        <f ca="1">C35+H35</f>
        <v>0</v>
      </c>
      <c r="N35" s="28">
        <f t="shared" ref="N35:N41" ca="1" si="31">(M35/$M$46)</f>
        <v>0</v>
      </c>
      <c r="O35" s="28">
        <f t="shared" ref="O35:O40" ca="1" si="32">O36+N35</f>
        <v>1.0000000000000002</v>
      </c>
      <c r="P35" s="43"/>
      <c r="S35" s="44"/>
      <c r="T35" s="27" t="s">
        <v>1235</v>
      </c>
      <c r="U35" s="27">
        <f ca="1">COUNTIFS(LIBRO_SOCIOS!X:X,"&gt;80",LIBRO_SOCIOS!M:M,"ASCAZ ambulatoria",LIBRO_SOCIOS!V:V,"h")</f>
        <v>0</v>
      </c>
      <c r="V35" s="28">
        <f t="shared" ref="V35:V41" ca="1" si="33">(U35/$U$46)</f>
        <v>0</v>
      </c>
      <c r="W35" s="28">
        <f t="shared" ref="W35:W40" ca="1" si="34">W36+V35</f>
        <v>0.99999999999999989</v>
      </c>
      <c r="X35" s="42"/>
      <c r="Y35" s="27" t="s">
        <v>1235</v>
      </c>
      <c r="Z35" s="27">
        <f ca="1">COUNTIFS(LIBRO_SOCIOS!X:X,"&gt;80",LIBRO_SOCIOS!M:M,"ASCAZ HOSPITALARIA",LIBRO_SOCIOS!V:V,"h")</f>
        <v>0</v>
      </c>
      <c r="AA35" s="28">
        <f t="shared" ref="AA35:AA41" ca="1" si="35">(Z35/$Z$46)</f>
        <v>0</v>
      </c>
      <c r="AB35" s="28">
        <f t="shared" ref="AB35:AB40" ca="1" si="36">AB36+AA35</f>
        <v>1</v>
      </c>
      <c r="AC35" s="42"/>
      <c r="AD35" s="27" t="s">
        <v>1235</v>
      </c>
      <c r="AE35" s="27">
        <f t="shared" ref="AE35:AE36" ca="1" si="37">U35+Z35</f>
        <v>0</v>
      </c>
      <c r="AF35" s="28">
        <f t="shared" ref="AF35:AF41" ca="1" si="38">(AE35/$AE$46)</f>
        <v>0</v>
      </c>
      <c r="AG35" s="28">
        <f ca="1">AG36+AF35</f>
        <v>1</v>
      </c>
      <c r="AH35" s="43"/>
      <c r="AK35" s="44"/>
      <c r="AL35" s="27" t="s">
        <v>1235</v>
      </c>
      <c r="AM35" s="27">
        <f t="shared" ref="AM35" ca="1" si="39">C35+U35</f>
        <v>0</v>
      </c>
      <c r="AN35" s="28">
        <f t="shared" ref="AN35:AN41" ca="1" si="40">(AM35/$AM$46)</f>
        <v>0</v>
      </c>
      <c r="AO35" s="28">
        <f t="shared" ref="AO35:AO40" ca="1" si="41">AO36+AN35</f>
        <v>1</v>
      </c>
      <c r="AP35" s="42"/>
      <c r="AQ35" s="27" t="s">
        <v>1235</v>
      </c>
      <c r="AR35" s="27">
        <f ca="1">Z35+H35</f>
        <v>0</v>
      </c>
      <c r="AS35" s="28">
        <f t="shared" ref="AS35:AS41" ca="1" si="42">(AR35/$AR$46)</f>
        <v>0</v>
      </c>
      <c r="AT35" s="28">
        <f t="shared" ref="AT35:AT40" ca="1" si="43">AT36+AS35</f>
        <v>1</v>
      </c>
      <c r="AU35" s="42"/>
      <c r="AV35" s="27" t="s">
        <v>1235</v>
      </c>
      <c r="AW35" s="27">
        <f ca="1">AM35+AR35</f>
        <v>0</v>
      </c>
      <c r="AX35" s="28">
        <f t="shared" ref="AX35:AX41" ca="1" si="44">(AW35/$AW$46)</f>
        <v>0</v>
      </c>
      <c r="AY35" s="28">
        <f t="shared" ref="AY35:AY40" ca="1" si="45">AY36+AX35</f>
        <v>1</v>
      </c>
      <c r="AZ35" s="43"/>
      <c r="BB35" s="279"/>
    </row>
    <row r="36" spans="1:54" ht="15" customHeight="1" x14ac:dyDescent="0.25">
      <c r="A36" s="44"/>
      <c r="B36" s="27" t="s">
        <v>1234</v>
      </c>
      <c r="C36" s="27">
        <f ca="1">COUNTIFS(LIBRO_SOCIOS!X:X,"&gt;70",LIBRO_SOCIOS!X:X,"&lt;81",LIBRO_SOCIOS!M:M,"ZITRON-ASCAZ ambulatoria",LIBRO_SOCIOS!V:V,"h")</f>
        <v>0</v>
      </c>
      <c r="D36" s="28">
        <f t="shared" ca="1" si="27"/>
        <v>0</v>
      </c>
      <c r="E36" s="28">
        <f t="shared" ca="1" si="28"/>
        <v>1</v>
      </c>
      <c r="F36" s="42"/>
      <c r="G36" s="27" t="s">
        <v>1234</v>
      </c>
      <c r="H36" s="27">
        <f ca="1">COUNTIFS(LIBRO_SOCIOS!X:X,"&gt;70",LIBRO_SOCIOS!X:X,"&lt;81",LIBRO_SOCIOS!M:M,"ZITRON-ASCAZ HOSPITALARIA",LIBRO_SOCIOS!V:V,"h")</f>
        <v>0</v>
      </c>
      <c r="I36" s="28">
        <f t="shared" ca="1" si="29"/>
        <v>0</v>
      </c>
      <c r="J36" s="28">
        <f t="shared" ca="1" si="30"/>
        <v>1</v>
      </c>
      <c r="K36" s="42"/>
      <c r="L36" s="27" t="s">
        <v>1234</v>
      </c>
      <c r="M36" s="27">
        <f ca="1">C36+H36</f>
        <v>0</v>
      </c>
      <c r="N36" s="28">
        <f t="shared" ca="1" si="31"/>
        <v>0</v>
      </c>
      <c r="O36" s="28">
        <f t="shared" ca="1" si="32"/>
        <v>1.0000000000000002</v>
      </c>
      <c r="P36" s="43"/>
      <c r="S36" s="44"/>
      <c r="T36" s="27" t="s">
        <v>1234</v>
      </c>
      <c r="U36" s="27">
        <f ca="1">COUNTIFS(LIBRO_SOCIOS!X:X,"&gt;70",LIBRO_SOCIOS!X:X,"&lt;81",LIBRO_SOCIOS!M:M,"ASCAZ ambulatoria",LIBRO_SOCIOS!V:V,"h")</f>
        <v>1</v>
      </c>
      <c r="V36" s="28">
        <f t="shared" ca="1" si="33"/>
        <v>8.3333333333333329E-2</v>
      </c>
      <c r="W36" s="28">
        <f t="shared" ca="1" si="34"/>
        <v>0.99999999999999989</v>
      </c>
      <c r="X36" s="42"/>
      <c r="Y36" s="27" t="s">
        <v>1234</v>
      </c>
      <c r="Z36" s="27">
        <f ca="1">COUNTIFS(LIBRO_SOCIOS!X:X,"&gt;70",LIBRO_SOCIOS!X:X,"&lt;81",LIBRO_SOCIOS!M:M,"ASCAZ HOSPITALARIA",LIBRO_SOCIOS!V:V,"h")</f>
        <v>3</v>
      </c>
      <c r="AA36" s="28">
        <f t="shared" ca="1" si="35"/>
        <v>6.6666666666666666E-2</v>
      </c>
      <c r="AB36" s="28">
        <f t="shared" ca="1" si="36"/>
        <v>1</v>
      </c>
      <c r="AC36" s="42"/>
      <c r="AD36" s="27" t="s">
        <v>1234</v>
      </c>
      <c r="AE36" s="27">
        <f t="shared" ca="1" si="37"/>
        <v>4</v>
      </c>
      <c r="AF36" s="28">
        <f t="shared" ca="1" si="38"/>
        <v>7.0175438596491224E-2</v>
      </c>
      <c r="AG36" s="28">
        <f t="shared" ref="AG36:AG40" ca="1" si="46">AG37+AF36</f>
        <v>1</v>
      </c>
      <c r="AH36" s="43"/>
      <c r="AK36" s="44"/>
      <c r="AL36" s="27" t="s">
        <v>1234</v>
      </c>
      <c r="AM36" s="27">
        <f ca="1">C36+U36</f>
        <v>1</v>
      </c>
      <c r="AN36" s="28">
        <f t="shared" ca="1" si="40"/>
        <v>0.05</v>
      </c>
      <c r="AO36" s="28">
        <f t="shared" ca="1" si="41"/>
        <v>1</v>
      </c>
      <c r="AP36" s="42"/>
      <c r="AQ36" s="27" t="s">
        <v>1234</v>
      </c>
      <c r="AR36" s="27">
        <f t="shared" ref="AR36" ca="1" si="47">Z36+H36</f>
        <v>3</v>
      </c>
      <c r="AS36" s="28">
        <f t="shared" ca="1" si="42"/>
        <v>3.4482758620689655E-2</v>
      </c>
      <c r="AT36" s="28">
        <f t="shared" ca="1" si="43"/>
        <v>1</v>
      </c>
      <c r="AU36" s="42"/>
      <c r="AV36" s="27" t="s">
        <v>1234</v>
      </c>
      <c r="AW36" s="27">
        <f t="shared" ref="AW36" ca="1" si="48">AM36+AR36</f>
        <v>4</v>
      </c>
      <c r="AX36" s="28">
        <f t="shared" ca="1" si="44"/>
        <v>3.7383177570093455E-2</v>
      </c>
      <c r="AY36" s="28">
        <f t="shared" ca="1" si="45"/>
        <v>1</v>
      </c>
      <c r="AZ36" s="43"/>
      <c r="BB36" s="279"/>
    </row>
    <row r="37" spans="1:54" ht="15" customHeight="1" x14ac:dyDescent="0.25">
      <c r="A37" s="44"/>
      <c r="B37" s="27" t="s">
        <v>1233</v>
      </c>
      <c r="C37" s="27">
        <f ca="1">COUNTIFS(LIBRO_SOCIOS!X:X,"&gt;60",LIBRO_SOCIOS!X:X,"&lt;71",LIBRO_SOCIOS!M:M,"ZITRON-ASCAZ ambulatoria",LIBRO_SOCIOS!V:V,"h")</f>
        <v>0</v>
      </c>
      <c r="D37" s="28">
        <f t="shared" ca="1" si="27"/>
        <v>0</v>
      </c>
      <c r="E37" s="28">
        <f ca="1">E38+D37</f>
        <v>1</v>
      </c>
      <c r="F37" s="42"/>
      <c r="G37" s="27" t="s">
        <v>1233</v>
      </c>
      <c r="H37" s="27">
        <f ca="1">COUNTIFS(LIBRO_SOCIOS!X:X,"&gt;60",LIBRO_SOCIOS!X:X,"&lt;71",LIBRO_SOCIOS!M:M,"ZITRON-ASCAZ HOSPITALARIA",LIBRO_SOCIOS!V:V,"h")</f>
        <v>3</v>
      </c>
      <c r="I37" s="28">
        <f t="shared" ca="1" si="29"/>
        <v>7.1428571428571425E-2</v>
      </c>
      <c r="J37" s="28">
        <f t="shared" ca="1" si="30"/>
        <v>1</v>
      </c>
      <c r="K37" s="42"/>
      <c r="L37" s="27" t="s">
        <v>1233</v>
      </c>
      <c r="M37" s="27">
        <f ca="1">C37+H37</f>
        <v>3</v>
      </c>
      <c r="N37" s="28">
        <f t="shared" ca="1" si="31"/>
        <v>0.06</v>
      </c>
      <c r="O37" s="28">
        <f t="shared" ca="1" si="32"/>
        <v>1.0000000000000002</v>
      </c>
      <c r="P37" s="43"/>
      <c r="S37" s="44"/>
      <c r="T37" s="27" t="s">
        <v>1233</v>
      </c>
      <c r="U37" s="27">
        <f ca="1">COUNTIFS(LIBRO_SOCIOS!X:X,"&gt;60",LIBRO_SOCIOS!X:X,"&lt;71",LIBRO_SOCIOS!M:M,"ASCAZ ambulatoria",LIBRO_SOCIOS!V:V,"h")</f>
        <v>2</v>
      </c>
      <c r="V37" s="28">
        <f t="shared" ca="1" si="33"/>
        <v>0.16666666666666666</v>
      </c>
      <c r="W37" s="28">
        <f t="shared" ca="1" si="34"/>
        <v>0.91666666666666652</v>
      </c>
      <c r="X37" s="42"/>
      <c r="Y37" s="27" t="s">
        <v>1233</v>
      </c>
      <c r="Z37" s="27">
        <f ca="1">COUNTIFS(LIBRO_SOCIOS!X:X,"&gt;60",LIBRO_SOCIOS!X:X,"&lt;71",LIBRO_SOCIOS!M:M,"ASCAZ HOSPITALARIA",LIBRO_SOCIOS!V:V,"h")</f>
        <v>5</v>
      </c>
      <c r="AA37" s="28">
        <f t="shared" ca="1" si="35"/>
        <v>0.1111111111111111</v>
      </c>
      <c r="AB37" s="28">
        <f t="shared" ca="1" si="36"/>
        <v>0.93333333333333335</v>
      </c>
      <c r="AC37" s="42"/>
      <c r="AD37" s="27" t="s">
        <v>1233</v>
      </c>
      <c r="AE37" s="27">
        <f ca="1">U37+Z37</f>
        <v>7</v>
      </c>
      <c r="AF37" s="28">
        <f t="shared" ca="1" si="38"/>
        <v>0.12280701754385964</v>
      </c>
      <c r="AG37" s="28">
        <f t="shared" ca="1" si="46"/>
        <v>0.92982456140350878</v>
      </c>
      <c r="AH37" s="43"/>
      <c r="AK37" s="44"/>
      <c r="AL37" s="27" t="s">
        <v>1233</v>
      </c>
      <c r="AM37" s="27">
        <f ca="1">C37+U37</f>
        <v>2</v>
      </c>
      <c r="AN37" s="28">
        <f t="shared" ca="1" si="40"/>
        <v>0.1</v>
      </c>
      <c r="AO37" s="28">
        <f t="shared" ca="1" si="41"/>
        <v>0.95000000000000007</v>
      </c>
      <c r="AP37" s="42"/>
      <c r="AQ37" s="27" t="s">
        <v>1233</v>
      </c>
      <c r="AR37" s="27">
        <f ca="1">Z37+H37</f>
        <v>8</v>
      </c>
      <c r="AS37" s="28">
        <f t="shared" ca="1" si="42"/>
        <v>9.1954022988505746E-2</v>
      </c>
      <c r="AT37" s="28">
        <f t="shared" ca="1" si="43"/>
        <v>0.96551724137931039</v>
      </c>
      <c r="AU37" s="42"/>
      <c r="AV37" s="27" t="s">
        <v>1233</v>
      </c>
      <c r="AW37" s="27">
        <f ca="1">AM37+AR37</f>
        <v>10</v>
      </c>
      <c r="AX37" s="28">
        <f t="shared" ca="1" si="44"/>
        <v>9.3457943925233641E-2</v>
      </c>
      <c r="AY37" s="28">
        <f t="shared" ca="1" si="45"/>
        <v>0.96261682242990654</v>
      </c>
      <c r="AZ37" s="43"/>
      <c r="BB37" s="279"/>
    </row>
    <row r="38" spans="1:54" ht="15" customHeight="1" x14ac:dyDescent="0.25">
      <c r="A38" s="44"/>
      <c r="B38" s="27" t="s">
        <v>1222</v>
      </c>
      <c r="C38" s="27">
        <f ca="1">COUNTIFS(LIBRO_SOCIOS!X:X,"&gt;50",LIBRO_SOCIOS!X:X,"&lt;61",LIBRO_SOCIOS!M:M,"ZITRON-ASCAZ ambulatoria",LIBRO_SOCIOS!V:V,"h")</f>
        <v>0</v>
      </c>
      <c r="D38" s="28">
        <f t="shared" ca="1" si="27"/>
        <v>0</v>
      </c>
      <c r="E38" s="28">
        <f t="shared" ref="E38:E40" ca="1" si="49">E39+D38</f>
        <v>1</v>
      </c>
      <c r="F38" s="42"/>
      <c r="G38" s="27" t="s">
        <v>1222</v>
      </c>
      <c r="H38" s="27">
        <f ca="1">COUNTIFS(LIBRO_SOCIOS!X:X,"&gt;50",LIBRO_SOCIOS!X:X,"&lt;61",LIBRO_SOCIOS!M:M,"ZITRON-ASCAZ HOSPITALARIA",LIBRO_SOCIOS!V:V,"h")</f>
        <v>2</v>
      </c>
      <c r="I38" s="28">
        <f t="shared" ca="1" si="29"/>
        <v>4.7619047619047616E-2</v>
      </c>
      <c r="J38" s="28">
        <f t="shared" ca="1" si="30"/>
        <v>0.9285714285714286</v>
      </c>
      <c r="K38" s="42"/>
      <c r="L38" s="27" t="s">
        <v>1222</v>
      </c>
      <c r="M38" s="27">
        <f t="shared" ref="M38:M43" ca="1" si="50">C38+H38</f>
        <v>2</v>
      </c>
      <c r="N38" s="28">
        <f t="shared" ca="1" si="31"/>
        <v>0.04</v>
      </c>
      <c r="O38" s="28">
        <f t="shared" ca="1" si="32"/>
        <v>0.94000000000000017</v>
      </c>
      <c r="P38" s="43"/>
      <c r="S38" s="44"/>
      <c r="T38" s="27" t="s">
        <v>1222</v>
      </c>
      <c r="U38" s="27">
        <f ca="1">COUNTIFS(LIBRO_SOCIOS!X:X,"&gt;50",LIBRO_SOCIOS!X:X,"&lt;61",LIBRO_SOCIOS!M:M,"ASCAZ ambulatoria",LIBRO_SOCIOS!V:V,"h")</f>
        <v>2</v>
      </c>
      <c r="V38" s="28">
        <f t="shared" ca="1" si="33"/>
        <v>0.16666666666666666</v>
      </c>
      <c r="W38" s="28">
        <f t="shared" ca="1" si="34"/>
        <v>0.74999999999999989</v>
      </c>
      <c r="X38" s="42"/>
      <c r="Y38" s="27" t="s">
        <v>1222</v>
      </c>
      <c r="Z38" s="27">
        <f ca="1">COUNTIFS(LIBRO_SOCIOS!X:X,"&gt;50",LIBRO_SOCIOS!X:X,"&lt;61",LIBRO_SOCIOS!M:M,"ASCAZ HOSPITALARIA",LIBRO_SOCIOS!V:V,"h")</f>
        <v>4</v>
      </c>
      <c r="AA38" s="28">
        <f t="shared" ca="1" si="35"/>
        <v>8.8888888888888892E-2</v>
      </c>
      <c r="AB38" s="28">
        <f t="shared" ca="1" si="36"/>
        <v>0.8222222222222223</v>
      </c>
      <c r="AC38" s="42"/>
      <c r="AD38" s="27" t="s">
        <v>1222</v>
      </c>
      <c r="AE38" s="27">
        <f t="shared" ref="AE38:AE43" ca="1" si="51">U38+Z38</f>
        <v>6</v>
      </c>
      <c r="AF38" s="28">
        <f t="shared" ca="1" si="38"/>
        <v>0.10526315789473684</v>
      </c>
      <c r="AG38" s="28">
        <f t="shared" ca="1" si="46"/>
        <v>0.80701754385964908</v>
      </c>
      <c r="AH38" s="43"/>
      <c r="AK38" s="44"/>
      <c r="AL38" s="27" t="s">
        <v>1222</v>
      </c>
      <c r="AM38" s="27">
        <f t="shared" ref="AM38:AM42" ca="1" si="52">C38+U38</f>
        <v>2</v>
      </c>
      <c r="AN38" s="28">
        <f t="shared" ca="1" si="40"/>
        <v>0.1</v>
      </c>
      <c r="AO38" s="28">
        <f t="shared" ca="1" si="41"/>
        <v>0.85000000000000009</v>
      </c>
      <c r="AP38" s="42"/>
      <c r="AQ38" s="27" t="s">
        <v>1222</v>
      </c>
      <c r="AR38" s="27">
        <f t="shared" ref="AR38:AR42" ca="1" si="53">Z38+H38</f>
        <v>6</v>
      </c>
      <c r="AS38" s="28">
        <f t="shared" ca="1" si="42"/>
        <v>6.8965517241379309E-2</v>
      </c>
      <c r="AT38" s="28">
        <f t="shared" ca="1" si="43"/>
        <v>0.87356321839080464</v>
      </c>
      <c r="AU38" s="42"/>
      <c r="AV38" s="27" t="s">
        <v>1222</v>
      </c>
      <c r="AW38" s="27">
        <f ca="1">AM38+AR38</f>
        <v>8</v>
      </c>
      <c r="AX38" s="28">
        <f t="shared" ca="1" si="44"/>
        <v>7.476635514018691E-2</v>
      </c>
      <c r="AY38" s="28">
        <f t="shared" ca="1" si="45"/>
        <v>0.86915887850467288</v>
      </c>
      <c r="AZ38" s="43"/>
      <c r="BB38" s="279"/>
    </row>
    <row r="39" spans="1:54" ht="15" customHeight="1" x14ac:dyDescent="0.25">
      <c r="A39" s="44"/>
      <c r="B39" s="27" t="s">
        <v>1223</v>
      </c>
      <c r="C39" s="27">
        <f ca="1">COUNTIFS(LIBRO_SOCIOS!X:X,"&gt;40",LIBRO_SOCIOS!X:X,"&lt;51",LIBRO_SOCIOS!M:M,"ZITRON-ASCAZ ambulatoria",LIBRO_SOCIOS!V:V,"h")</f>
        <v>1</v>
      </c>
      <c r="D39" s="28">
        <f t="shared" ca="1" si="27"/>
        <v>0.125</v>
      </c>
      <c r="E39" s="28">
        <f t="shared" ca="1" si="49"/>
        <v>1</v>
      </c>
      <c r="F39" s="42"/>
      <c r="G39" s="27" t="s">
        <v>1223</v>
      </c>
      <c r="H39" s="27">
        <f ca="1">COUNTIFS(LIBRO_SOCIOS!X:X,"&gt;40",LIBRO_SOCIOS!X:X,"&lt;51",LIBRO_SOCIOS!M:M,"ZITRON-ASCAZ HOSPITALARIA",LIBRO_SOCIOS!V:V,"h")</f>
        <v>14</v>
      </c>
      <c r="I39" s="28">
        <f t="shared" ca="1" si="29"/>
        <v>0.33333333333333331</v>
      </c>
      <c r="J39" s="28">
        <f t="shared" ca="1" si="30"/>
        <v>0.88095238095238093</v>
      </c>
      <c r="K39" s="42"/>
      <c r="L39" s="27" t="s">
        <v>1223</v>
      </c>
      <c r="M39" s="27">
        <f t="shared" ca="1" si="50"/>
        <v>15</v>
      </c>
      <c r="N39" s="28">
        <f t="shared" ca="1" si="31"/>
        <v>0.3</v>
      </c>
      <c r="O39" s="28">
        <f t="shared" ca="1" si="32"/>
        <v>0.90000000000000013</v>
      </c>
      <c r="P39" s="43"/>
      <c r="S39" s="44"/>
      <c r="T39" s="27" t="s">
        <v>1223</v>
      </c>
      <c r="U39" s="27">
        <f ca="1">COUNTIFS(LIBRO_SOCIOS!X:X,"&gt;40",LIBRO_SOCIOS!X:X,"&lt;51",LIBRO_SOCIOS!M:M,"ASCAZ ambulatoria",LIBRO_SOCIOS!V:V,"h")</f>
        <v>2</v>
      </c>
      <c r="V39" s="28">
        <f t="shared" ca="1" si="33"/>
        <v>0.16666666666666666</v>
      </c>
      <c r="W39" s="28">
        <f t="shared" ca="1" si="34"/>
        <v>0.58333333333333326</v>
      </c>
      <c r="X39" s="42"/>
      <c r="Y39" s="27" t="s">
        <v>1223</v>
      </c>
      <c r="Z39" s="27">
        <f ca="1">COUNTIFS(LIBRO_SOCIOS!X:X,"&gt;40",LIBRO_SOCIOS!X:X,"&lt;51",LIBRO_SOCIOS!M:M,"ASCAZ HOSPITALARIA",LIBRO_SOCIOS!V:V,"h")</f>
        <v>13</v>
      </c>
      <c r="AA39" s="28">
        <f ca="1">(Z39/$Z$46)</f>
        <v>0.28888888888888886</v>
      </c>
      <c r="AB39" s="28">
        <f t="shared" ca="1" si="36"/>
        <v>0.73333333333333339</v>
      </c>
      <c r="AC39" s="42"/>
      <c r="AD39" s="27" t="s">
        <v>1223</v>
      </c>
      <c r="AE39" s="27">
        <f t="shared" ca="1" si="51"/>
        <v>15</v>
      </c>
      <c r="AF39" s="28">
        <f t="shared" ca="1" si="38"/>
        <v>0.26315789473684209</v>
      </c>
      <c r="AG39" s="28">
        <f t="shared" ca="1" si="46"/>
        <v>0.70175438596491224</v>
      </c>
      <c r="AH39" s="43"/>
      <c r="AK39" s="44"/>
      <c r="AL39" s="27" t="s">
        <v>1223</v>
      </c>
      <c r="AM39" s="27">
        <f t="shared" ca="1" si="52"/>
        <v>3</v>
      </c>
      <c r="AN39" s="28">
        <f t="shared" ca="1" si="40"/>
        <v>0.15</v>
      </c>
      <c r="AO39" s="28">
        <f t="shared" ca="1" si="41"/>
        <v>0.75000000000000011</v>
      </c>
      <c r="AP39" s="42"/>
      <c r="AQ39" s="27" t="s">
        <v>1223</v>
      </c>
      <c r="AR39" s="27">
        <f t="shared" ca="1" si="53"/>
        <v>27</v>
      </c>
      <c r="AS39" s="28">
        <f t="shared" ca="1" si="42"/>
        <v>0.31034482758620691</v>
      </c>
      <c r="AT39" s="28">
        <f t="shared" ca="1" si="43"/>
        <v>0.8045977011494253</v>
      </c>
      <c r="AU39" s="42"/>
      <c r="AV39" s="27" t="s">
        <v>1223</v>
      </c>
      <c r="AW39" s="27">
        <f ca="1">AM39+AR39</f>
        <v>30</v>
      </c>
      <c r="AX39" s="28">
        <f t="shared" ca="1" si="44"/>
        <v>0.28037383177570091</v>
      </c>
      <c r="AY39" s="28">
        <f t="shared" ca="1" si="45"/>
        <v>0.79439252336448596</v>
      </c>
      <c r="AZ39" s="43"/>
      <c r="BB39" s="279"/>
    </row>
    <row r="40" spans="1:54" ht="15" customHeight="1" x14ac:dyDescent="0.25">
      <c r="A40" s="44"/>
      <c r="B40" s="27" t="s">
        <v>1224</v>
      </c>
      <c r="C40" s="27">
        <f ca="1">COUNTIFS(LIBRO_SOCIOS!X:X,"&gt;30",LIBRO_SOCIOS!X:X,"&lt;41",LIBRO_SOCIOS!M:M,"ZITRON-ASCAZ ambulatoria",LIBRO_SOCIOS!V:V,"h")</f>
        <v>1</v>
      </c>
      <c r="D40" s="28">
        <f t="shared" ca="1" si="27"/>
        <v>0.125</v>
      </c>
      <c r="E40" s="28">
        <f t="shared" ca="1" si="49"/>
        <v>0.875</v>
      </c>
      <c r="F40" s="42"/>
      <c r="G40" s="27" t="s">
        <v>1224</v>
      </c>
      <c r="H40" s="27">
        <f ca="1">COUNTIFS(LIBRO_SOCIOS!X:X,"&gt;30",LIBRO_SOCIOS!X:X,"&lt;41",LIBRO_SOCIOS!M:M,"ZITRON-ASCAZ HOSPITALARIA",LIBRO_SOCIOS!V:V,"h")</f>
        <v>19</v>
      </c>
      <c r="I40" s="28">
        <f t="shared" ca="1" si="29"/>
        <v>0.45238095238095238</v>
      </c>
      <c r="J40" s="28">
        <f t="shared" ca="1" si="30"/>
        <v>0.54761904761904767</v>
      </c>
      <c r="K40" s="42"/>
      <c r="L40" s="27" t="s">
        <v>1224</v>
      </c>
      <c r="M40" s="27">
        <f t="shared" ca="1" si="50"/>
        <v>20</v>
      </c>
      <c r="N40" s="28">
        <f ca="1">(M40/$M$46)</f>
        <v>0.4</v>
      </c>
      <c r="O40" s="28">
        <f t="shared" ca="1" si="32"/>
        <v>0.60000000000000009</v>
      </c>
      <c r="P40" s="43"/>
      <c r="S40" s="44"/>
      <c r="T40" s="27" t="s">
        <v>1224</v>
      </c>
      <c r="U40" s="27">
        <f ca="1">COUNTIFS(LIBRO_SOCIOS!X:X,"&gt;30",LIBRO_SOCIOS!X:X,"&lt;41",LIBRO_SOCIOS!M:M,"ASCAZ ambulatoria",LIBRO_SOCIOS!V:V,"h")</f>
        <v>3</v>
      </c>
      <c r="V40" s="28">
        <f ca="1">(U40/$U$46)</f>
        <v>0.25</v>
      </c>
      <c r="W40" s="28">
        <f t="shared" ca="1" si="34"/>
        <v>0.41666666666666663</v>
      </c>
      <c r="X40" s="42"/>
      <c r="Y40" s="27" t="s">
        <v>1224</v>
      </c>
      <c r="Z40" s="27">
        <f ca="1">COUNTIFS(LIBRO_SOCIOS!X:X,"&gt;30",LIBRO_SOCIOS!X:X,"&lt;41",LIBRO_SOCIOS!M:M,"ASCAZ HOSPITALARIA",LIBRO_SOCIOS!V:V,"h")</f>
        <v>16</v>
      </c>
      <c r="AA40" s="28">
        <f t="shared" ca="1" si="35"/>
        <v>0.35555555555555557</v>
      </c>
      <c r="AB40" s="28">
        <f t="shared" ca="1" si="36"/>
        <v>0.44444444444444448</v>
      </c>
      <c r="AC40" s="42"/>
      <c r="AD40" s="27" t="s">
        <v>1224</v>
      </c>
      <c r="AE40" s="27">
        <f t="shared" ca="1" si="51"/>
        <v>19</v>
      </c>
      <c r="AF40" s="28">
        <f t="shared" ca="1" si="38"/>
        <v>0.33333333333333331</v>
      </c>
      <c r="AG40" s="28">
        <f t="shared" ca="1" si="46"/>
        <v>0.43859649122807015</v>
      </c>
      <c r="AH40" s="43"/>
      <c r="AK40" s="44"/>
      <c r="AL40" s="27" t="s">
        <v>1224</v>
      </c>
      <c r="AM40" s="27">
        <f t="shared" ca="1" si="52"/>
        <v>4</v>
      </c>
      <c r="AN40" s="28">
        <f t="shared" ca="1" si="40"/>
        <v>0.2</v>
      </c>
      <c r="AO40" s="28">
        <f t="shared" ca="1" si="41"/>
        <v>0.60000000000000009</v>
      </c>
      <c r="AP40" s="42"/>
      <c r="AQ40" s="27" t="s">
        <v>1224</v>
      </c>
      <c r="AR40" s="27">
        <f t="shared" ca="1" si="53"/>
        <v>35</v>
      </c>
      <c r="AS40" s="28">
        <f t="shared" ca="1" si="42"/>
        <v>0.40229885057471265</v>
      </c>
      <c r="AT40" s="28">
        <f t="shared" ca="1" si="43"/>
        <v>0.4942528735632184</v>
      </c>
      <c r="AU40" s="42"/>
      <c r="AV40" s="27" t="s">
        <v>1224</v>
      </c>
      <c r="AW40" s="27">
        <f ca="1">AM40+AR40</f>
        <v>39</v>
      </c>
      <c r="AX40" s="28">
        <f t="shared" ca="1" si="44"/>
        <v>0.3644859813084112</v>
      </c>
      <c r="AY40" s="28">
        <f t="shared" ca="1" si="45"/>
        <v>0.51401869158878499</v>
      </c>
      <c r="AZ40" s="43"/>
      <c r="BB40" s="279"/>
    </row>
    <row r="41" spans="1:54" ht="15" customHeight="1" x14ac:dyDescent="0.25">
      <c r="A41" s="44"/>
      <c r="B41" s="27" t="s">
        <v>1225</v>
      </c>
      <c r="C41" s="27">
        <f ca="1">COUNTIFS(LIBRO_SOCIOS!X:X,"&gt;20",LIBRO_SOCIOS!X:X,"&lt;31",LIBRO_SOCIOS!M:M,"ZITRON-ASCAZ ambulatoria",LIBRO_SOCIOS!V:V,"h")</f>
        <v>0</v>
      </c>
      <c r="D41" s="28">
        <f t="shared" ca="1" si="27"/>
        <v>0</v>
      </c>
      <c r="E41" s="28">
        <f ca="1">E42+D41</f>
        <v>0.75</v>
      </c>
      <c r="F41" s="42"/>
      <c r="G41" s="27" t="s">
        <v>1225</v>
      </c>
      <c r="H41" s="27">
        <f ca="1">COUNTIFS(LIBRO_SOCIOS!X:X,"&gt;20",LIBRO_SOCIOS!X:X,"&lt;31",LIBRO_SOCIOS!M:M,"ZITRON-ASCAZ HOSPITALARIA",LIBRO_SOCIOS!V:V,"h")</f>
        <v>3</v>
      </c>
      <c r="I41" s="28">
        <f t="shared" ca="1" si="29"/>
        <v>7.1428571428571425E-2</v>
      </c>
      <c r="J41" s="28">
        <f ca="1">J42+I41</f>
        <v>9.5238095238095233E-2</v>
      </c>
      <c r="K41" s="42"/>
      <c r="L41" s="27" t="s">
        <v>1225</v>
      </c>
      <c r="M41" s="27">
        <f t="shared" ca="1" si="50"/>
        <v>3</v>
      </c>
      <c r="N41" s="28">
        <f t="shared" ca="1" si="31"/>
        <v>0.06</v>
      </c>
      <c r="O41" s="28">
        <f ca="1">O42+N41</f>
        <v>0.2</v>
      </c>
      <c r="P41" s="43"/>
      <c r="S41" s="44"/>
      <c r="T41" s="27" t="s">
        <v>1225</v>
      </c>
      <c r="U41" s="27">
        <f ca="1">COUNTIFS(LIBRO_SOCIOS!X:X,"&gt;20",LIBRO_SOCIOS!X:X,"&lt;31",LIBRO_SOCIOS!M:M,"ASCAZ ambulatoria",LIBRO_SOCIOS!V:V,"h")</f>
        <v>0</v>
      </c>
      <c r="V41" s="28">
        <f t="shared" ca="1" si="33"/>
        <v>0</v>
      </c>
      <c r="W41" s="28">
        <f ca="1">W42+V41</f>
        <v>0.16666666666666666</v>
      </c>
      <c r="X41" s="42"/>
      <c r="Y41" s="27" t="s">
        <v>1225</v>
      </c>
      <c r="Z41" s="27">
        <f ca="1">COUNTIFS(LIBRO_SOCIOS!X:X,"&gt;20",LIBRO_SOCIOS!X:X,"&lt;31",LIBRO_SOCIOS!M:M,"ASCAZ HOSPITALARIA",LIBRO_SOCIOS!V:V,"h")</f>
        <v>2</v>
      </c>
      <c r="AA41" s="28">
        <f t="shared" ca="1" si="35"/>
        <v>4.4444444444444446E-2</v>
      </c>
      <c r="AB41" s="28">
        <f ca="1">AB42+AA41</f>
        <v>8.8888888888888892E-2</v>
      </c>
      <c r="AC41" s="42"/>
      <c r="AD41" s="27" t="s">
        <v>1225</v>
      </c>
      <c r="AE41" s="27">
        <f t="shared" ca="1" si="51"/>
        <v>2</v>
      </c>
      <c r="AF41" s="28">
        <f t="shared" ca="1" si="38"/>
        <v>3.5087719298245612E-2</v>
      </c>
      <c r="AG41" s="28">
        <f ca="1">AG42+AF41</f>
        <v>0.10526315789473684</v>
      </c>
      <c r="AH41" s="43"/>
      <c r="AK41" s="44"/>
      <c r="AL41" s="27" t="s">
        <v>1225</v>
      </c>
      <c r="AM41" s="27">
        <f t="shared" ca="1" si="52"/>
        <v>0</v>
      </c>
      <c r="AN41" s="28">
        <f t="shared" ca="1" si="40"/>
        <v>0</v>
      </c>
      <c r="AO41" s="28">
        <f ca="1">AO42+AN41</f>
        <v>0.4</v>
      </c>
      <c r="AP41" s="42"/>
      <c r="AQ41" s="27" t="s">
        <v>1225</v>
      </c>
      <c r="AR41" s="27">
        <f t="shared" ca="1" si="53"/>
        <v>5</v>
      </c>
      <c r="AS41" s="28">
        <f t="shared" ca="1" si="42"/>
        <v>5.7471264367816091E-2</v>
      </c>
      <c r="AT41" s="28">
        <f ca="1">AT42+AS41</f>
        <v>9.1954022988505746E-2</v>
      </c>
      <c r="AU41" s="42"/>
      <c r="AV41" s="27" t="s">
        <v>1225</v>
      </c>
      <c r="AW41" s="27">
        <f ca="1">AM41+AR41</f>
        <v>5</v>
      </c>
      <c r="AX41" s="28">
        <f t="shared" ca="1" si="44"/>
        <v>4.6728971962616821E-2</v>
      </c>
      <c r="AY41" s="28">
        <f ca="1">AY42+AX41</f>
        <v>0.14953271028037382</v>
      </c>
      <c r="AZ41" s="43"/>
      <c r="BB41" s="279"/>
    </row>
    <row r="42" spans="1:54" ht="15" customHeight="1" x14ac:dyDescent="0.25">
      <c r="A42" s="44"/>
      <c r="B42" s="29" t="s">
        <v>1226</v>
      </c>
      <c r="C42" s="27">
        <f ca="1">COUNTIFS(LIBRO_SOCIOS!X:X,"&gt;10",LIBRO_SOCIOS!X:X,"&lt;21",LIBRO_SOCIOS!M:M,"ZITRON-ASCAZ ambulatoria",LIBRO_SOCIOS!V:V,"h")</f>
        <v>2</v>
      </c>
      <c r="D42" s="28">
        <f ca="1">(C42/$C$46)</f>
        <v>0.25</v>
      </c>
      <c r="E42" s="28">
        <f ca="1">D43+D42</f>
        <v>0.75</v>
      </c>
      <c r="F42" s="42"/>
      <c r="G42" s="29" t="s">
        <v>1226</v>
      </c>
      <c r="H42" s="27">
        <f ca="1">COUNTIFS(LIBRO_SOCIOS!X:X,"&gt;10",LIBRO_SOCIOS!X:X,"&lt;21",LIBRO_SOCIOS!M:M,"ZITRON-ASCAZ HOSPITALARIA",LIBRO_SOCIOS!V:V,"h")</f>
        <v>0</v>
      </c>
      <c r="I42" s="28">
        <f ca="1">(H42/$H$46)</f>
        <v>0</v>
      </c>
      <c r="J42" s="28">
        <f ca="1">I43+I42</f>
        <v>2.3809523809523808E-2</v>
      </c>
      <c r="K42" s="42"/>
      <c r="L42" s="29" t="s">
        <v>1226</v>
      </c>
      <c r="M42" s="27">
        <f t="shared" ca="1" si="50"/>
        <v>2</v>
      </c>
      <c r="N42" s="28">
        <f ca="1">(M42/$M$46)</f>
        <v>0.04</v>
      </c>
      <c r="O42" s="28">
        <f ca="1">N43+N42</f>
        <v>0.14000000000000001</v>
      </c>
      <c r="P42" s="43"/>
      <c r="S42" s="44"/>
      <c r="T42" s="29" t="s">
        <v>1226</v>
      </c>
      <c r="U42" s="27">
        <f ca="1">COUNTIFS(LIBRO_SOCIOS!X:X,"&gt;10",LIBRO_SOCIOS!X:X,"&lt;21",LIBRO_SOCIOS!M:M,"ASCAZ ambulatoria",LIBRO_SOCIOS!V:V,"h")</f>
        <v>0</v>
      </c>
      <c r="V42" s="28">
        <f ca="1">(U42/$U$46)</f>
        <v>0</v>
      </c>
      <c r="W42" s="28">
        <f ca="1">V43+V42</f>
        <v>0.16666666666666666</v>
      </c>
      <c r="X42" s="42"/>
      <c r="Y42" s="29" t="s">
        <v>1226</v>
      </c>
      <c r="Z42" s="27">
        <f ca="1">COUNTIFS(LIBRO_SOCIOS!X:X,"&gt;10",LIBRO_SOCIOS!X:X,"&lt;21",LIBRO_SOCIOS!M:M,"ASCAZ HOSPITALARIA",LIBRO_SOCIOS!V:V,"h")</f>
        <v>0</v>
      </c>
      <c r="AA42" s="28">
        <f ca="1">(Z42/$Z$46)</f>
        <v>0</v>
      </c>
      <c r="AB42" s="28">
        <f ca="1">AA43+AA42</f>
        <v>4.4444444444444446E-2</v>
      </c>
      <c r="AC42" s="42"/>
      <c r="AD42" s="29" t="s">
        <v>1226</v>
      </c>
      <c r="AE42" s="27">
        <f ca="1">U42+Z42</f>
        <v>0</v>
      </c>
      <c r="AF42" s="28">
        <f ca="1">(AE42/$AE$46)</f>
        <v>0</v>
      </c>
      <c r="AG42" s="28">
        <f ca="1">AF43+AF42</f>
        <v>7.0175438596491224E-2</v>
      </c>
      <c r="AH42" s="43"/>
      <c r="AK42" s="44"/>
      <c r="AL42" s="29" t="s">
        <v>1226</v>
      </c>
      <c r="AM42" s="27">
        <f t="shared" ca="1" si="52"/>
        <v>2</v>
      </c>
      <c r="AN42" s="28">
        <f ca="1">(AM42/$AM$46)</f>
        <v>0.1</v>
      </c>
      <c r="AO42" s="28">
        <f ca="1">AN43+AN42</f>
        <v>0.4</v>
      </c>
      <c r="AP42" s="42"/>
      <c r="AQ42" s="29" t="s">
        <v>1226</v>
      </c>
      <c r="AR42" s="27">
        <f t="shared" ca="1" si="53"/>
        <v>0</v>
      </c>
      <c r="AS42" s="28">
        <f ca="1">(AR42/$AR$46)</f>
        <v>0</v>
      </c>
      <c r="AT42" s="28">
        <f ca="1">AS43+AS42</f>
        <v>3.4482758620689655E-2</v>
      </c>
      <c r="AU42" s="42"/>
      <c r="AV42" s="29" t="s">
        <v>1226</v>
      </c>
      <c r="AW42" s="27">
        <f t="shared" ref="AW42:AW43" ca="1" si="54">AM42+AR42</f>
        <v>2</v>
      </c>
      <c r="AX42" s="28">
        <f ca="1">(AW42/$AW$46)</f>
        <v>1.8691588785046728E-2</v>
      </c>
      <c r="AY42" s="28">
        <f ca="1">AX43+AX42</f>
        <v>0.10280373831775701</v>
      </c>
      <c r="AZ42" s="43"/>
      <c r="BB42" s="279"/>
    </row>
    <row r="43" spans="1:54" ht="15" customHeight="1" x14ac:dyDescent="0.25">
      <c r="A43" s="44"/>
      <c r="B43" s="30" t="s">
        <v>1227</v>
      </c>
      <c r="C43" s="27">
        <f ca="1">COUNTIFS(LIBRO_SOCIOS!X:X,"&gt;0",LIBRO_SOCIOS!X:X,"&lt;11",LIBRO_SOCIOS!M:M,"ZITRON-ASCAZ ambulatoria",LIBRO_SOCIOS!V:V,"h")</f>
        <v>4</v>
      </c>
      <c r="D43" s="28">
        <f ca="1">(C43/$C$46)</f>
        <v>0.5</v>
      </c>
      <c r="F43" s="42"/>
      <c r="G43" s="30" t="s">
        <v>1227</v>
      </c>
      <c r="H43" s="27">
        <f ca="1">COUNTIFS(LIBRO_SOCIOS!X:X,"&gt;0",LIBRO_SOCIOS!X:X,"&lt;11",LIBRO_SOCIOS!M:M,"ZITRON-ASCAZ HOSPITALARIA",LIBRO_SOCIOS!V:V,"h")</f>
        <v>1</v>
      </c>
      <c r="I43" s="28">
        <f ca="1">(H43/$H$46)</f>
        <v>2.3809523809523808E-2</v>
      </c>
      <c r="K43" s="42"/>
      <c r="L43" s="30" t="s">
        <v>1227</v>
      </c>
      <c r="M43" s="27">
        <f t="shared" ca="1" si="50"/>
        <v>5</v>
      </c>
      <c r="N43" s="28">
        <f ca="1">(M43/$M$46)</f>
        <v>0.1</v>
      </c>
      <c r="P43" s="43"/>
      <c r="S43" s="44"/>
      <c r="T43" s="30" t="s">
        <v>1227</v>
      </c>
      <c r="U43" s="27">
        <f ca="1">COUNTIFS(LIBRO_SOCIOS!X:X,"&gt;0",LIBRO_SOCIOS!X:X,"&lt;11",LIBRO_SOCIOS!M:M,"ASCAZ ambulatoria",LIBRO_SOCIOS!V:V,"h")</f>
        <v>2</v>
      </c>
      <c r="V43" s="28">
        <f ca="1">(U43/$U$46)</f>
        <v>0.16666666666666666</v>
      </c>
      <c r="X43" s="42"/>
      <c r="Y43" s="30" t="s">
        <v>1227</v>
      </c>
      <c r="Z43" s="27">
        <f ca="1">COUNTIFS(LIBRO_SOCIOS!X:X,"&gt;0",LIBRO_SOCIOS!X:X,"&lt;11",LIBRO_SOCIOS!M:M,"ASCAZ HOSPITALARIA",LIBRO_SOCIOS!V:V,"h")</f>
        <v>2</v>
      </c>
      <c r="AA43" s="28">
        <f ca="1">(Z43/$Z$46)</f>
        <v>4.4444444444444446E-2</v>
      </c>
      <c r="AC43" s="42"/>
      <c r="AD43" s="30" t="s">
        <v>1227</v>
      </c>
      <c r="AE43" s="27">
        <f t="shared" ca="1" si="51"/>
        <v>4</v>
      </c>
      <c r="AF43" s="28">
        <f ca="1">(AE43/$AE$46)</f>
        <v>7.0175438596491224E-2</v>
      </c>
      <c r="AH43" s="43"/>
      <c r="AK43" s="44"/>
      <c r="AL43" s="30" t="s">
        <v>1227</v>
      </c>
      <c r="AM43" s="27">
        <f ca="1">C43+U43</f>
        <v>6</v>
      </c>
      <c r="AN43" s="28">
        <f ca="1">(AM43/$AM$46)</f>
        <v>0.3</v>
      </c>
      <c r="AP43" s="42"/>
      <c r="AQ43" s="30" t="s">
        <v>1227</v>
      </c>
      <c r="AR43" s="27">
        <f ca="1">Z43+H43</f>
        <v>3</v>
      </c>
      <c r="AS43" s="28">
        <f ca="1">(AR43/$AR$46)</f>
        <v>3.4482758620689655E-2</v>
      </c>
      <c r="AU43" s="42"/>
      <c r="AV43" s="30" t="s">
        <v>1227</v>
      </c>
      <c r="AW43" s="27">
        <f t="shared" ca="1" si="54"/>
        <v>9</v>
      </c>
      <c r="AX43" s="28">
        <f ca="1">(AW43/$AW$46)</f>
        <v>8.4112149532710276E-2</v>
      </c>
      <c r="AZ43" s="43"/>
      <c r="BB43" s="279"/>
    </row>
    <row r="44" spans="1:54" ht="15" customHeight="1" x14ac:dyDescent="0.25">
      <c r="A44" s="44"/>
      <c r="F44" s="42"/>
      <c r="I44" s="31"/>
      <c r="J44" s="31"/>
      <c r="K44" s="42"/>
      <c r="P44" s="43"/>
      <c r="S44" s="44"/>
      <c r="V44" s="31"/>
      <c r="X44" s="42"/>
      <c r="AA44" s="31"/>
      <c r="AB44" s="31"/>
      <c r="AC44" s="42"/>
      <c r="AH44" s="43"/>
      <c r="AK44" s="44"/>
      <c r="AP44" s="42"/>
      <c r="AS44" s="31"/>
      <c r="AT44" s="31"/>
      <c r="AU44" s="42"/>
      <c r="AZ44" s="43"/>
      <c r="BB44" s="279"/>
    </row>
    <row r="45" spans="1:54" ht="15" customHeight="1" x14ac:dyDescent="0.25">
      <c r="A45" s="44"/>
      <c r="B45" s="27"/>
      <c r="C45" s="27"/>
      <c r="D45" s="28"/>
      <c r="E45" s="28"/>
      <c r="F45" s="42"/>
      <c r="G45" s="27"/>
      <c r="H45" s="27"/>
      <c r="I45" s="32"/>
      <c r="J45" s="28"/>
      <c r="K45" s="42"/>
      <c r="L45" s="27"/>
      <c r="M45" s="27"/>
      <c r="N45" s="28"/>
      <c r="O45" s="28"/>
      <c r="P45" s="43"/>
      <c r="S45" s="44"/>
      <c r="T45" s="27"/>
      <c r="U45" s="27"/>
      <c r="V45" s="28"/>
      <c r="W45" s="28"/>
      <c r="X45" s="42"/>
      <c r="Y45" s="27"/>
      <c r="Z45" s="27"/>
      <c r="AA45" s="32"/>
      <c r="AB45" s="28"/>
      <c r="AC45" s="42"/>
      <c r="AD45" s="27"/>
      <c r="AE45" s="27"/>
      <c r="AF45" s="28"/>
      <c r="AG45" s="28"/>
      <c r="AH45" s="43"/>
      <c r="AK45" s="44"/>
      <c r="AL45" s="27"/>
      <c r="AM45" s="27"/>
      <c r="AN45" s="28"/>
      <c r="AO45" s="28"/>
      <c r="AP45" s="42"/>
      <c r="AQ45" s="27"/>
      <c r="AR45" s="27"/>
      <c r="AS45" s="32"/>
      <c r="AT45" s="28"/>
      <c r="AU45" s="42"/>
      <c r="AV45" s="27"/>
      <c r="AW45" s="27"/>
      <c r="AX45" s="28"/>
      <c r="AY45" s="28"/>
      <c r="AZ45" s="43"/>
      <c r="BB45" s="279"/>
    </row>
    <row r="46" spans="1:54" ht="15" customHeight="1" x14ac:dyDescent="0.25">
      <c r="A46" s="44"/>
      <c r="B46" s="27" t="s">
        <v>1232</v>
      </c>
      <c r="C46" s="27">
        <f ca="1">SUM(C35:C43)</f>
        <v>8</v>
      </c>
      <c r="D46" s="28"/>
      <c r="E46" s="32"/>
      <c r="F46" s="42"/>
      <c r="G46" s="27" t="s">
        <v>1232</v>
      </c>
      <c r="H46" s="27">
        <f ca="1">SUM(H35:H43)</f>
        <v>42</v>
      </c>
      <c r="I46" s="32"/>
      <c r="J46" s="32"/>
      <c r="K46" s="42"/>
      <c r="L46" s="27" t="s">
        <v>1232</v>
      </c>
      <c r="M46" s="27">
        <f ca="1">SUM(M35:M43)</f>
        <v>50</v>
      </c>
      <c r="N46" s="32"/>
      <c r="O46" s="32"/>
      <c r="P46" s="43"/>
      <c r="S46" s="44"/>
      <c r="T46" s="27" t="s">
        <v>1232</v>
      </c>
      <c r="U46" s="27">
        <f ca="1">SUM(U35:U43)</f>
        <v>12</v>
      </c>
      <c r="V46" s="28"/>
      <c r="W46" s="32"/>
      <c r="X46" s="42"/>
      <c r="Y46" s="27" t="s">
        <v>1232</v>
      </c>
      <c r="Z46" s="27">
        <f ca="1">SUM(Z35:Z43)</f>
        <v>45</v>
      </c>
      <c r="AA46" s="32"/>
      <c r="AB46" s="32"/>
      <c r="AC46" s="42"/>
      <c r="AD46" s="27" t="s">
        <v>1232</v>
      </c>
      <c r="AE46" s="27">
        <f ca="1">SUM(AE35:AE43)</f>
        <v>57</v>
      </c>
      <c r="AF46" s="32"/>
      <c r="AG46" s="32"/>
      <c r="AH46" s="43"/>
      <c r="AK46" s="44"/>
      <c r="AL46" s="27" t="s">
        <v>1232</v>
      </c>
      <c r="AM46" s="27">
        <f ca="1">SUM(AM35:AM43)</f>
        <v>20</v>
      </c>
      <c r="AN46" s="28"/>
      <c r="AO46" s="32"/>
      <c r="AP46" s="42"/>
      <c r="AQ46" s="27" t="s">
        <v>1232</v>
      </c>
      <c r="AR46" s="27">
        <f ca="1">SUM(AR35:AR43)</f>
        <v>87</v>
      </c>
      <c r="AS46" s="32"/>
      <c r="AT46" s="32"/>
      <c r="AU46" s="42"/>
      <c r="AV46" s="27" t="s">
        <v>1232</v>
      </c>
      <c r="AW46" s="27">
        <f ca="1">AM46+AR46</f>
        <v>107</v>
      </c>
      <c r="AX46" s="32"/>
      <c r="AY46" s="32"/>
      <c r="AZ46" s="43"/>
      <c r="BB46" s="279"/>
    </row>
    <row r="47" spans="1:54" ht="15" customHeight="1" x14ac:dyDescent="0.25">
      <c r="A47" s="44"/>
      <c r="B47" s="27"/>
      <c r="C47" s="33"/>
      <c r="D47" s="32"/>
      <c r="E47" s="32"/>
      <c r="F47" s="42"/>
      <c r="G47" s="27"/>
      <c r="H47" s="27"/>
      <c r="I47" s="32"/>
      <c r="J47" s="32"/>
      <c r="K47" s="42"/>
      <c r="L47" s="27"/>
      <c r="M47" s="33"/>
      <c r="N47" s="32"/>
      <c r="O47" s="32"/>
      <c r="P47" s="43"/>
      <c r="S47" s="44"/>
      <c r="T47" s="27"/>
      <c r="U47" s="33"/>
      <c r="V47" s="32"/>
      <c r="W47" s="32"/>
      <c r="X47" s="42"/>
      <c r="Y47" s="27"/>
      <c r="Z47" s="27"/>
      <c r="AA47" s="32"/>
      <c r="AB47" s="32"/>
      <c r="AC47" s="42"/>
      <c r="AD47" s="27"/>
      <c r="AE47" s="33"/>
      <c r="AF47" s="32"/>
      <c r="AG47" s="32"/>
      <c r="AH47" s="43"/>
      <c r="AK47" s="44"/>
      <c r="AL47" s="27"/>
      <c r="AM47" s="33"/>
      <c r="AN47" s="32"/>
      <c r="AO47" s="32"/>
      <c r="AP47" s="42"/>
      <c r="AQ47" s="27"/>
      <c r="AR47" s="27"/>
      <c r="AS47" s="32"/>
      <c r="AT47" s="32"/>
      <c r="AU47" s="42"/>
      <c r="AV47" s="27"/>
      <c r="AW47" s="33"/>
      <c r="AX47" s="32"/>
      <c r="AY47" s="32"/>
      <c r="AZ47" s="43"/>
      <c r="BB47" s="279"/>
    </row>
    <row r="48" spans="1:54" ht="15" customHeight="1" x14ac:dyDescent="0.25">
      <c r="A48" s="44"/>
      <c r="B48" s="27"/>
      <c r="C48" s="27" t="s">
        <v>1228</v>
      </c>
      <c r="D48" s="32"/>
      <c r="E48" s="32"/>
      <c r="F48" s="42"/>
      <c r="G48" s="27"/>
      <c r="H48" s="27" t="s">
        <v>1228</v>
      </c>
      <c r="I48" s="32"/>
      <c r="J48" s="32"/>
      <c r="K48" s="42"/>
      <c r="L48" s="27"/>
      <c r="M48" s="27" t="s">
        <v>1228</v>
      </c>
      <c r="N48" s="32"/>
      <c r="O48" s="32"/>
      <c r="P48" s="43"/>
      <c r="S48" s="44"/>
      <c r="T48" s="27"/>
      <c r="U48" s="27" t="s">
        <v>1228</v>
      </c>
      <c r="V48" s="32"/>
      <c r="W48" s="32"/>
      <c r="X48" s="42"/>
      <c r="Y48" s="27"/>
      <c r="Z48" s="27" t="s">
        <v>1228</v>
      </c>
      <c r="AA48" s="32"/>
      <c r="AB48" s="32"/>
      <c r="AC48" s="42"/>
      <c r="AD48" s="27"/>
      <c r="AE48" s="27" t="s">
        <v>1228</v>
      </c>
      <c r="AF48" s="32"/>
      <c r="AG48" s="32"/>
      <c r="AH48" s="43"/>
      <c r="AK48" s="44"/>
      <c r="AL48" s="27"/>
      <c r="AM48" s="27" t="s">
        <v>1228</v>
      </c>
      <c r="AN48" s="32"/>
      <c r="AO48" s="32"/>
      <c r="AP48" s="42"/>
      <c r="AQ48" s="27"/>
      <c r="AR48" s="27" t="s">
        <v>1228</v>
      </c>
      <c r="AS48" s="32"/>
      <c r="AT48" s="32"/>
      <c r="AU48" s="42"/>
      <c r="AV48" s="27"/>
      <c r="AW48" s="27" t="s">
        <v>1228</v>
      </c>
      <c r="AX48" s="32"/>
      <c r="AY48" s="32"/>
      <c r="AZ48" s="43"/>
      <c r="BB48" s="279"/>
    </row>
    <row r="49" spans="1:54" ht="15" customHeight="1" x14ac:dyDescent="0.25">
      <c r="A49" s="44"/>
      <c r="B49" s="27"/>
      <c r="C49" s="34">
        <f ca="1">((5*C43)+(15*C42)+(25*C41)+(35*C40)+(45*C39)+(55*C38)+(65*C37)+(75*C36)+(85*C35))/C46</f>
        <v>16.25</v>
      </c>
      <c r="D49" s="32"/>
      <c r="E49" s="32"/>
      <c r="F49" s="42"/>
      <c r="G49" s="27"/>
      <c r="H49" s="34">
        <f ca="1">((5*H43)+(15*H42)+(25*H41)+(35*H40)+(45*H39)+(55*H38)+(65*H37)+(75*H36)+(85*H35))/H46</f>
        <v>40</v>
      </c>
      <c r="I49" s="32"/>
      <c r="J49" s="32"/>
      <c r="K49" s="42"/>
      <c r="L49" s="27"/>
      <c r="M49" s="34">
        <f ca="1">((5*M43)+(15*M42)+(25*M41)+(35*M40)+(45*M39)+(55*M38)+(65*M37)+(75*M36)+(85*M35))/M46</f>
        <v>36.200000000000003</v>
      </c>
      <c r="N49" s="32"/>
      <c r="O49" s="32"/>
      <c r="P49" s="43"/>
      <c r="S49" s="44"/>
      <c r="T49" s="27"/>
      <c r="U49" s="34">
        <f ca="1">((5*U43)+(15*U42)+(25*U41)+(35*U40)+(45*U39)+(55*U38)+(65*U37)+(75*U36)+(85*U35))/U46</f>
        <v>43.333333333333336</v>
      </c>
      <c r="V49" s="32"/>
      <c r="W49" s="32"/>
      <c r="X49" s="42"/>
      <c r="Y49" s="27"/>
      <c r="Z49" s="34">
        <f ca="1">((5*Z43)+(15*Z42)+(25*Z41)+(35*Z40)+(45*Z39)+(55*Z38)+(65*Z37)+(75*Z36)+(85*Z35))/Z46</f>
        <v>43.888888888888886</v>
      </c>
      <c r="AA49" s="32"/>
      <c r="AB49" s="32"/>
      <c r="AC49" s="42"/>
      <c r="AD49" s="27"/>
      <c r="AE49" s="34">
        <f ca="1">((5*AE43)+(15*AE42)+(25*AE41)+(35*AE40)+(45*AE39)+(55*AE38)+(65*AE37)+(75*AE36)+(85*AE35))/AE46</f>
        <v>43.771929824561404</v>
      </c>
      <c r="AF49" s="32"/>
      <c r="AG49" s="32"/>
      <c r="AH49" s="43"/>
      <c r="AK49" s="44"/>
      <c r="AL49" s="27"/>
      <c r="AM49" s="34">
        <f ca="1">((5*AM43)+(15*AM42)+(25*AM41)+(35*AM40)+(45*AM39)+(55*AM38)+(65*AM37)+(75*AM36)+(85*AM35))/AM46</f>
        <v>32.5</v>
      </c>
      <c r="AN49" s="32"/>
      <c r="AO49" s="32"/>
      <c r="AP49" s="42"/>
      <c r="AQ49" s="27"/>
      <c r="AR49" s="34">
        <f ca="1">((5*AR43)+(15*AR42)+(25*AR41)+(35*AR40)+(45*AR39)+(55*AR38)+(65*AR37)+(75*AR36)+(85*AR35))/AR46</f>
        <v>42.011494252873561</v>
      </c>
      <c r="AS49" s="32"/>
      <c r="AT49" s="32"/>
      <c r="AU49" s="42"/>
      <c r="AV49" s="27"/>
      <c r="AW49" s="34">
        <f ca="1">((5*AW43)+(15*AW42)+(25*AW41)+(35*AW40)+(45*AW39)+(55*AW38)+(65*AW37)+(75*AW36)+(85*AW35))/AW46</f>
        <v>40.233644859813083</v>
      </c>
      <c r="AX49" s="32"/>
      <c r="AY49" s="32"/>
      <c r="AZ49" s="43"/>
      <c r="BB49" s="279"/>
    </row>
    <row r="50" spans="1:54" ht="15.75" customHeight="1" thickBot="1" x14ac:dyDescent="0.3">
      <c r="A50" s="45"/>
      <c r="B50" s="46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68"/>
      <c r="S50" s="45"/>
      <c r="T50" s="46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68"/>
      <c r="AK50" s="45"/>
      <c r="AL50" s="46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68"/>
      <c r="BB50" s="279"/>
    </row>
    <row r="53" spans="1:54" ht="15.75" thickBot="1" x14ac:dyDescent="0.3"/>
    <row r="54" spans="1:54" ht="15" customHeight="1" x14ac:dyDescent="0.25">
      <c r="A54" s="69"/>
      <c r="B54" s="270" t="s">
        <v>1230</v>
      </c>
      <c r="C54" s="270"/>
      <c r="D54" s="272">
        <f ca="1">C67/M67</f>
        <v>0.13953488372093023</v>
      </c>
      <c r="E54" s="272"/>
      <c r="F54" s="48"/>
      <c r="G54" s="270" t="s">
        <v>1231</v>
      </c>
      <c r="H54" s="270"/>
      <c r="I54" s="272">
        <f ca="1">H67/M67</f>
        <v>0.86046511627906974</v>
      </c>
      <c r="J54" s="272"/>
      <c r="K54" s="48"/>
      <c r="L54" s="270" t="s">
        <v>1232</v>
      </c>
      <c r="M54" s="270"/>
      <c r="N54" s="274">
        <f ca="1">I54+D54</f>
        <v>1</v>
      </c>
      <c r="O54" s="274"/>
      <c r="P54" s="49"/>
      <c r="S54" s="69"/>
      <c r="T54" s="270" t="s">
        <v>1230</v>
      </c>
      <c r="U54" s="270"/>
      <c r="V54" s="272">
        <f ca="1">U67/AE67</f>
        <v>0.189873417721519</v>
      </c>
      <c r="W54" s="272"/>
      <c r="X54" s="48"/>
      <c r="Y54" s="270" t="s">
        <v>1231</v>
      </c>
      <c r="Z54" s="270"/>
      <c r="AA54" s="272">
        <f ca="1">Z67/AE67</f>
        <v>0.810126582278481</v>
      </c>
      <c r="AB54" s="272"/>
      <c r="AC54" s="48"/>
      <c r="AD54" s="270" t="s">
        <v>1232</v>
      </c>
      <c r="AE54" s="270"/>
      <c r="AF54" s="274">
        <f ca="1">AA54+V54</f>
        <v>1</v>
      </c>
      <c r="AG54" s="274"/>
      <c r="AH54" s="49"/>
      <c r="AK54" s="69"/>
      <c r="AL54" s="270" t="s">
        <v>1230</v>
      </c>
      <c r="AM54" s="270"/>
      <c r="AN54" s="272">
        <f ca="1">AM67/AW67</f>
        <v>0.1721311475409836</v>
      </c>
      <c r="AO54" s="272"/>
      <c r="AP54" s="48"/>
      <c r="AQ54" s="270" t="s">
        <v>1231</v>
      </c>
      <c r="AR54" s="270"/>
      <c r="AS54" s="272">
        <f ca="1">AR67/AW67</f>
        <v>0.82786885245901642</v>
      </c>
      <c r="AT54" s="272"/>
      <c r="AU54" s="48"/>
      <c r="AV54" s="270" t="s">
        <v>1232</v>
      </c>
      <c r="AW54" s="270"/>
      <c r="AX54" s="274">
        <f ca="1">AS54+AN54</f>
        <v>1</v>
      </c>
      <c r="AY54" s="274"/>
      <c r="AZ54" s="49"/>
      <c r="BB54" s="276">
        <f ca="1">AW67/AW25</f>
        <v>0.53275109170305679</v>
      </c>
    </row>
    <row r="55" spans="1:54" ht="15" customHeight="1" x14ac:dyDescent="0.25">
      <c r="A55" s="70"/>
      <c r="B55" s="271"/>
      <c r="C55" s="271"/>
      <c r="D55" s="273"/>
      <c r="E55" s="273"/>
      <c r="F55" s="50"/>
      <c r="G55" s="271"/>
      <c r="H55" s="271"/>
      <c r="I55" s="273"/>
      <c r="J55" s="273"/>
      <c r="K55" s="50"/>
      <c r="L55" s="271"/>
      <c r="M55" s="271"/>
      <c r="N55" s="275"/>
      <c r="O55" s="275"/>
      <c r="P55" s="51"/>
      <c r="S55" s="70"/>
      <c r="T55" s="271"/>
      <c r="U55" s="271"/>
      <c r="V55" s="273"/>
      <c r="W55" s="273"/>
      <c r="X55" s="50"/>
      <c r="Y55" s="271"/>
      <c r="Z55" s="271"/>
      <c r="AA55" s="273"/>
      <c r="AB55" s="273"/>
      <c r="AC55" s="50"/>
      <c r="AD55" s="271"/>
      <c r="AE55" s="271"/>
      <c r="AF55" s="275"/>
      <c r="AG55" s="275"/>
      <c r="AH55" s="51"/>
      <c r="AK55" s="70"/>
      <c r="AL55" s="271"/>
      <c r="AM55" s="271"/>
      <c r="AN55" s="273"/>
      <c r="AO55" s="273"/>
      <c r="AP55" s="50"/>
      <c r="AQ55" s="271"/>
      <c r="AR55" s="271"/>
      <c r="AS55" s="273"/>
      <c r="AT55" s="273"/>
      <c r="AU55" s="50"/>
      <c r="AV55" s="271"/>
      <c r="AW55" s="271"/>
      <c r="AX55" s="275"/>
      <c r="AY55" s="275"/>
      <c r="AZ55" s="51"/>
      <c r="BB55" s="276"/>
    </row>
    <row r="56" spans="1:54" x14ac:dyDescent="0.25">
      <c r="A56" s="52"/>
      <c r="B56" s="27" t="s">
        <v>1235</v>
      </c>
      <c r="C56" s="27">
        <f ca="1">COUNTIFS(LIBRO_SOCIOS!X:X,"&gt;80",LIBRO_SOCIOS!M:M,"ZITRON-ASCAZ ambulatoria",LIBRO_SOCIOS!V:V,"m")</f>
        <v>0</v>
      </c>
      <c r="D56" s="28">
        <f t="shared" ref="D56:D62" ca="1" si="55">(C56/$C$46)</f>
        <v>0</v>
      </c>
      <c r="E56" s="28">
        <f t="shared" ref="E56:E57" ca="1" si="56">E57+D56</f>
        <v>0.75</v>
      </c>
      <c r="F56" s="50"/>
      <c r="G56" s="27" t="s">
        <v>1235</v>
      </c>
      <c r="H56" s="27">
        <f ca="1">COUNTIFS(LIBRO_SOCIOS!X:X,"&gt;80",LIBRO_SOCIOS!M:M,"ZITRON-ASCAZ HOSPITALARIA",LIBRO_SOCIOS!V:V,"m")</f>
        <v>0</v>
      </c>
      <c r="I56" s="28">
        <f t="shared" ref="I56:I62" ca="1" si="57">(H56/$H$46)</f>
        <v>0</v>
      </c>
      <c r="J56" s="28">
        <f t="shared" ref="J56:J61" ca="1" si="58">J57+I56</f>
        <v>0.88095238095238082</v>
      </c>
      <c r="K56" s="50"/>
      <c r="L56" s="27" t="s">
        <v>1235</v>
      </c>
      <c r="M56" s="27">
        <f ca="1">C56+H56</f>
        <v>0</v>
      </c>
      <c r="N56" s="28">
        <f t="shared" ref="N56:N62" ca="1" si="59">(M56/$M$46)</f>
        <v>0</v>
      </c>
      <c r="O56" s="28">
        <f t="shared" ref="O56:O61" ca="1" si="60">O57+N56</f>
        <v>0.8600000000000001</v>
      </c>
      <c r="P56" s="51"/>
      <c r="S56" s="52"/>
      <c r="T56" s="27" t="s">
        <v>1235</v>
      </c>
      <c r="U56" s="27">
        <f ca="1">COUNTIFS(LIBRO_SOCIOS!X:X,"&gt;80",LIBRO_SOCIOS!M:M,"ASCAZ ambulatoria",LIBRO_SOCIOS!V:V,"m")</f>
        <v>0</v>
      </c>
      <c r="V56" s="28">
        <f t="shared" ref="V56:V62" ca="1" si="61">(U56/$U$46)</f>
        <v>0</v>
      </c>
      <c r="W56" s="28">
        <f t="shared" ref="W56:W61" ca="1" si="62">W57+V56</f>
        <v>1.25</v>
      </c>
      <c r="X56" s="50"/>
      <c r="Y56" s="27" t="s">
        <v>1235</v>
      </c>
      <c r="Z56" s="27">
        <f ca="1">COUNTIFS(LIBRO_SOCIOS!X:X,"&gt;80",LIBRO_SOCIOS!M:M,"ASCAZ HOSPITALARIA",LIBRO_SOCIOS!V:V,"m")</f>
        <v>1</v>
      </c>
      <c r="AA56" s="28">
        <f t="shared" ref="AA56:AA62" ca="1" si="63">(Z56/$Z$46)</f>
        <v>2.2222222222222223E-2</v>
      </c>
      <c r="AB56" s="28">
        <f t="shared" ref="AB56:AB61" ca="1" si="64">AB57+AA56</f>
        <v>1.4222222222222221</v>
      </c>
      <c r="AC56" s="50"/>
      <c r="AD56" s="27" t="s">
        <v>1235</v>
      </c>
      <c r="AE56" s="27">
        <f t="shared" ref="AE56:AE57" ca="1" si="65">U56+Z56</f>
        <v>1</v>
      </c>
      <c r="AF56" s="28">
        <f t="shared" ref="AF56:AF62" ca="1" si="66">(AE56/$AE$46)</f>
        <v>1.7543859649122806E-2</v>
      </c>
      <c r="AG56" s="28">
        <f ca="1">AG57+AF56</f>
        <v>1.3859649122807016</v>
      </c>
      <c r="AH56" s="51"/>
      <c r="AK56" s="52"/>
      <c r="AL56" s="27" t="s">
        <v>1235</v>
      </c>
      <c r="AM56" s="27">
        <f t="shared" ref="AM56" ca="1" si="67">C56+U56</f>
        <v>0</v>
      </c>
      <c r="AN56" s="28">
        <f t="shared" ref="AN56:AN62" ca="1" si="68">(AM56/$AM$46)</f>
        <v>0</v>
      </c>
      <c r="AO56" s="28">
        <f t="shared" ref="AO56:AO61" ca="1" si="69">AO57+AN56</f>
        <v>1.05</v>
      </c>
      <c r="AP56" s="50"/>
      <c r="AQ56" s="27" t="s">
        <v>1235</v>
      </c>
      <c r="AR56" s="27">
        <f ca="1">Z56+H56</f>
        <v>1</v>
      </c>
      <c r="AS56" s="28">
        <f t="shared" ref="AS56:AS62" ca="1" si="70">(AR56/$AR$46)</f>
        <v>1.1494252873563218E-2</v>
      </c>
      <c r="AT56" s="28">
        <f t="shared" ref="AT56:AT61" ca="1" si="71">AT57+AS56</f>
        <v>1.1609195402298851</v>
      </c>
      <c r="AU56" s="50"/>
      <c r="AV56" s="27" t="s">
        <v>1235</v>
      </c>
      <c r="AW56" s="27">
        <f ca="1">AM56+AR56</f>
        <v>1</v>
      </c>
      <c r="AX56" s="28">
        <f t="shared" ref="AX56:AX62" ca="1" si="72">(AW56/$AW$46)</f>
        <v>9.3457943925233638E-3</v>
      </c>
      <c r="AY56" s="28">
        <f t="shared" ref="AY56:AY61" ca="1" si="73">AY57+AX56</f>
        <v>1.1401869158878504</v>
      </c>
      <c r="AZ56" s="51"/>
      <c r="BB56" s="276"/>
    </row>
    <row r="57" spans="1:54" x14ac:dyDescent="0.25">
      <c r="A57" s="52"/>
      <c r="B57" s="27" t="s">
        <v>1234</v>
      </c>
      <c r="C57" s="27">
        <f ca="1">COUNTIFS(LIBRO_SOCIOS!X:X,"&gt;70",LIBRO_SOCIOS!X:X,"&lt;81",LIBRO_SOCIOS!M:M,"ZITRON-ASCAZ ambulatoria",LIBRO_SOCIOS!V:V,"m")</f>
        <v>0</v>
      </c>
      <c r="D57" s="28">
        <f t="shared" ca="1" si="55"/>
        <v>0</v>
      </c>
      <c r="E57" s="28">
        <f t="shared" ca="1" si="56"/>
        <v>0.75</v>
      </c>
      <c r="F57" s="50"/>
      <c r="G57" s="27" t="s">
        <v>1234</v>
      </c>
      <c r="H57" s="27">
        <f ca="1">COUNTIFS(LIBRO_SOCIOS!X:X,"&gt;70",LIBRO_SOCIOS!X:X,"&lt;81",LIBRO_SOCIOS!M:M,"ZITRON-ASCAZ HOSPITALARIA",LIBRO_SOCIOS!V:V,"m")</f>
        <v>0</v>
      </c>
      <c r="I57" s="28">
        <f t="shared" ca="1" si="57"/>
        <v>0</v>
      </c>
      <c r="J57" s="28">
        <f t="shared" ca="1" si="58"/>
        <v>0.88095238095238082</v>
      </c>
      <c r="K57" s="50"/>
      <c r="L57" s="27" t="s">
        <v>1234</v>
      </c>
      <c r="M57" s="27">
        <f ca="1">C57+H57</f>
        <v>0</v>
      </c>
      <c r="N57" s="28">
        <f t="shared" ca="1" si="59"/>
        <v>0</v>
      </c>
      <c r="O57" s="28">
        <f t="shared" ca="1" si="60"/>
        <v>0.8600000000000001</v>
      </c>
      <c r="P57" s="51"/>
      <c r="S57" s="52"/>
      <c r="T57" s="27" t="s">
        <v>1234</v>
      </c>
      <c r="U57" s="27">
        <f ca="1">COUNTIFS(LIBRO_SOCIOS!X:X,"&gt;70",LIBRO_SOCIOS!X:X,"&lt;81",LIBRO_SOCIOS!M:M,"ASCAZ ambulatoria",LIBRO_SOCIOS!V:V,"m")</f>
        <v>0</v>
      </c>
      <c r="V57" s="28">
        <f t="shared" ca="1" si="61"/>
        <v>0</v>
      </c>
      <c r="W57" s="28">
        <f t="shared" ca="1" si="62"/>
        <v>1.25</v>
      </c>
      <c r="X57" s="50"/>
      <c r="Y57" s="27" t="s">
        <v>1234</v>
      </c>
      <c r="Z57" s="27">
        <f ca="1">COUNTIFS(LIBRO_SOCIOS!X:X,"&gt;70",LIBRO_SOCIOS!X:X,"&lt;81",LIBRO_SOCIOS!M:M,"ASCAZ HOSPITALARIA",LIBRO_SOCIOS!V:V,"m")</f>
        <v>2</v>
      </c>
      <c r="AA57" s="28">
        <f t="shared" ca="1" si="63"/>
        <v>4.4444444444444446E-2</v>
      </c>
      <c r="AB57" s="28">
        <f t="shared" ca="1" si="64"/>
        <v>1.4</v>
      </c>
      <c r="AC57" s="50"/>
      <c r="AD57" s="27" t="s">
        <v>1234</v>
      </c>
      <c r="AE57" s="27">
        <f t="shared" ca="1" si="65"/>
        <v>2</v>
      </c>
      <c r="AF57" s="28">
        <f t="shared" ca="1" si="66"/>
        <v>3.5087719298245612E-2</v>
      </c>
      <c r="AG57" s="28">
        <f t="shared" ref="AG57:AG61" ca="1" si="74">AG58+AF57</f>
        <v>1.3684210526315788</v>
      </c>
      <c r="AH57" s="51"/>
      <c r="AK57" s="52"/>
      <c r="AL57" s="27" t="s">
        <v>1234</v>
      </c>
      <c r="AM57" s="27">
        <f ca="1">C57+U57</f>
        <v>0</v>
      </c>
      <c r="AN57" s="28">
        <f t="shared" ca="1" si="68"/>
        <v>0</v>
      </c>
      <c r="AO57" s="28">
        <f t="shared" ca="1" si="69"/>
        <v>1.05</v>
      </c>
      <c r="AP57" s="50"/>
      <c r="AQ57" s="27" t="s">
        <v>1234</v>
      </c>
      <c r="AR57" s="27">
        <f t="shared" ref="AR57" ca="1" si="75">Z57+H57</f>
        <v>2</v>
      </c>
      <c r="AS57" s="28">
        <f t="shared" ca="1" si="70"/>
        <v>2.2988505747126436E-2</v>
      </c>
      <c r="AT57" s="28">
        <f t="shared" ca="1" si="71"/>
        <v>1.1494252873563218</v>
      </c>
      <c r="AU57" s="50"/>
      <c r="AV57" s="27" t="s">
        <v>1234</v>
      </c>
      <c r="AW57" s="27">
        <f t="shared" ref="AW57" ca="1" si="76">AM57+AR57</f>
        <v>2</v>
      </c>
      <c r="AX57" s="28">
        <f t="shared" ca="1" si="72"/>
        <v>1.8691588785046728E-2</v>
      </c>
      <c r="AY57" s="28">
        <f t="shared" ca="1" si="73"/>
        <v>1.1308411214953271</v>
      </c>
      <c r="AZ57" s="51"/>
      <c r="BB57" s="276"/>
    </row>
    <row r="58" spans="1:54" x14ac:dyDescent="0.25">
      <c r="A58" s="52"/>
      <c r="B58" s="27" t="s">
        <v>1233</v>
      </c>
      <c r="C58" s="27">
        <f ca="1">COUNTIFS(LIBRO_SOCIOS!X:X,"&gt;60",LIBRO_SOCIOS!X:X,"&lt;71",LIBRO_SOCIOS!M:M,"ZITRON-ASCAZ ambulatoria",LIBRO_SOCIOS!V:V,"m")</f>
        <v>0</v>
      </c>
      <c r="D58" s="28">
        <f t="shared" ca="1" si="55"/>
        <v>0</v>
      </c>
      <c r="E58" s="28">
        <f ca="1">E59+D58</f>
        <v>0.75</v>
      </c>
      <c r="F58" s="50"/>
      <c r="G58" s="27" t="s">
        <v>1233</v>
      </c>
      <c r="H58" s="27">
        <f ca="1">COUNTIFS(LIBRO_SOCIOS!X:X,"&gt;60",LIBRO_SOCIOS!X:X,"&lt;71",LIBRO_SOCIOS!M:M,"ZITRON-ASCAZ HOSPITALARIA",LIBRO_SOCIOS!V:V,"m")</f>
        <v>3</v>
      </c>
      <c r="I58" s="28">
        <f t="shared" ca="1" si="57"/>
        <v>7.1428571428571425E-2</v>
      </c>
      <c r="J58" s="28">
        <f t="shared" ca="1" si="58"/>
        <v>0.88095238095238082</v>
      </c>
      <c r="K58" s="50"/>
      <c r="L58" s="27" t="s">
        <v>1233</v>
      </c>
      <c r="M58" s="27">
        <f ca="1">C58+H58</f>
        <v>3</v>
      </c>
      <c r="N58" s="28">
        <f t="shared" ca="1" si="59"/>
        <v>0.06</v>
      </c>
      <c r="O58" s="28">
        <f t="shared" ca="1" si="60"/>
        <v>0.8600000000000001</v>
      </c>
      <c r="P58" s="51"/>
      <c r="S58" s="52"/>
      <c r="T58" s="27" t="s">
        <v>1233</v>
      </c>
      <c r="U58" s="27">
        <f ca="1">COUNTIFS(LIBRO_SOCIOS!X:X,"&gt;60",LIBRO_SOCIOS!X:X,"&lt;71",LIBRO_SOCIOS!M:M,"ASCAZ ambulatoria",LIBRO_SOCIOS!V:V,"m")</f>
        <v>5</v>
      </c>
      <c r="V58" s="28">
        <f t="shared" ca="1" si="61"/>
        <v>0.41666666666666669</v>
      </c>
      <c r="W58" s="28">
        <f t="shared" ca="1" si="62"/>
        <v>1.25</v>
      </c>
      <c r="X58" s="50"/>
      <c r="Y58" s="27" t="s">
        <v>1233</v>
      </c>
      <c r="Z58" s="27">
        <f ca="1">COUNTIFS(LIBRO_SOCIOS!X:X,"&gt;60",LIBRO_SOCIOS!X:X,"&lt;71",LIBRO_SOCIOS!M:M,"ASCAZ HOSPITALARIA",LIBRO_SOCIOS!V:V,"m")</f>
        <v>9</v>
      </c>
      <c r="AA58" s="28">
        <f t="shared" ca="1" si="63"/>
        <v>0.2</v>
      </c>
      <c r="AB58" s="28">
        <f t="shared" ca="1" si="64"/>
        <v>1.3555555555555554</v>
      </c>
      <c r="AC58" s="50"/>
      <c r="AD58" s="27" t="s">
        <v>1233</v>
      </c>
      <c r="AE58" s="27">
        <f ca="1">U58+Z58</f>
        <v>14</v>
      </c>
      <c r="AF58" s="28">
        <f t="shared" ca="1" si="66"/>
        <v>0.24561403508771928</v>
      </c>
      <c r="AG58" s="28">
        <f t="shared" ca="1" si="74"/>
        <v>1.333333333333333</v>
      </c>
      <c r="AH58" s="51"/>
      <c r="AK58" s="52"/>
      <c r="AL58" s="27" t="s">
        <v>1233</v>
      </c>
      <c r="AM58" s="27">
        <f ca="1">C58+U58</f>
        <v>5</v>
      </c>
      <c r="AN58" s="28">
        <f t="shared" ca="1" si="68"/>
        <v>0.25</v>
      </c>
      <c r="AO58" s="28">
        <f t="shared" ca="1" si="69"/>
        <v>1.05</v>
      </c>
      <c r="AP58" s="50"/>
      <c r="AQ58" s="27" t="s">
        <v>1233</v>
      </c>
      <c r="AR58" s="27">
        <f ca="1">Z58+H58</f>
        <v>12</v>
      </c>
      <c r="AS58" s="28">
        <f t="shared" ca="1" si="70"/>
        <v>0.13793103448275862</v>
      </c>
      <c r="AT58" s="28">
        <f t="shared" ca="1" si="71"/>
        <v>1.1264367816091954</v>
      </c>
      <c r="AU58" s="50"/>
      <c r="AV58" s="27" t="s">
        <v>1233</v>
      </c>
      <c r="AW58" s="27">
        <f ca="1">AM58+AR58</f>
        <v>17</v>
      </c>
      <c r="AX58" s="28">
        <f t="shared" ca="1" si="72"/>
        <v>0.15887850467289719</v>
      </c>
      <c r="AY58" s="28">
        <f t="shared" ca="1" si="73"/>
        <v>1.1121495327102804</v>
      </c>
      <c r="AZ58" s="51"/>
      <c r="BB58" s="276"/>
    </row>
    <row r="59" spans="1:54" x14ac:dyDescent="0.25">
      <c r="A59" s="52"/>
      <c r="B59" s="27" t="s">
        <v>1222</v>
      </c>
      <c r="C59" s="27">
        <f ca="1">COUNTIFS(LIBRO_SOCIOS!X:X,"&gt;50",LIBRO_SOCIOS!X:X,"&lt;61",LIBRO_SOCIOS!M:M,"ZITRON-ASCAZ ambulatoria",LIBRO_SOCIOS!V:V,"m")</f>
        <v>0</v>
      </c>
      <c r="D59" s="28">
        <f t="shared" ca="1" si="55"/>
        <v>0</v>
      </c>
      <c r="E59" s="28">
        <f t="shared" ref="E59:E61" ca="1" si="77">E60+D59</f>
        <v>0.75</v>
      </c>
      <c r="F59" s="50"/>
      <c r="G59" s="27" t="s">
        <v>1222</v>
      </c>
      <c r="H59" s="27">
        <f ca="1">COUNTIFS(LIBRO_SOCIOS!X:X,"&gt;50",LIBRO_SOCIOS!X:X,"&lt;61",LIBRO_SOCIOS!M:M,"ZITRON-ASCAZ HOSPITALARIA",LIBRO_SOCIOS!V:V,"m")</f>
        <v>3</v>
      </c>
      <c r="I59" s="28">
        <f t="shared" ca="1" si="57"/>
        <v>7.1428571428571425E-2</v>
      </c>
      <c r="J59" s="28">
        <f t="shared" ca="1" si="58"/>
        <v>0.80952380952380942</v>
      </c>
      <c r="K59" s="50"/>
      <c r="L59" s="27" t="s">
        <v>1222</v>
      </c>
      <c r="M59" s="27">
        <f t="shared" ref="M59:M64" ca="1" si="78">C59+H59</f>
        <v>3</v>
      </c>
      <c r="N59" s="28">
        <f t="shared" ca="1" si="59"/>
        <v>0.06</v>
      </c>
      <c r="O59" s="28">
        <f t="shared" ca="1" si="60"/>
        <v>0.8</v>
      </c>
      <c r="P59" s="51"/>
      <c r="S59" s="52"/>
      <c r="T59" s="27" t="s">
        <v>1222</v>
      </c>
      <c r="U59" s="27">
        <f ca="1">COUNTIFS(LIBRO_SOCIOS!X:X,"&gt;50",LIBRO_SOCIOS!X:X,"&lt;61",LIBRO_SOCIOS!M:M,"ASCAZ ambulatoria",LIBRO_SOCIOS!V:V,"m")</f>
        <v>3</v>
      </c>
      <c r="V59" s="28">
        <f t="shared" ca="1" si="61"/>
        <v>0.25</v>
      </c>
      <c r="W59" s="28">
        <f t="shared" ca="1" si="62"/>
        <v>0.83333333333333326</v>
      </c>
      <c r="X59" s="50"/>
      <c r="Y59" s="27" t="s">
        <v>1222</v>
      </c>
      <c r="Z59" s="27">
        <f ca="1">COUNTIFS(LIBRO_SOCIOS!X:X,"&gt;50",LIBRO_SOCIOS!X:X,"&lt;61",LIBRO_SOCIOS!M:M,"ASCAZ HOSPITALARIA",LIBRO_SOCIOS!V:V,"m")</f>
        <v>11</v>
      </c>
      <c r="AA59" s="28">
        <f t="shared" ca="1" si="63"/>
        <v>0.24444444444444444</v>
      </c>
      <c r="AB59" s="28">
        <f t="shared" ca="1" si="64"/>
        <v>1.1555555555555554</v>
      </c>
      <c r="AC59" s="50"/>
      <c r="AD59" s="27" t="s">
        <v>1222</v>
      </c>
      <c r="AE59" s="27">
        <f t="shared" ref="AE59:AE62" ca="1" si="79">U59+Z59</f>
        <v>14</v>
      </c>
      <c r="AF59" s="28">
        <f t="shared" ca="1" si="66"/>
        <v>0.24561403508771928</v>
      </c>
      <c r="AG59" s="28">
        <f t="shared" ca="1" si="74"/>
        <v>1.0877192982456139</v>
      </c>
      <c r="AH59" s="51"/>
      <c r="AK59" s="52"/>
      <c r="AL59" s="27" t="s">
        <v>1222</v>
      </c>
      <c r="AM59" s="27">
        <f t="shared" ref="AM59:AM63" ca="1" si="80">C59+U59</f>
        <v>3</v>
      </c>
      <c r="AN59" s="28">
        <f t="shared" ca="1" si="68"/>
        <v>0.15</v>
      </c>
      <c r="AO59" s="28">
        <f t="shared" ca="1" si="69"/>
        <v>0.8</v>
      </c>
      <c r="AP59" s="50"/>
      <c r="AQ59" s="27" t="s">
        <v>1222</v>
      </c>
      <c r="AR59" s="27">
        <f t="shared" ref="AR59:AR63" ca="1" si="81">Z59+H59</f>
        <v>14</v>
      </c>
      <c r="AS59" s="28">
        <f t="shared" ca="1" si="70"/>
        <v>0.16091954022988506</v>
      </c>
      <c r="AT59" s="28">
        <f t="shared" ca="1" si="71"/>
        <v>0.9885057471264368</v>
      </c>
      <c r="AU59" s="50"/>
      <c r="AV59" s="27" t="s">
        <v>1222</v>
      </c>
      <c r="AW59" s="27">
        <f ca="1">AM59+AR59</f>
        <v>17</v>
      </c>
      <c r="AX59" s="28">
        <f t="shared" ca="1" si="72"/>
        <v>0.15887850467289719</v>
      </c>
      <c r="AY59" s="28">
        <f t="shared" ca="1" si="73"/>
        <v>0.95327102803738317</v>
      </c>
      <c r="AZ59" s="51"/>
      <c r="BB59" s="276"/>
    </row>
    <row r="60" spans="1:54" x14ac:dyDescent="0.25">
      <c r="A60" s="52"/>
      <c r="B60" s="27" t="s">
        <v>1223</v>
      </c>
      <c r="C60" s="27">
        <f ca="1">COUNTIFS(LIBRO_SOCIOS!X:X,"&gt;40",LIBRO_SOCIOS!X:X,"&lt;51",LIBRO_SOCIOS!M:M,"ZITRON-ASCAZ ambulatoria",LIBRO_SOCIOS!V:V,"m")</f>
        <v>1</v>
      </c>
      <c r="D60" s="28">
        <f t="shared" ca="1" si="55"/>
        <v>0.125</v>
      </c>
      <c r="E60" s="28">
        <f t="shared" ca="1" si="77"/>
        <v>0.75</v>
      </c>
      <c r="F60" s="50"/>
      <c r="G60" s="27" t="s">
        <v>1223</v>
      </c>
      <c r="H60" s="27">
        <f ca="1">COUNTIFS(LIBRO_SOCIOS!X:X,"&gt;40",LIBRO_SOCIOS!X:X,"&lt;51",LIBRO_SOCIOS!M:M,"ZITRON-ASCAZ HOSPITALARIA",LIBRO_SOCIOS!V:V,"m")</f>
        <v>9</v>
      </c>
      <c r="I60" s="28">
        <f t="shared" ca="1" si="57"/>
        <v>0.21428571428571427</v>
      </c>
      <c r="J60" s="28">
        <f t="shared" ca="1" si="58"/>
        <v>0.73809523809523803</v>
      </c>
      <c r="K60" s="50"/>
      <c r="L60" s="27" t="s">
        <v>1223</v>
      </c>
      <c r="M60" s="27">
        <f t="shared" ca="1" si="78"/>
        <v>10</v>
      </c>
      <c r="N60" s="28">
        <f t="shared" ca="1" si="59"/>
        <v>0.2</v>
      </c>
      <c r="O60" s="28">
        <f t="shared" ca="1" si="60"/>
        <v>0.74</v>
      </c>
      <c r="P60" s="51"/>
      <c r="S60" s="52"/>
      <c r="T60" s="27" t="s">
        <v>1223</v>
      </c>
      <c r="U60" s="27">
        <f ca="1">COUNTIFS(LIBRO_SOCIOS!X:X,"&gt;40",LIBRO_SOCIOS!X:X,"&lt;51",LIBRO_SOCIOS!M:M,"ASCAZ ambulatoria",LIBRO_SOCIOS!V:V,"m")</f>
        <v>0</v>
      </c>
      <c r="V60" s="28">
        <f t="shared" ca="1" si="61"/>
        <v>0</v>
      </c>
      <c r="W60" s="28">
        <f t="shared" ca="1" si="62"/>
        <v>0.58333333333333326</v>
      </c>
      <c r="X60" s="50"/>
      <c r="Y60" s="27" t="s">
        <v>1223</v>
      </c>
      <c r="Z60" s="27">
        <f ca="1">COUNTIFS(LIBRO_SOCIOS!X:X,"&gt;40",LIBRO_SOCIOS!X:X,"&lt;51",LIBRO_SOCIOS!M:M,"ASCAZ HOSPITALARIA",LIBRO_SOCIOS!V:V,"m")</f>
        <v>22</v>
      </c>
      <c r="AA60" s="28">
        <f ca="1">(Z60/$Z$46)</f>
        <v>0.48888888888888887</v>
      </c>
      <c r="AB60" s="28">
        <f t="shared" ca="1" si="64"/>
        <v>0.91111111111111098</v>
      </c>
      <c r="AC60" s="50"/>
      <c r="AD60" s="27" t="s">
        <v>1223</v>
      </c>
      <c r="AE60" s="27">
        <f t="shared" ca="1" si="79"/>
        <v>22</v>
      </c>
      <c r="AF60" s="28">
        <f t="shared" ca="1" si="66"/>
        <v>0.38596491228070173</v>
      </c>
      <c r="AG60" s="28">
        <f t="shared" ca="1" si="74"/>
        <v>0.84210526315789469</v>
      </c>
      <c r="AH60" s="51"/>
      <c r="AK60" s="52"/>
      <c r="AL60" s="27" t="s">
        <v>1223</v>
      </c>
      <c r="AM60" s="27">
        <f t="shared" ca="1" si="80"/>
        <v>1</v>
      </c>
      <c r="AN60" s="28">
        <f t="shared" ca="1" si="68"/>
        <v>0.05</v>
      </c>
      <c r="AO60" s="28">
        <f t="shared" ca="1" si="69"/>
        <v>0.65</v>
      </c>
      <c r="AP60" s="50"/>
      <c r="AQ60" s="27" t="s">
        <v>1223</v>
      </c>
      <c r="AR60" s="27">
        <f t="shared" ca="1" si="81"/>
        <v>31</v>
      </c>
      <c r="AS60" s="28">
        <f t="shared" ca="1" si="70"/>
        <v>0.35632183908045978</v>
      </c>
      <c r="AT60" s="28">
        <f t="shared" ca="1" si="71"/>
        <v>0.82758620689655171</v>
      </c>
      <c r="AU60" s="50"/>
      <c r="AV60" s="27" t="s">
        <v>1223</v>
      </c>
      <c r="AW60" s="27">
        <f ca="1">AM60+AR60</f>
        <v>32</v>
      </c>
      <c r="AX60" s="28">
        <f t="shared" ca="1" si="72"/>
        <v>0.29906542056074764</v>
      </c>
      <c r="AY60" s="28">
        <f t="shared" ca="1" si="73"/>
        <v>0.79439252336448596</v>
      </c>
      <c r="AZ60" s="51"/>
      <c r="BB60" s="276"/>
    </row>
    <row r="61" spans="1:54" x14ac:dyDescent="0.25">
      <c r="A61" s="52"/>
      <c r="B61" s="27" t="s">
        <v>1224</v>
      </c>
      <c r="C61" s="27">
        <f ca="1">COUNTIFS(LIBRO_SOCIOS!X:X,"&gt;30",LIBRO_SOCIOS!X:X,"&lt;41",LIBRO_SOCIOS!M:M,"ZITRON-ASCAZ ambulatoria",LIBRO_SOCIOS!V:V,"m")</f>
        <v>0</v>
      </c>
      <c r="D61" s="28">
        <f t="shared" ca="1" si="55"/>
        <v>0</v>
      </c>
      <c r="E61" s="28">
        <f t="shared" ca="1" si="77"/>
        <v>0.625</v>
      </c>
      <c r="F61" s="50"/>
      <c r="G61" s="27" t="s">
        <v>1224</v>
      </c>
      <c r="H61" s="27">
        <f ca="1">COUNTIFS(LIBRO_SOCIOS!X:X,"&gt;30",LIBRO_SOCIOS!X:X,"&lt;41",LIBRO_SOCIOS!M:M,"ZITRON-ASCAZ HOSPITALARIA",LIBRO_SOCIOS!V:V,"m")</f>
        <v>14</v>
      </c>
      <c r="I61" s="28">
        <f t="shared" ca="1" si="57"/>
        <v>0.33333333333333331</v>
      </c>
      <c r="J61" s="28">
        <f t="shared" ca="1" si="58"/>
        <v>0.52380952380952372</v>
      </c>
      <c r="K61" s="50"/>
      <c r="L61" s="27" t="s">
        <v>1224</v>
      </c>
      <c r="M61" s="27">
        <f t="shared" ca="1" si="78"/>
        <v>14</v>
      </c>
      <c r="N61" s="28">
        <f ca="1">(M61/$M$46)</f>
        <v>0.28000000000000003</v>
      </c>
      <c r="O61" s="28">
        <f t="shared" ca="1" si="60"/>
        <v>0.54</v>
      </c>
      <c r="P61" s="51"/>
      <c r="S61" s="52"/>
      <c r="T61" s="27" t="s">
        <v>1224</v>
      </c>
      <c r="U61" s="27">
        <f ca="1">COUNTIFS(LIBRO_SOCIOS!X:X,"&gt;30",LIBRO_SOCIOS!X:X,"&lt;41",LIBRO_SOCIOS!M:M,"ASCAZ ambulatoria",LIBRO_SOCIOS!V:V,"m")</f>
        <v>2</v>
      </c>
      <c r="V61" s="28">
        <f ca="1">(U61/$U$46)</f>
        <v>0.16666666666666666</v>
      </c>
      <c r="W61" s="28">
        <f t="shared" ca="1" si="62"/>
        <v>0.58333333333333326</v>
      </c>
      <c r="X61" s="50"/>
      <c r="Y61" s="27" t="s">
        <v>1224</v>
      </c>
      <c r="Z61" s="27">
        <f ca="1">COUNTIFS(LIBRO_SOCIOS!X:X,"&gt;30",LIBRO_SOCIOS!X:X,"&lt;41",LIBRO_SOCIOS!M:M,"ASCAZ HOSPITALARIA",LIBRO_SOCIOS!V:V,"m")</f>
        <v>13</v>
      </c>
      <c r="AA61" s="28">
        <f t="shared" ca="1" si="63"/>
        <v>0.28888888888888886</v>
      </c>
      <c r="AB61" s="28">
        <f t="shared" ca="1" si="64"/>
        <v>0.42222222222222217</v>
      </c>
      <c r="AC61" s="50"/>
      <c r="AD61" s="27" t="s">
        <v>1224</v>
      </c>
      <c r="AE61" s="27">
        <f t="shared" ca="1" si="79"/>
        <v>15</v>
      </c>
      <c r="AF61" s="28">
        <f t="shared" ca="1" si="66"/>
        <v>0.26315789473684209</v>
      </c>
      <c r="AG61" s="28">
        <f t="shared" ca="1" si="74"/>
        <v>0.45614035087719296</v>
      </c>
      <c r="AH61" s="51"/>
      <c r="AK61" s="52"/>
      <c r="AL61" s="27" t="s">
        <v>1224</v>
      </c>
      <c r="AM61" s="27">
        <f t="shared" ca="1" si="80"/>
        <v>2</v>
      </c>
      <c r="AN61" s="28">
        <f t="shared" ca="1" si="68"/>
        <v>0.1</v>
      </c>
      <c r="AO61" s="28">
        <f t="shared" ca="1" si="69"/>
        <v>0.6</v>
      </c>
      <c r="AP61" s="50"/>
      <c r="AQ61" s="27" t="s">
        <v>1224</v>
      </c>
      <c r="AR61" s="27">
        <f t="shared" ca="1" si="81"/>
        <v>27</v>
      </c>
      <c r="AS61" s="28">
        <f t="shared" ca="1" si="70"/>
        <v>0.31034482758620691</v>
      </c>
      <c r="AT61" s="28">
        <f t="shared" ca="1" si="71"/>
        <v>0.47126436781609193</v>
      </c>
      <c r="AU61" s="50"/>
      <c r="AV61" s="27" t="s">
        <v>1224</v>
      </c>
      <c r="AW61" s="27">
        <f ca="1">AM61+AR61</f>
        <v>29</v>
      </c>
      <c r="AX61" s="28">
        <f t="shared" ca="1" si="72"/>
        <v>0.27102803738317754</v>
      </c>
      <c r="AY61" s="28">
        <f t="shared" ca="1" si="73"/>
        <v>0.49532710280373826</v>
      </c>
      <c r="AZ61" s="51"/>
      <c r="BB61" s="276"/>
    </row>
    <row r="62" spans="1:54" x14ac:dyDescent="0.25">
      <c r="A62" s="52"/>
      <c r="B62" s="27" t="s">
        <v>1225</v>
      </c>
      <c r="C62" s="27">
        <f ca="1">COUNTIFS(LIBRO_SOCIOS!X:X,"&gt;20",LIBRO_SOCIOS!X:X,"&lt;31",LIBRO_SOCIOS!M:M,"ZITRON-ASCAZ ambulatoria",LIBRO_SOCIOS!V:V,"m")</f>
        <v>0</v>
      </c>
      <c r="D62" s="28">
        <f t="shared" ca="1" si="55"/>
        <v>0</v>
      </c>
      <c r="E62" s="28">
        <f ca="1">E63+D62</f>
        <v>0.625</v>
      </c>
      <c r="F62" s="50"/>
      <c r="G62" s="27" t="s">
        <v>1225</v>
      </c>
      <c r="H62" s="27">
        <f ca="1">COUNTIFS(LIBRO_SOCIOS!X:X,"&gt;20",LIBRO_SOCIOS!X:X,"&lt;31",LIBRO_SOCIOS!M:M,"ZITRON-ASCAZ HOSPITALARIA",LIBRO_SOCIOS!V:V,"m")</f>
        <v>2</v>
      </c>
      <c r="I62" s="28">
        <f t="shared" ca="1" si="57"/>
        <v>4.7619047619047616E-2</v>
      </c>
      <c r="J62" s="28">
        <f ca="1">J63+I62</f>
        <v>0.19047619047619047</v>
      </c>
      <c r="K62" s="50"/>
      <c r="L62" s="27" t="s">
        <v>1225</v>
      </c>
      <c r="M62" s="27">
        <f t="shared" ca="1" si="78"/>
        <v>2</v>
      </c>
      <c r="N62" s="28">
        <f t="shared" ca="1" si="59"/>
        <v>0.04</v>
      </c>
      <c r="O62" s="28">
        <f ca="1">O63+N62</f>
        <v>0.26</v>
      </c>
      <c r="P62" s="51"/>
      <c r="S62" s="52"/>
      <c r="T62" s="27" t="s">
        <v>1225</v>
      </c>
      <c r="U62" s="27">
        <f ca="1">COUNTIFS(LIBRO_SOCIOS!X:X,"&gt;20",LIBRO_SOCIOS!X:X,"&lt;31",LIBRO_SOCIOS!M:M,"ASCAZ ambulatoria",LIBRO_SOCIOS!V:V,"m")</f>
        <v>3</v>
      </c>
      <c r="V62" s="28">
        <f t="shared" ca="1" si="61"/>
        <v>0.25</v>
      </c>
      <c r="W62" s="28">
        <f ca="1">W63+V62</f>
        <v>0.41666666666666663</v>
      </c>
      <c r="X62" s="50"/>
      <c r="Y62" s="27" t="s">
        <v>1225</v>
      </c>
      <c r="Z62" s="27">
        <f ca="1">COUNTIFS(LIBRO_SOCIOS!X:X,"&gt;20",LIBRO_SOCIOS!X:X,"&lt;31",LIBRO_SOCIOS!M:M,"ASCAZ HOSPITALARIA",LIBRO_SOCIOS!V:V,"m")</f>
        <v>2</v>
      </c>
      <c r="AA62" s="28">
        <f t="shared" ca="1" si="63"/>
        <v>4.4444444444444446E-2</v>
      </c>
      <c r="AB62" s="28">
        <f ca="1">AB63+AA62</f>
        <v>0.13333333333333333</v>
      </c>
      <c r="AC62" s="50"/>
      <c r="AD62" s="27" t="s">
        <v>1225</v>
      </c>
      <c r="AE62" s="27">
        <f t="shared" ca="1" si="79"/>
        <v>5</v>
      </c>
      <c r="AF62" s="28">
        <f t="shared" ca="1" si="66"/>
        <v>8.771929824561403E-2</v>
      </c>
      <c r="AG62" s="28">
        <f ca="1">AG63+AF62</f>
        <v>0.19298245614035087</v>
      </c>
      <c r="AH62" s="51"/>
      <c r="AK62" s="52"/>
      <c r="AL62" s="27" t="s">
        <v>1225</v>
      </c>
      <c r="AM62" s="27">
        <f t="shared" ca="1" si="80"/>
        <v>3</v>
      </c>
      <c r="AN62" s="28">
        <f t="shared" ca="1" si="68"/>
        <v>0.15</v>
      </c>
      <c r="AO62" s="28">
        <f ca="1">AO63+AN62</f>
        <v>0.5</v>
      </c>
      <c r="AP62" s="50"/>
      <c r="AQ62" s="27" t="s">
        <v>1225</v>
      </c>
      <c r="AR62" s="27">
        <f t="shared" ca="1" si="81"/>
        <v>4</v>
      </c>
      <c r="AS62" s="28">
        <f t="shared" ca="1" si="70"/>
        <v>4.5977011494252873E-2</v>
      </c>
      <c r="AT62" s="28">
        <f ca="1">AT63+AS62</f>
        <v>0.16091954022988506</v>
      </c>
      <c r="AU62" s="50"/>
      <c r="AV62" s="27" t="s">
        <v>1225</v>
      </c>
      <c r="AW62" s="27">
        <f ca="1">AM62+AR62</f>
        <v>7</v>
      </c>
      <c r="AX62" s="28">
        <f t="shared" ca="1" si="72"/>
        <v>6.5420560747663545E-2</v>
      </c>
      <c r="AY62" s="28">
        <f ca="1">AY63+AX62</f>
        <v>0.22429906542056072</v>
      </c>
      <c r="AZ62" s="51"/>
      <c r="BB62" s="276"/>
    </row>
    <row r="63" spans="1:54" x14ac:dyDescent="0.25">
      <c r="A63" s="52"/>
      <c r="B63" s="29" t="s">
        <v>1226</v>
      </c>
      <c r="C63" s="27">
        <f ca="1">COUNTIFS(LIBRO_SOCIOS!X:X,"&gt;10",LIBRO_SOCIOS!X:X,"&lt;21",LIBRO_SOCIOS!M:M,"ZITRON-ASCAZ ambulatoria",LIBRO_SOCIOS!V:V,"m")</f>
        <v>1</v>
      </c>
      <c r="D63" s="28">
        <f ca="1">(C63/$C$46)</f>
        <v>0.125</v>
      </c>
      <c r="E63" s="28">
        <f ca="1">D64+D63</f>
        <v>0.625</v>
      </c>
      <c r="F63" s="50"/>
      <c r="G63" s="29" t="s">
        <v>1226</v>
      </c>
      <c r="H63" s="27">
        <f ca="1">COUNTIFS(LIBRO_SOCIOS!X:X,"&gt;10",LIBRO_SOCIOS!X:X,"&lt;21",LIBRO_SOCIOS!M:M,"ZITRON-ASCAZ HOSPITALARIA",LIBRO_SOCIOS!V:V,"m")</f>
        <v>2</v>
      </c>
      <c r="I63" s="28">
        <f ca="1">(H63/$H$46)</f>
        <v>4.7619047619047616E-2</v>
      </c>
      <c r="J63" s="28">
        <f ca="1">I64+I63</f>
        <v>0.14285714285714285</v>
      </c>
      <c r="K63" s="50"/>
      <c r="L63" s="29" t="s">
        <v>1226</v>
      </c>
      <c r="M63" s="27">
        <f t="shared" ca="1" si="78"/>
        <v>3</v>
      </c>
      <c r="N63" s="28">
        <f ca="1">(M63/$M$46)</f>
        <v>0.06</v>
      </c>
      <c r="O63" s="28">
        <f ca="1">N64+N63</f>
        <v>0.22</v>
      </c>
      <c r="P63" s="51"/>
      <c r="S63" s="52"/>
      <c r="T63" s="29" t="s">
        <v>1226</v>
      </c>
      <c r="U63" s="27">
        <f ca="1">COUNTIFS(LIBRO_SOCIOS!X:X,"&gt;10",LIBRO_SOCIOS!X:X,"&lt;21",LIBRO_SOCIOS!M:M,"ASCAZ ambulatoria",LIBRO_SOCIOS!V:V,"m")</f>
        <v>0</v>
      </c>
      <c r="V63" s="28">
        <f ca="1">(U63/$U$46)</f>
        <v>0</v>
      </c>
      <c r="W63" s="28">
        <f ca="1">V64+V63</f>
        <v>0.16666666666666666</v>
      </c>
      <c r="X63" s="50"/>
      <c r="Y63" s="29" t="s">
        <v>1226</v>
      </c>
      <c r="Z63" s="27">
        <f ca="1">COUNTIFS(LIBRO_SOCIOS!X:X,"&gt;10",LIBRO_SOCIOS!X:X,"&lt;21",LIBRO_SOCIOS!M:M,"ASCAZ HOSPITALARIA",LIBRO_SOCIOS!V:V,"m")</f>
        <v>2</v>
      </c>
      <c r="AA63" s="28">
        <f ca="1">(Z63/$Z$46)</f>
        <v>4.4444444444444446E-2</v>
      </c>
      <c r="AB63" s="28">
        <f ca="1">AA64+AA63</f>
        <v>8.8888888888888892E-2</v>
      </c>
      <c r="AC63" s="50"/>
      <c r="AD63" s="29" t="s">
        <v>1226</v>
      </c>
      <c r="AE63" s="27">
        <f ca="1">U63+Z63</f>
        <v>2</v>
      </c>
      <c r="AF63" s="28">
        <f ca="1">(AE63/$AE$46)</f>
        <v>3.5087719298245612E-2</v>
      </c>
      <c r="AG63" s="28">
        <f ca="1">AF64+AF63</f>
        <v>0.10526315789473684</v>
      </c>
      <c r="AH63" s="51"/>
      <c r="AK63" s="52"/>
      <c r="AL63" s="29" t="s">
        <v>1226</v>
      </c>
      <c r="AM63" s="27">
        <f t="shared" ca="1" si="80"/>
        <v>1</v>
      </c>
      <c r="AN63" s="28">
        <f ca="1">(AM63/$AM$46)</f>
        <v>0.05</v>
      </c>
      <c r="AO63" s="28">
        <f ca="1">AN64+AN63</f>
        <v>0.35</v>
      </c>
      <c r="AP63" s="50"/>
      <c r="AQ63" s="29" t="s">
        <v>1226</v>
      </c>
      <c r="AR63" s="27">
        <f t="shared" ca="1" si="81"/>
        <v>4</v>
      </c>
      <c r="AS63" s="28">
        <f ca="1">(AR63/$AR$46)</f>
        <v>4.5977011494252873E-2</v>
      </c>
      <c r="AT63" s="28">
        <f ca="1">AS64+AS63</f>
        <v>0.11494252873563218</v>
      </c>
      <c r="AU63" s="50"/>
      <c r="AV63" s="29" t="s">
        <v>1226</v>
      </c>
      <c r="AW63" s="27">
        <f t="shared" ref="AW63:AW64" ca="1" si="82">AM63+AR63</f>
        <v>5</v>
      </c>
      <c r="AX63" s="28">
        <f ca="1">(AW63/$AW$46)</f>
        <v>4.6728971962616821E-2</v>
      </c>
      <c r="AY63" s="28">
        <f ca="1">AX64+AX63</f>
        <v>0.15887850467289719</v>
      </c>
      <c r="AZ63" s="51"/>
      <c r="BB63" s="276"/>
    </row>
    <row r="64" spans="1:54" x14ac:dyDescent="0.25">
      <c r="A64" s="52"/>
      <c r="B64" s="30" t="s">
        <v>1227</v>
      </c>
      <c r="C64" s="27">
        <f ca="1">COUNTIFS(LIBRO_SOCIOS!X:X,"&gt;0",LIBRO_SOCIOS!X:X,"&lt;11",LIBRO_SOCIOS!M:M,"ZITRON-ASCAZ ambulatoria",LIBRO_SOCIOS!V:V,"m")</f>
        <v>4</v>
      </c>
      <c r="D64" s="28">
        <f ca="1">(C64/$C$46)</f>
        <v>0.5</v>
      </c>
      <c r="F64" s="50"/>
      <c r="G64" s="30" t="s">
        <v>1227</v>
      </c>
      <c r="H64" s="27">
        <f ca="1">COUNTIFS(LIBRO_SOCIOS!X:X,"&gt;0",LIBRO_SOCIOS!X:X,"&lt;11",LIBRO_SOCIOS!M:M,"ZITRON-ASCAZ HOSPITALARIA",LIBRO_SOCIOS!V:V,"m")</f>
        <v>4</v>
      </c>
      <c r="I64" s="28">
        <f ca="1">(H64/$H$46)</f>
        <v>9.5238095238095233E-2</v>
      </c>
      <c r="K64" s="50"/>
      <c r="L64" s="30" t="s">
        <v>1227</v>
      </c>
      <c r="M64" s="27">
        <f t="shared" ca="1" si="78"/>
        <v>8</v>
      </c>
      <c r="N64" s="28">
        <f ca="1">(M64/$M$46)</f>
        <v>0.16</v>
      </c>
      <c r="P64" s="51"/>
      <c r="S64" s="52"/>
      <c r="T64" s="30" t="s">
        <v>1227</v>
      </c>
      <c r="U64" s="27">
        <f ca="1">COUNTIFS(LIBRO_SOCIOS!X:X,"&gt;0",LIBRO_SOCIOS!X:X,"&lt;11",LIBRO_SOCIOS!M:M,"ASCAZ ambulatoria",LIBRO_SOCIOS!V:V,"m")</f>
        <v>2</v>
      </c>
      <c r="V64" s="28">
        <f ca="1">(U64/$U$46)</f>
        <v>0.16666666666666666</v>
      </c>
      <c r="X64" s="50"/>
      <c r="Y64" s="30" t="s">
        <v>1227</v>
      </c>
      <c r="Z64" s="27">
        <f ca="1">COUNTIFS(LIBRO_SOCIOS!X:X,"&gt;0",LIBRO_SOCIOS!X:X,"&lt;11",LIBRO_SOCIOS!M:M,"ASCAZ HOSPITALARIA",LIBRO_SOCIOS!V:V,"m")</f>
        <v>2</v>
      </c>
      <c r="AA64" s="28">
        <f ca="1">(Z64/$Z$46)</f>
        <v>4.4444444444444446E-2</v>
      </c>
      <c r="AC64" s="50"/>
      <c r="AD64" s="30" t="s">
        <v>1227</v>
      </c>
      <c r="AE64" s="27">
        <f t="shared" ref="AE64" ca="1" si="83">U64+Z64</f>
        <v>4</v>
      </c>
      <c r="AF64" s="28">
        <f ca="1">(AE64/$AE$46)</f>
        <v>7.0175438596491224E-2</v>
      </c>
      <c r="AH64" s="51"/>
      <c r="AK64" s="52"/>
      <c r="AL64" s="30" t="s">
        <v>1227</v>
      </c>
      <c r="AM64" s="27">
        <f ca="1">C64+U64</f>
        <v>6</v>
      </c>
      <c r="AN64" s="28">
        <f ca="1">(AM64/$AM$46)</f>
        <v>0.3</v>
      </c>
      <c r="AP64" s="50"/>
      <c r="AQ64" s="30" t="s">
        <v>1227</v>
      </c>
      <c r="AR64" s="27">
        <f ca="1">Z64+H64</f>
        <v>6</v>
      </c>
      <c r="AS64" s="28">
        <f ca="1">(AR64/$AR$46)</f>
        <v>6.8965517241379309E-2</v>
      </c>
      <c r="AU64" s="50"/>
      <c r="AV64" s="30" t="s">
        <v>1227</v>
      </c>
      <c r="AW64" s="27">
        <f t="shared" ca="1" si="82"/>
        <v>12</v>
      </c>
      <c r="AX64" s="28">
        <f ca="1">(AW64/$AW$46)</f>
        <v>0.11214953271028037</v>
      </c>
      <c r="AZ64" s="51"/>
      <c r="BB64" s="276"/>
    </row>
    <row r="65" spans="1:54" x14ac:dyDescent="0.25">
      <c r="A65" s="52"/>
      <c r="F65" s="50"/>
      <c r="I65" s="31"/>
      <c r="J65" s="31"/>
      <c r="K65" s="50"/>
      <c r="P65" s="51"/>
      <c r="S65" s="52"/>
      <c r="X65" s="50"/>
      <c r="AA65" s="31"/>
      <c r="AB65" s="31"/>
      <c r="AC65" s="50"/>
      <c r="AH65" s="51"/>
      <c r="AK65" s="52"/>
      <c r="AP65" s="50"/>
      <c r="AS65" s="31"/>
      <c r="AT65" s="31"/>
      <c r="AU65" s="50"/>
      <c r="AZ65" s="51"/>
      <c r="BB65" s="276"/>
    </row>
    <row r="66" spans="1:54" x14ac:dyDescent="0.25">
      <c r="A66" s="52"/>
      <c r="B66" s="27"/>
      <c r="C66" s="27"/>
      <c r="D66" s="28"/>
      <c r="E66" s="28"/>
      <c r="F66" s="50"/>
      <c r="G66" s="27"/>
      <c r="H66" s="27"/>
      <c r="I66" s="32"/>
      <c r="J66" s="28"/>
      <c r="K66" s="50"/>
      <c r="L66" s="27"/>
      <c r="M66" s="27"/>
      <c r="N66" s="28"/>
      <c r="O66" s="28"/>
      <c r="P66" s="51"/>
      <c r="S66" s="52"/>
      <c r="T66" s="27"/>
      <c r="U66" s="27"/>
      <c r="V66" s="28"/>
      <c r="W66" s="28"/>
      <c r="X66" s="50"/>
      <c r="Y66" s="27"/>
      <c r="Z66" s="27"/>
      <c r="AA66" s="32"/>
      <c r="AB66" s="28"/>
      <c r="AC66" s="50"/>
      <c r="AD66" s="27"/>
      <c r="AE66" s="27"/>
      <c r="AF66" s="28"/>
      <c r="AG66" s="28"/>
      <c r="AH66" s="51"/>
      <c r="AK66" s="52"/>
      <c r="AL66" s="27"/>
      <c r="AM66" s="27"/>
      <c r="AN66" s="28"/>
      <c r="AO66" s="28"/>
      <c r="AP66" s="50"/>
      <c r="AQ66" s="27"/>
      <c r="AR66" s="27"/>
      <c r="AS66" s="32"/>
      <c r="AT66" s="28"/>
      <c r="AU66" s="50"/>
      <c r="AV66" s="27"/>
      <c r="AW66" s="27"/>
      <c r="AX66" s="28"/>
      <c r="AY66" s="28"/>
      <c r="AZ66" s="51"/>
      <c r="BB66" s="276"/>
    </row>
    <row r="67" spans="1:54" x14ac:dyDescent="0.25">
      <c r="A67" s="52"/>
      <c r="B67" s="27" t="s">
        <v>1232</v>
      </c>
      <c r="C67" s="27">
        <f ca="1">SUM(C56:C64)</f>
        <v>6</v>
      </c>
      <c r="D67" s="28"/>
      <c r="E67" s="32"/>
      <c r="F67" s="50"/>
      <c r="G67" s="27" t="s">
        <v>1232</v>
      </c>
      <c r="H67" s="27">
        <f ca="1">SUM(H56:H64)</f>
        <v>37</v>
      </c>
      <c r="I67" s="32"/>
      <c r="J67" s="32"/>
      <c r="K67" s="50"/>
      <c r="L67" s="27" t="s">
        <v>1232</v>
      </c>
      <c r="M67" s="27">
        <f ca="1">SUM(M56:M64)</f>
        <v>43</v>
      </c>
      <c r="N67" s="32"/>
      <c r="O67" s="32"/>
      <c r="P67" s="51"/>
      <c r="S67" s="52"/>
      <c r="T67" s="27" t="s">
        <v>1232</v>
      </c>
      <c r="U67" s="27">
        <f ca="1">SUM(U56:U64)</f>
        <v>15</v>
      </c>
      <c r="V67" s="28"/>
      <c r="W67" s="32"/>
      <c r="X67" s="50"/>
      <c r="Y67" s="27" t="s">
        <v>1232</v>
      </c>
      <c r="Z67" s="27">
        <f ca="1">SUM(Z56:Z64)</f>
        <v>64</v>
      </c>
      <c r="AA67" s="32"/>
      <c r="AB67" s="32"/>
      <c r="AC67" s="50"/>
      <c r="AD67" s="27" t="s">
        <v>1232</v>
      </c>
      <c r="AE67" s="27">
        <f ca="1">SUM(AE56:AE64)</f>
        <v>79</v>
      </c>
      <c r="AF67" s="32"/>
      <c r="AG67" s="32"/>
      <c r="AH67" s="51"/>
      <c r="AK67" s="52"/>
      <c r="AL67" s="27" t="s">
        <v>1232</v>
      </c>
      <c r="AM67" s="27">
        <f ca="1">SUM(AM56:AM64)</f>
        <v>21</v>
      </c>
      <c r="AN67" s="28"/>
      <c r="AO67" s="32"/>
      <c r="AP67" s="50"/>
      <c r="AQ67" s="27" t="s">
        <v>1232</v>
      </c>
      <c r="AR67" s="27">
        <f ca="1">SUM(AR56:AR64)</f>
        <v>101</v>
      </c>
      <c r="AS67" s="32"/>
      <c r="AT67" s="32"/>
      <c r="AU67" s="50"/>
      <c r="AV67" s="27" t="s">
        <v>1232</v>
      </c>
      <c r="AW67" s="27">
        <f ca="1">AM67+AR67</f>
        <v>122</v>
      </c>
      <c r="AX67" s="32"/>
      <c r="AY67" s="32"/>
      <c r="AZ67" s="51"/>
      <c r="BB67" s="276"/>
    </row>
    <row r="68" spans="1:54" x14ac:dyDescent="0.25">
      <c r="A68" s="52"/>
      <c r="B68" s="27"/>
      <c r="C68" s="33"/>
      <c r="D68" s="32"/>
      <c r="E68" s="32"/>
      <c r="F68" s="50"/>
      <c r="G68" s="27"/>
      <c r="H68" s="27"/>
      <c r="I68" s="32"/>
      <c r="J68" s="32"/>
      <c r="K68" s="50"/>
      <c r="L68" s="27"/>
      <c r="M68" s="33"/>
      <c r="N68" s="32"/>
      <c r="O68" s="32"/>
      <c r="P68" s="51"/>
      <c r="S68" s="52"/>
      <c r="T68" s="27"/>
      <c r="U68" s="33"/>
      <c r="V68" s="32"/>
      <c r="W68" s="32"/>
      <c r="X68" s="50"/>
      <c r="Y68" s="27"/>
      <c r="Z68" s="27"/>
      <c r="AA68" s="32"/>
      <c r="AB68" s="32"/>
      <c r="AC68" s="50"/>
      <c r="AD68" s="27"/>
      <c r="AE68" s="33"/>
      <c r="AF68" s="32"/>
      <c r="AG68" s="32"/>
      <c r="AH68" s="51"/>
      <c r="AK68" s="52"/>
      <c r="AL68" s="27"/>
      <c r="AM68" s="33"/>
      <c r="AN68" s="32"/>
      <c r="AO68" s="32"/>
      <c r="AP68" s="50"/>
      <c r="AQ68" s="27"/>
      <c r="AR68" s="27"/>
      <c r="AS68" s="32"/>
      <c r="AT68" s="32"/>
      <c r="AU68" s="50"/>
      <c r="AV68" s="27"/>
      <c r="AW68" s="33"/>
      <c r="AX68" s="32"/>
      <c r="AY68" s="32"/>
      <c r="AZ68" s="51"/>
      <c r="BB68" s="276"/>
    </row>
    <row r="69" spans="1:54" x14ac:dyDescent="0.25">
      <c r="A69" s="52"/>
      <c r="B69" s="27"/>
      <c r="C69" s="27" t="s">
        <v>1228</v>
      </c>
      <c r="D69" s="32"/>
      <c r="E69" s="32"/>
      <c r="F69" s="50"/>
      <c r="G69" s="27"/>
      <c r="H69" s="27" t="s">
        <v>1228</v>
      </c>
      <c r="I69" s="32"/>
      <c r="J69" s="32"/>
      <c r="K69" s="50"/>
      <c r="L69" s="27"/>
      <c r="M69" s="27" t="s">
        <v>1228</v>
      </c>
      <c r="N69" s="32"/>
      <c r="O69" s="32"/>
      <c r="P69" s="51"/>
      <c r="S69" s="52"/>
      <c r="T69" s="27"/>
      <c r="U69" s="27" t="s">
        <v>1228</v>
      </c>
      <c r="V69" s="32"/>
      <c r="W69" s="32"/>
      <c r="X69" s="50"/>
      <c r="Y69" s="27"/>
      <c r="Z69" s="27" t="s">
        <v>1228</v>
      </c>
      <c r="AA69" s="32"/>
      <c r="AB69" s="32"/>
      <c r="AC69" s="50"/>
      <c r="AD69" s="27"/>
      <c r="AE69" s="27" t="s">
        <v>1228</v>
      </c>
      <c r="AF69" s="32"/>
      <c r="AG69" s="32"/>
      <c r="AH69" s="51"/>
      <c r="AK69" s="52"/>
      <c r="AL69" s="27"/>
      <c r="AM69" s="27" t="s">
        <v>1228</v>
      </c>
      <c r="AN69" s="32"/>
      <c r="AO69" s="32"/>
      <c r="AP69" s="50"/>
      <c r="AQ69" s="27"/>
      <c r="AR69" s="27" t="s">
        <v>1228</v>
      </c>
      <c r="AS69" s="32"/>
      <c r="AT69" s="32"/>
      <c r="AU69" s="50"/>
      <c r="AV69" s="27"/>
      <c r="AW69" s="27" t="s">
        <v>1228</v>
      </c>
      <c r="AX69" s="32"/>
      <c r="AY69" s="32"/>
      <c r="AZ69" s="51"/>
      <c r="BB69" s="276"/>
    </row>
    <row r="70" spans="1:54" x14ac:dyDescent="0.25">
      <c r="A70" s="52"/>
      <c r="B70" s="27"/>
      <c r="C70" s="34">
        <f ca="1">((5*C64)+(15*C63)+(25*C62)+(35*C61)+(45*C60)+(55*C59)+(65*C58)+(75*C57)+(85*C56))/C67</f>
        <v>13.333333333333334</v>
      </c>
      <c r="D70" s="32"/>
      <c r="E70" s="32"/>
      <c r="F70" s="50"/>
      <c r="G70" s="27"/>
      <c r="H70" s="34">
        <f ca="1">((5*H64)+(15*H63)+(25*H62)+(35*H61)+(45*H60)+(55*H59)+(65*H58)+(75*H57)+(85*H56))/H67</f>
        <v>36.621621621621621</v>
      </c>
      <c r="I70" s="32"/>
      <c r="J70" s="32"/>
      <c r="K70" s="50"/>
      <c r="L70" s="27"/>
      <c r="M70" s="34">
        <f ca="1">((5*M64)+(15*M63)+(25*M62)+(35*M61)+(45*M60)+(55*M59)+(65*M58)+(75*M57)+(85*M56))/M67</f>
        <v>33.372093023255815</v>
      </c>
      <c r="N70" s="32"/>
      <c r="O70" s="32"/>
      <c r="P70" s="51"/>
      <c r="S70" s="52"/>
      <c r="T70" s="27"/>
      <c r="U70" s="34">
        <f ca="1">((5*U64)+(15*U63)+(25*U62)+(35*U61)+(45*U60)+(55*U59)+(65*U58)+(75*U57)+(85*U56))/U67</f>
        <v>43</v>
      </c>
      <c r="V70" s="32"/>
      <c r="W70" s="32"/>
      <c r="X70" s="50"/>
      <c r="Y70" s="27"/>
      <c r="Z70" s="34">
        <f ca="1">((5*Z64)+(15*Z63)+(25*Z62)+(35*Z61)+(45*Z60)+(55*Z59)+(65*Z58)+(75*Z57)+(85*Z56))/Z67</f>
        <v>46.25</v>
      </c>
      <c r="AA70" s="32"/>
      <c r="AB70" s="32"/>
      <c r="AC70" s="50"/>
      <c r="AD70" s="27"/>
      <c r="AE70" s="34">
        <f ca="1">((5*AE64)+(15*AE63)+(25*AE62)+(35*AE61)+(45*AE60)+(55*AE59)+(65*AE58)+(75*AE57)+(85*AE56))/AE67</f>
        <v>45.632911392405063</v>
      </c>
      <c r="AF70" s="32"/>
      <c r="AG70" s="32"/>
      <c r="AH70" s="51"/>
      <c r="AK70" s="52"/>
      <c r="AL70" s="27"/>
      <c r="AM70" s="34">
        <f ca="1">((5*AM64)+(15*AM63)+(25*AM62)+(35*AM61)+(45*AM60)+(55*AM59)+(65*AM58)+(75*AM57)+(85*AM56))/AM67</f>
        <v>34.523809523809526</v>
      </c>
      <c r="AN70" s="32"/>
      <c r="AO70" s="32"/>
      <c r="AP70" s="50"/>
      <c r="AQ70" s="27"/>
      <c r="AR70" s="34">
        <f ca="1">((5*AR64)+(15*AR63)+(25*AR62)+(35*AR61)+(45*AR60)+(55*AR59)+(65*AR58)+(75*AR57)+(85*AR56))/AR67</f>
        <v>42.722772277227726</v>
      </c>
      <c r="AS70" s="32"/>
      <c r="AT70" s="32"/>
      <c r="AU70" s="50"/>
      <c r="AV70" s="27"/>
      <c r="AW70" s="34">
        <f ca="1">((5*AW64)+(15*AW63)+(25*AW62)+(35*AW61)+(45*AW60)+(55*AW59)+(65*AW58)+(75*AW57)+(85*AW56))/AW67</f>
        <v>41.311475409836063</v>
      </c>
      <c r="AX70" s="32"/>
      <c r="AY70" s="32"/>
      <c r="AZ70" s="51"/>
      <c r="BB70" s="276"/>
    </row>
    <row r="71" spans="1:54" ht="15.75" thickBot="1" x14ac:dyDescent="0.3">
      <c r="A71" s="53"/>
      <c r="B71" s="54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71"/>
      <c r="S71" s="53"/>
      <c r="T71" s="54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71"/>
      <c r="AK71" s="53"/>
      <c r="AL71" s="54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71"/>
      <c r="BB71" s="276"/>
    </row>
  </sheetData>
  <sheetProtection sheet="1" objects="1" scenarios="1"/>
  <mergeCells count="59">
    <mergeCell ref="AL3:AM4"/>
    <mergeCell ref="A1:P1"/>
    <mergeCell ref="S1:AH1"/>
    <mergeCell ref="AK1:AZ1"/>
    <mergeCell ref="B3:C4"/>
    <mergeCell ref="D3:E4"/>
    <mergeCell ref="G3:H4"/>
    <mergeCell ref="I3:J4"/>
    <mergeCell ref="L3:M4"/>
    <mergeCell ref="N3:O4"/>
    <mergeCell ref="T3:U4"/>
    <mergeCell ref="V3:W4"/>
    <mergeCell ref="Y3:Z4"/>
    <mergeCell ref="AA3:AB4"/>
    <mergeCell ref="AD3:AE4"/>
    <mergeCell ref="AF3:AG4"/>
    <mergeCell ref="B33:C34"/>
    <mergeCell ref="D33:E34"/>
    <mergeCell ref="G33:H34"/>
    <mergeCell ref="I33:J34"/>
    <mergeCell ref="L33:M34"/>
    <mergeCell ref="AN3:AO4"/>
    <mergeCell ref="AQ3:AR4"/>
    <mergeCell ref="AS3:AT4"/>
    <mergeCell ref="AV3:AW4"/>
    <mergeCell ref="AX3:AY4"/>
    <mergeCell ref="AV33:AW34"/>
    <mergeCell ref="N33:O34"/>
    <mergeCell ref="T33:U34"/>
    <mergeCell ref="V33:W34"/>
    <mergeCell ref="Y33:Z34"/>
    <mergeCell ref="AA33:AB34"/>
    <mergeCell ref="AD33:AE34"/>
    <mergeCell ref="AN54:AO55"/>
    <mergeCell ref="AX33:AY34"/>
    <mergeCell ref="BB33:BB50"/>
    <mergeCell ref="B54:C55"/>
    <mergeCell ref="D54:E55"/>
    <mergeCell ref="G54:H55"/>
    <mergeCell ref="I54:J55"/>
    <mergeCell ref="L54:M55"/>
    <mergeCell ref="N54:O55"/>
    <mergeCell ref="T54:U55"/>
    <mergeCell ref="V54:W55"/>
    <mergeCell ref="AF33:AG34"/>
    <mergeCell ref="AL33:AM34"/>
    <mergeCell ref="AN33:AO34"/>
    <mergeCell ref="AQ33:AR34"/>
    <mergeCell ref="AS33:AT34"/>
    <mergeCell ref="Y54:Z55"/>
    <mergeCell ref="AA54:AB55"/>
    <mergeCell ref="AD54:AE55"/>
    <mergeCell ref="AF54:AG55"/>
    <mergeCell ref="AL54:AM55"/>
    <mergeCell ref="AQ54:AR55"/>
    <mergeCell ref="AS54:AT55"/>
    <mergeCell ref="AV54:AW55"/>
    <mergeCell ref="AX54:AY55"/>
    <mergeCell ref="BB54:BB7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LIBRO_SOCIOS</vt:lpstr>
      <vt:lpstr>por apellido</vt:lpstr>
      <vt:lpstr>ANULADOS-BAJAS</vt:lpstr>
      <vt:lpstr>lista de correo</vt:lpstr>
      <vt:lpstr>TOTALES SOCIOS-PRIMAS</vt:lpstr>
      <vt:lpstr>RANGO DE EDADES COMERCIAL</vt:lpstr>
      <vt:lpstr>RANGO DE EDADES-SOLO USO ASCAZ</vt:lpstr>
      <vt:lpstr>'ANULADOS-BAJAS'!Área_de_impresión</vt:lpstr>
      <vt:lpstr>LIBRO_SOCIOS!Área_de_impresión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</dc:creator>
  <cp:lastModifiedBy>Jose Carlos</cp:lastModifiedBy>
  <cp:lastPrinted>2018-11-05T15:34:44Z</cp:lastPrinted>
  <dcterms:created xsi:type="dcterms:W3CDTF">2018-01-09T14:19:01Z</dcterms:created>
  <dcterms:modified xsi:type="dcterms:W3CDTF">2018-11-05T16:07:24Z</dcterms:modified>
</cp:coreProperties>
</file>