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afon\Desktop\"/>
    </mc:Choice>
  </mc:AlternateContent>
  <xr:revisionPtr revIDLastSave="0" documentId="8_{25CAF9E7-72B1-45A4-904A-45438F797AA2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BLDR" sheetId="1" r:id="rId1"/>
    <sheet name="BLDR WACC" sheetId="2" r:id="rId2"/>
  </sheets>
  <definedNames>
    <definedName name="solver_adj" localSheetId="0" hidden="1">BLDR!$J$64:$J$78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BLDR!$L$78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J8" i="1"/>
  <c r="C8" i="2"/>
  <c r="J48" i="1"/>
  <c r="K48" i="1"/>
  <c r="L48" i="1"/>
  <c r="M48" i="1"/>
  <c r="I48" i="1"/>
  <c r="I46" i="1"/>
  <c r="I43" i="1"/>
  <c r="G11" i="1"/>
  <c r="F11" i="1"/>
  <c r="F14" i="1"/>
  <c r="G14" i="1"/>
  <c r="E14" i="1"/>
  <c r="G8" i="1"/>
  <c r="F8" i="1"/>
  <c r="E11" i="1"/>
  <c r="H8" i="1"/>
  <c r="H52" i="1" l="1"/>
  <c r="H53" i="1" s="1"/>
  <c r="H54" i="1" s="1"/>
  <c r="H55" i="1" s="1"/>
  <c r="J50" i="1"/>
  <c r="K50" i="1" s="1"/>
  <c r="L50" i="1" s="1"/>
  <c r="H11" i="1"/>
  <c r="C13" i="2" l="1"/>
  <c r="C15" i="2" s="1"/>
  <c r="C11" i="2"/>
  <c r="C12" i="2" s="1"/>
  <c r="C2" i="2" l="1"/>
  <c r="J42" i="1"/>
  <c r="K42" i="1" s="1"/>
  <c r="L42" i="1" s="1"/>
  <c r="M42" i="1" s="1"/>
  <c r="I11" i="1" l="1"/>
  <c r="J47" i="1"/>
  <c r="K8" i="1"/>
  <c r="M8" i="1"/>
  <c r="I8" i="1"/>
  <c r="I7" i="1" s="1"/>
  <c r="J41" i="1"/>
  <c r="K41" i="1"/>
  <c r="L41" i="1"/>
  <c r="L8" i="1" s="1"/>
  <c r="M41" i="1"/>
  <c r="I41" i="1"/>
  <c r="J43" i="1"/>
  <c r="K43" i="1"/>
  <c r="L43" i="1"/>
  <c r="M43" i="1"/>
  <c r="K47" i="1" l="1"/>
  <c r="J46" i="1"/>
  <c r="J11" i="1" s="1"/>
  <c r="I10" i="1"/>
  <c r="J7" i="1"/>
  <c r="K7" i="1" s="1"/>
  <c r="L7" i="1" s="1"/>
  <c r="M7" i="1" s="1"/>
  <c r="L47" i="1" l="1"/>
  <c r="K46" i="1"/>
  <c r="K11" i="1" s="1"/>
  <c r="K10" i="1" s="1"/>
  <c r="J10" i="1"/>
  <c r="I24" i="1"/>
  <c r="I22" i="1"/>
  <c r="J22" i="1" s="1"/>
  <c r="K22" i="1" s="1"/>
  <c r="L22" i="1" s="1"/>
  <c r="M22" i="1" s="1"/>
  <c r="H22" i="1"/>
  <c r="H19" i="1"/>
  <c r="I19" i="1"/>
  <c r="J19" i="1" s="1"/>
  <c r="K19" i="1" s="1"/>
  <c r="L19" i="1" s="1"/>
  <c r="M19" i="1" s="1"/>
  <c r="H16" i="1"/>
  <c r="H27" i="1" s="1"/>
  <c r="H14" i="1"/>
  <c r="I14" i="1" s="1"/>
  <c r="I13" i="1" s="1"/>
  <c r="J5" i="1"/>
  <c r="K5" i="1" s="1"/>
  <c r="L5" i="1" s="1"/>
  <c r="M5" i="1" s="1"/>
  <c r="F27" i="1"/>
  <c r="G27" i="1"/>
  <c r="E27" i="1"/>
  <c r="F6" i="1"/>
  <c r="G6" i="1" s="1"/>
  <c r="H6" i="1" s="1"/>
  <c r="I6" i="1" s="1"/>
  <c r="J6" i="1" s="1"/>
  <c r="K6" i="1" s="1"/>
  <c r="L6" i="1" s="1"/>
  <c r="M6" i="1" s="1"/>
  <c r="L46" i="1" l="1"/>
  <c r="L11" i="1" s="1"/>
  <c r="L10" i="1" s="1"/>
  <c r="M47" i="1"/>
  <c r="M46" i="1" l="1"/>
  <c r="M11" i="1" s="1"/>
  <c r="M10" i="1" s="1"/>
  <c r="J18" i="1"/>
  <c r="J21" i="1"/>
  <c r="K18" i="1" l="1"/>
  <c r="K21" i="1"/>
  <c r="L18" i="1" l="1"/>
  <c r="L21" i="1"/>
  <c r="M21" i="1" l="1"/>
  <c r="M18" i="1"/>
  <c r="L24" i="1"/>
  <c r="K24" i="1"/>
  <c r="J24" i="1"/>
  <c r="M24" i="1"/>
  <c r="I16" i="1" l="1"/>
  <c r="I27" i="1" s="1"/>
  <c r="I28" i="1" s="1"/>
  <c r="J14" i="1"/>
  <c r="J13" i="1" l="1"/>
  <c r="J16" i="1" s="1"/>
  <c r="J27" i="1" s="1"/>
  <c r="J28" i="1" s="1"/>
  <c r="K14" i="1"/>
  <c r="K13" i="1" l="1"/>
  <c r="K16" i="1" s="1"/>
  <c r="K27" i="1" s="1"/>
  <c r="K28" i="1" s="1"/>
  <c r="L14" i="1"/>
  <c r="L13" i="1" l="1"/>
  <c r="L16" i="1" s="1"/>
  <c r="L27" i="1" s="1"/>
  <c r="L28" i="1" s="1"/>
  <c r="M14" i="1"/>
  <c r="M13" i="1" l="1"/>
  <c r="M16" i="1" s="1"/>
  <c r="M27" i="1" s="1"/>
  <c r="M28" i="1" s="1"/>
  <c r="M30" i="1" s="1"/>
  <c r="M31" i="1" s="1"/>
  <c r="M32" i="1" s="1"/>
  <c r="M35" i="1" s="1"/>
  <c r="M37" i="1" s="1"/>
  <c r="H50" i="1" s="1"/>
  <c r="F4" i="1" l="1"/>
  <c r="I3" i="1" s="1"/>
</calcChain>
</file>

<file path=xl/sharedStrings.xml><?xml version="1.0" encoding="utf-8"?>
<sst xmlns="http://schemas.openxmlformats.org/spreadsheetml/2006/main" count="51" uniqueCount="43">
  <si>
    <t>D&amp;A</t>
  </si>
  <si>
    <t>% of sales</t>
  </si>
  <si>
    <t>CapEx</t>
  </si>
  <si>
    <t>Change in NWC</t>
  </si>
  <si>
    <t>DCF</t>
  </si>
  <si>
    <t>Revenue</t>
  </si>
  <si>
    <t>% of growth</t>
  </si>
  <si>
    <t>EBIT</t>
  </si>
  <si>
    <t>% margin</t>
  </si>
  <si>
    <t>Taxes</t>
  </si>
  <si>
    <t>% of EBIT</t>
  </si>
  <si>
    <t>EBIAT</t>
  </si>
  <si>
    <t>Unlevered FCF</t>
  </si>
  <si>
    <t>PV of FCF</t>
  </si>
  <si>
    <t>Terminal Value</t>
  </si>
  <si>
    <t>WACC</t>
  </si>
  <si>
    <t>TGR</t>
  </si>
  <si>
    <t>PV TV</t>
  </si>
  <si>
    <t>Enterprise Value</t>
  </si>
  <si>
    <t>+ Cash</t>
  </si>
  <si>
    <t>- Debt</t>
  </si>
  <si>
    <t>Equity Value</t>
  </si>
  <si>
    <t>Shares</t>
  </si>
  <si>
    <t>Share Price</t>
  </si>
  <si>
    <t>Current</t>
  </si>
  <si>
    <t>Target</t>
  </si>
  <si>
    <t>Upside/Down</t>
  </si>
  <si>
    <t>Revenue Cases</t>
  </si>
  <si>
    <t>Case</t>
  </si>
  <si>
    <t>Bull</t>
  </si>
  <si>
    <t>Bear</t>
  </si>
  <si>
    <t>Base</t>
  </si>
  <si>
    <t>EBIT Margins</t>
  </si>
  <si>
    <t>Tax Rate</t>
  </si>
  <si>
    <t>RFR</t>
  </si>
  <si>
    <t>% of Debt</t>
  </si>
  <si>
    <t>Market</t>
  </si>
  <si>
    <t>MRP</t>
  </si>
  <si>
    <t>Beta</t>
  </si>
  <si>
    <t>% of Equity</t>
  </si>
  <si>
    <t>Expected Return</t>
  </si>
  <si>
    <t>Cost of Equity (CAPM)</t>
  </si>
  <si>
    <t>As of 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</si>
</sst>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9" fontId="0" fillId="0" borderId="0" xfId="2" applyFont="1" applyFill="1"/>
    <xf numFmtId="9" fontId="0" fillId="0" borderId="0" xfId="2" applyFont="1"/>
    <xf numFmtId="44" fontId="0" fillId="0" borderId="0" xfId="0" applyNumberFormat="1"/>
    <xf numFmtId="44" fontId="2" fillId="2" borderId="0" xfId="0" applyNumberFormat="1" applyFont="1" applyFill="1"/>
    <xf numFmtId="44" fontId="0" fillId="2" borderId="0" xfId="0" applyNumberFormat="1" applyFill="1"/>
    <xf numFmtId="44" fontId="3" fillId="0" borderId="0" xfId="0" applyNumberFormat="1" applyFont="1" applyAlignment="1">
      <alignment horizontal="left" indent="1"/>
    </xf>
    <xf numFmtId="44" fontId="2" fillId="0" borderId="2" xfId="0" applyNumberFormat="1" applyFont="1" applyBorder="1"/>
    <xf numFmtId="44" fontId="2" fillId="0" borderId="1" xfId="0" applyNumberFormat="1" applyFont="1" applyBorder="1"/>
    <xf numFmtId="44" fontId="2" fillId="0" borderId="0" xfId="0" applyNumberFormat="1" applyFont="1"/>
    <xf numFmtId="44" fontId="0" fillId="0" borderId="0" xfId="0" quotePrefix="1" applyNumberFormat="1" applyAlignment="1">
      <alignment horizontal="left" indent="1"/>
    </xf>
    <xf numFmtId="10" fontId="0" fillId="0" borderId="0" xfId="2" applyNumberFormat="1" applyFont="1" applyFill="1"/>
    <xf numFmtId="10" fontId="0" fillId="0" borderId="0" xfId="2" applyNumberFormat="1" applyFont="1"/>
    <xf numFmtId="9" fontId="3" fillId="0" borderId="0" xfId="2" applyFont="1"/>
    <xf numFmtId="44" fontId="3" fillId="0" borderId="0" xfId="0" applyNumberFormat="1" applyFont="1"/>
    <xf numFmtId="43" fontId="0" fillId="0" borderId="0" xfId="1" applyFont="1"/>
    <xf numFmtId="44" fontId="2" fillId="0" borderId="3" xfId="0" applyNumberFormat="1" applyFont="1" applyBorder="1"/>
    <xf numFmtId="44" fontId="0" fillId="0" borderId="3" xfId="0" applyNumberFormat="1" applyBorder="1"/>
    <xf numFmtId="44" fontId="0" fillId="0" borderId="0" xfId="0" applyNumberFormat="1" applyAlignment="1">
      <alignment horizontal="left" indent="1"/>
    </xf>
    <xf numFmtId="9" fontId="4" fillId="0" borderId="4" xfId="2" applyFont="1" applyBorder="1"/>
    <xf numFmtId="44" fontId="0" fillId="0" borderId="0" xfId="0" applyNumberFormat="1" applyAlignment="1">
      <alignment horizontal="right"/>
    </xf>
    <xf numFmtId="10" fontId="0" fillId="0" borderId="0" xfId="0" applyNumberFormat="1"/>
    <xf numFmtId="164" fontId="0" fillId="0" borderId="0" xfId="2" applyNumberFormat="1" applyFont="1"/>
    <xf numFmtId="164" fontId="0" fillId="0" borderId="0" xfId="0" applyNumberFormat="1"/>
    <xf numFmtId="9" fontId="3" fillId="0" borderId="0" xfId="0" applyNumberFormat="1" applyFont="1"/>
    <xf numFmtId="10" fontId="3" fillId="0" borderId="0" xfId="0" applyNumberFormat="1" applyFont="1"/>
    <xf numFmtId="0" fontId="5" fillId="2" borderId="0" xfId="0" applyFont="1" applyFill="1"/>
    <xf numFmtId="44" fontId="6" fillId="0" borderId="0" xfId="0" applyNumberFormat="1" applyFont="1"/>
    <xf numFmtId="44" fontId="6" fillId="0" borderId="0" xfId="1" applyNumberFormat="1" applyFont="1"/>
    <xf numFmtId="164" fontId="6" fillId="0" borderId="0" xfId="2" applyNumberFormat="1" applyFont="1"/>
    <xf numFmtId="0" fontId="6" fillId="0" borderId="0" xfId="0" applyFont="1"/>
    <xf numFmtId="44" fontId="0" fillId="0" borderId="0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9"/>
  <sheetViews>
    <sheetView showGridLines="0" zoomScaleNormal="100" workbookViewId="0">
      <selection activeCell="H1" sqref="H1"/>
    </sheetView>
  </sheetViews>
  <sheetFormatPr defaultColWidth="15.28515625" defaultRowHeight="15" x14ac:dyDescent="0.25"/>
  <cols>
    <col min="1" max="6" width="15.28515625" style="3"/>
    <col min="7" max="7" width="15.28515625" style="3" customWidth="1"/>
    <col min="8" max="8" width="18.85546875" style="3" customWidth="1"/>
    <col min="9" max="9" width="15.28515625" style="3" customWidth="1"/>
    <col min="10" max="16384" width="15.28515625" style="3"/>
  </cols>
  <sheetData>
    <row r="1" spans="2:13" x14ac:dyDescent="0.25">
      <c r="B1" s="3" t="s">
        <v>42</v>
      </c>
    </row>
    <row r="2" spans="2:13" x14ac:dyDescent="0.25">
      <c r="B2" s="3" t="s">
        <v>28</v>
      </c>
      <c r="C2" s="20" t="s">
        <v>29</v>
      </c>
    </row>
    <row r="3" spans="2:13" x14ac:dyDescent="0.25">
      <c r="B3" s="3" t="s">
        <v>15</v>
      </c>
      <c r="C3" s="11">
        <f>+'BLDR WACC'!C2</f>
        <v>0.13562419679999999</v>
      </c>
      <c r="E3" s="3" t="s">
        <v>24</v>
      </c>
      <c r="F3" s="3">
        <v>64.19</v>
      </c>
      <c r="H3" s="3" t="s">
        <v>26</v>
      </c>
      <c r="I3" s="1">
        <f>+F4/F3-1</f>
        <v>0.45932326525979361</v>
      </c>
      <c r="L3" s="1"/>
    </row>
    <row r="4" spans="2:13" x14ac:dyDescent="0.25">
      <c r="B4" s="3" t="s">
        <v>16</v>
      </c>
      <c r="C4" s="12">
        <v>0.03</v>
      </c>
      <c r="E4" s="3" t="s">
        <v>25</v>
      </c>
      <c r="F4" s="3">
        <f>+M37</f>
        <v>93.67396039702615</v>
      </c>
    </row>
    <row r="5" spans="2:13" x14ac:dyDescent="0.25">
      <c r="I5">
        <v>1</v>
      </c>
      <c r="J5">
        <f>+I5+1</f>
        <v>2</v>
      </c>
      <c r="K5">
        <f t="shared" ref="K5:M5" si="0">+J5+1</f>
        <v>3</v>
      </c>
      <c r="L5">
        <f t="shared" si="0"/>
        <v>4</v>
      </c>
      <c r="M5">
        <f t="shared" si="0"/>
        <v>5</v>
      </c>
    </row>
    <row r="6" spans="2:13" x14ac:dyDescent="0.25">
      <c r="B6" s="4" t="s">
        <v>4</v>
      </c>
      <c r="C6" s="5"/>
      <c r="D6" s="5"/>
      <c r="E6" s="26">
        <v>2018</v>
      </c>
      <c r="F6" s="26">
        <f>+E6+1</f>
        <v>2019</v>
      </c>
      <c r="G6" s="26">
        <f t="shared" ref="G6:M6" si="1">+F6+1</f>
        <v>2020</v>
      </c>
      <c r="H6" s="26">
        <f t="shared" si="1"/>
        <v>2021</v>
      </c>
      <c r="I6" s="26">
        <f t="shared" si="1"/>
        <v>2022</v>
      </c>
      <c r="J6" s="26">
        <f t="shared" si="1"/>
        <v>2023</v>
      </c>
      <c r="K6" s="26">
        <f t="shared" si="1"/>
        <v>2024</v>
      </c>
      <c r="L6" s="26">
        <f t="shared" si="1"/>
        <v>2025</v>
      </c>
      <c r="M6" s="26">
        <f t="shared" si="1"/>
        <v>2026</v>
      </c>
    </row>
    <row r="7" spans="2:13" x14ac:dyDescent="0.25">
      <c r="B7" s="3" t="s">
        <v>5</v>
      </c>
      <c r="E7" s="27">
        <v>7724771</v>
      </c>
      <c r="F7" s="27">
        <v>7280431</v>
      </c>
      <c r="G7" s="27">
        <v>8558874</v>
      </c>
      <c r="H7" s="3">
        <v>19893856</v>
      </c>
      <c r="I7" s="3">
        <f>+H7*(1+I8)</f>
        <v>22082180.16</v>
      </c>
      <c r="J7" s="3">
        <f t="shared" ref="J7:M7" si="2">+I7*(1+J8)</f>
        <v>24511219.977600001</v>
      </c>
      <c r="K7" s="3">
        <f t="shared" si="2"/>
        <v>27207454.175136004</v>
      </c>
      <c r="L7" s="3">
        <f t="shared" si="2"/>
        <v>30200274.134400968</v>
      </c>
      <c r="M7" s="3">
        <f t="shared" si="2"/>
        <v>33522304.289185077</v>
      </c>
    </row>
    <row r="8" spans="2:13" x14ac:dyDescent="0.25">
      <c r="B8" s="6" t="s">
        <v>6</v>
      </c>
      <c r="F8" s="13">
        <f>+F7/E7-1</f>
        <v>-5.7521446266821319E-2</v>
      </c>
      <c r="G8" s="13">
        <f>+G7/F7-1</f>
        <v>0.17559990610445997</v>
      </c>
      <c r="H8" s="25">
        <f>+H7/G7-1</f>
        <v>1.3243543484808864</v>
      </c>
      <c r="I8" s="13">
        <f>+IF($C$2="Bull",I41,IF($C$2="Base",I42,I43))</f>
        <v>0.11</v>
      </c>
      <c r="J8" s="13">
        <f t="shared" ref="J8:M8" si="3">+IF($C$2="Bull",J41,IF($C$2="Base",J42,J43))</f>
        <v>0.11</v>
      </c>
      <c r="K8" s="13">
        <f t="shared" si="3"/>
        <v>0.11</v>
      </c>
      <c r="L8" s="13">
        <f t="shared" si="3"/>
        <v>0.11</v>
      </c>
      <c r="M8" s="13">
        <f t="shared" si="3"/>
        <v>0.11</v>
      </c>
    </row>
    <row r="10" spans="2:13" x14ac:dyDescent="0.25">
      <c r="B10" s="3" t="s">
        <v>7</v>
      </c>
      <c r="E10" s="27">
        <v>368968</v>
      </c>
      <c r="F10" s="27">
        <v>392306</v>
      </c>
      <c r="G10" s="27">
        <v>543854</v>
      </c>
      <c r="H10" s="3">
        <v>2387424</v>
      </c>
      <c r="I10" s="3">
        <f>+I11*I7</f>
        <v>2870683.4208</v>
      </c>
      <c r="J10" s="3">
        <f t="shared" ref="J10:M10" si="4">+J11*J7</f>
        <v>3431570.7968639997</v>
      </c>
      <c r="K10" s="3">
        <f t="shared" si="4"/>
        <v>3809043.5845190403</v>
      </c>
      <c r="L10" s="3">
        <f t="shared" si="4"/>
        <v>4228038.3788161352</v>
      </c>
      <c r="M10" s="3">
        <f t="shared" si="4"/>
        <v>4693122.6004859107</v>
      </c>
    </row>
    <row r="11" spans="2:13" x14ac:dyDescent="0.25">
      <c r="B11" s="6" t="s">
        <v>8</v>
      </c>
      <c r="E11" s="24">
        <f>+E10/E7</f>
        <v>4.7764263820895145E-2</v>
      </c>
      <c r="F11" s="24">
        <f>+F10/F7</f>
        <v>5.3884996643742661E-2</v>
      </c>
      <c r="G11" s="24">
        <f>+G10/G7</f>
        <v>6.3542704332368957E-2</v>
      </c>
      <c r="H11" s="13">
        <f>+H10/H7</f>
        <v>0.1200081070256063</v>
      </c>
      <c r="I11" s="13">
        <f>+IF($C$2="Bull",I46,IF($C$2="Base",I47,I48))</f>
        <v>0.13</v>
      </c>
      <c r="J11" s="13">
        <f t="shared" ref="J11:M11" si="5">+IF($C$2="Bull",J46,IF($C$2="Base",J47,J48))</f>
        <v>0.13999999999999999</v>
      </c>
      <c r="K11" s="13">
        <f t="shared" si="5"/>
        <v>0.13999999999999999</v>
      </c>
      <c r="L11" s="13">
        <f t="shared" si="5"/>
        <v>0.13999999999999999</v>
      </c>
      <c r="M11" s="13">
        <f t="shared" si="5"/>
        <v>0.13999999999999999</v>
      </c>
    </row>
    <row r="13" spans="2:13" x14ac:dyDescent="0.25">
      <c r="B13" s="3" t="s">
        <v>9</v>
      </c>
      <c r="E13" s="27">
        <v>55564</v>
      </c>
      <c r="F13" s="27">
        <v>60946</v>
      </c>
      <c r="G13" s="27">
        <v>94629</v>
      </c>
      <c r="H13" s="3">
        <v>526131</v>
      </c>
      <c r="I13" s="3">
        <f>+I10*I14</f>
        <v>632629.78795091482</v>
      </c>
      <c r="J13" s="3">
        <f t="shared" ref="J13:M13" si="6">+J10*J14</f>
        <v>756235.915750555</v>
      </c>
      <c r="K13" s="3">
        <f t="shared" si="6"/>
        <v>839421.86648311617</v>
      </c>
      <c r="L13" s="3">
        <f t="shared" si="6"/>
        <v>931758.2717962591</v>
      </c>
      <c r="M13" s="3">
        <f t="shared" si="6"/>
        <v>1034251.6816938478</v>
      </c>
    </row>
    <row r="14" spans="2:13" x14ac:dyDescent="0.25">
      <c r="B14" s="6" t="s">
        <v>10</v>
      </c>
      <c r="E14" s="24">
        <f>+E13/E10</f>
        <v>0.15059300535547798</v>
      </c>
      <c r="F14" s="24">
        <f t="shared" ref="F14:G14" si="7">+F13/F10</f>
        <v>0.15535321917074937</v>
      </c>
      <c r="G14" s="24">
        <f t="shared" si="7"/>
        <v>0.17399706538887275</v>
      </c>
      <c r="H14" s="13">
        <f>+H13/H10</f>
        <v>0.22037602034661627</v>
      </c>
      <c r="I14" s="13">
        <f>+H14</f>
        <v>0.22037602034661627</v>
      </c>
      <c r="J14" s="13">
        <f>+I14</f>
        <v>0.22037602034661627</v>
      </c>
      <c r="K14" s="13">
        <f t="shared" ref="K14:M14" si="8">+J14</f>
        <v>0.22037602034661627</v>
      </c>
      <c r="L14" s="13">
        <f t="shared" si="8"/>
        <v>0.22037602034661627</v>
      </c>
      <c r="M14" s="13">
        <f t="shared" si="8"/>
        <v>0.22037602034661627</v>
      </c>
    </row>
    <row r="16" spans="2:13" x14ac:dyDescent="0.25">
      <c r="B16" s="7" t="s">
        <v>11</v>
      </c>
      <c r="C16" s="8"/>
      <c r="D16" s="8"/>
      <c r="E16" s="8"/>
      <c r="F16" s="8"/>
      <c r="G16" s="8"/>
      <c r="H16" s="8">
        <f>+H10-H13</f>
        <v>1861293</v>
      </c>
      <c r="I16" s="8">
        <f t="shared" ref="I16:M16" si="9">+I10-I13</f>
        <v>2238053.6328490851</v>
      </c>
      <c r="J16" s="8">
        <f t="shared" si="9"/>
        <v>2675334.8811134445</v>
      </c>
      <c r="K16" s="8">
        <f t="shared" si="9"/>
        <v>2969621.7180359242</v>
      </c>
      <c r="L16" s="8">
        <f t="shared" si="9"/>
        <v>3296280.1070198761</v>
      </c>
      <c r="M16" s="8">
        <f t="shared" si="9"/>
        <v>3658870.9187920629</v>
      </c>
    </row>
    <row r="18" spans="2:13" x14ac:dyDescent="0.25">
      <c r="B18" s="3" t="s">
        <v>0</v>
      </c>
      <c r="H18" s="3">
        <v>547352</v>
      </c>
      <c r="I18" s="3">
        <v>515604</v>
      </c>
      <c r="J18" s="3">
        <f>+J19*J7</f>
        <v>572320.43999999994</v>
      </c>
      <c r="K18" s="3">
        <f t="shared" ref="K18:M18" si="10">+K19*K7</f>
        <v>635275.68839999998</v>
      </c>
      <c r="L18" s="3">
        <f t="shared" si="10"/>
        <v>705156.0141240001</v>
      </c>
      <c r="M18" s="3">
        <f t="shared" si="10"/>
        <v>782723.17567764025</v>
      </c>
    </row>
    <row r="19" spans="2:13" x14ac:dyDescent="0.25">
      <c r="B19" s="6" t="s">
        <v>1</v>
      </c>
      <c r="H19" s="13">
        <f>+H18/H7</f>
        <v>2.7513620285579628E-2</v>
      </c>
      <c r="I19" s="13">
        <f>+I18/I7</f>
        <v>2.3349324942741521E-2</v>
      </c>
      <c r="J19" s="13">
        <f>+I19</f>
        <v>2.3349324942741521E-2</v>
      </c>
      <c r="K19" s="13">
        <f t="shared" ref="K19:M19" si="11">+J19</f>
        <v>2.3349324942741521E-2</v>
      </c>
      <c r="L19" s="13">
        <f t="shared" si="11"/>
        <v>2.3349324942741521E-2</v>
      </c>
      <c r="M19" s="13">
        <f t="shared" si="11"/>
        <v>2.3349324942741521E-2</v>
      </c>
    </row>
    <row r="21" spans="2:13" x14ac:dyDescent="0.25">
      <c r="B21" s="3" t="s">
        <v>2</v>
      </c>
      <c r="H21" s="3">
        <v>1344640</v>
      </c>
      <c r="I21" s="3">
        <v>1480413</v>
      </c>
      <c r="J21" s="3">
        <f>+J22*J7</f>
        <v>1643258.4300000002</v>
      </c>
      <c r="K21" s="3">
        <f t="shared" ref="K21:M21" si="12">+K22*K7</f>
        <v>1824016.8573000003</v>
      </c>
      <c r="L21" s="3">
        <f t="shared" si="12"/>
        <v>2024658.7116030005</v>
      </c>
      <c r="M21" s="3">
        <f t="shared" si="12"/>
        <v>2247371.1698793308</v>
      </c>
    </row>
    <row r="22" spans="2:13" x14ac:dyDescent="0.25">
      <c r="B22" s="6" t="s">
        <v>1</v>
      </c>
      <c r="H22" s="13">
        <f>+H21/H7</f>
        <v>6.7590717455680793E-2</v>
      </c>
      <c r="I22" s="13">
        <f t="shared" ref="I22" si="13">+I21/I7</f>
        <v>6.704107064037286E-2</v>
      </c>
      <c r="J22" s="13">
        <f>+I22</f>
        <v>6.704107064037286E-2</v>
      </c>
      <c r="K22" s="13">
        <f t="shared" ref="K22:M22" si="14">+J22</f>
        <v>6.704107064037286E-2</v>
      </c>
      <c r="L22" s="13">
        <f t="shared" si="14"/>
        <v>6.704107064037286E-2</v>
      </c>
      <c r="M22" s="13">
        <f t="shared" si="14"/>
        <v>6.704107064037286E-2</v>
      </c>
    </row>
    <row r="24" spans="2:13" x14ac:dyDescent="0.25">
      <c r="B24" s="3" t="s">
        <v>3</v>
      </c>
      <c r="I24" s="3">
        <f>1148829-1839558</f>
        <v>-690729</v>
      </c>
      <c r="J24" s="3">
        <f>+J25*J7</f>
        <v>-735336.59932799998</v>
      </c>
      <c r="K24" s="3">
        <f t="shared" ref="K24:M24" si="15">+K25*K7</f>
        <v>-816223.62525408005</v>
      </c>
      <c r="L24" s="3">
        <f t="shared" si="15"/>
        <v>-906008.22403202904</v>
      </c>
      <c r="M24" s="3">
        <f t="shared" si="15"/>
        <v>-1005669.1286755523</v>
      </c>
    </row>
    <row r="25" spans="2:13" x14ac:dyDescent="0.25">
      <c r="B25" s="6" t="s">
        <v>1</v>
      </c>
      <c r="I25" s="13">
        <v>-0.03</v>
      </c>
      <c r="J25" s="13">
        <v>-0.03</v>
      </c>
      <c r="K25" s="13">
        <v>-0.03</v>
      </c>
      <c r="L25" s="13">
        <v>-0.03</v>
      </c>
      <c r="M25" s="13">
        <v>-0.03</v>
      </c>
    </row>
    <row r="27" spans="2:13" x14ac:dyDescent="0.25">
      <c r="B27" s="7" t="s">
        <v>12</v>
      </c>
      <c r="C27" s="8"/>
      <c r="D27" s="8"/>
      <c r="E27" s="8">
        <f>+E16+E18-E21-E24</f>
        <v>0</v>
      </c>
      <c r="F27" s="8">
        <f t="shared" ref="F27:M27" si="16">+F16+F18-F21-F24</f>
        <v>0</v>
      </c>
      <c r="G27" s="8">
        <f t="shared" si="16"/>
        <v>0</v>
      </c>
      <c r="H27" s="8">
        <f t="shared" si="16"/>
        <v>1064005</v>
      </c>
      <c r="I27" s="8">
        <f t="shared" si="16"/>
        <v>1963973.6328490851</v>
      </c>
      <c r="J27" s="8">
        <f t="shared" si="16"/>
        <v>2339733.4904414443</v>
      </c>
      <c r="K27" s="8">
        <f t="shared" si="16"/>
        <v>2597104.174390004</v>
      </c>
      <c r="L27" s="8">
        <f t="shared" si="16"/>
        <v>2882785.6335729044</v>
      </c>
      <c r="M27" s="8">
        <f t="shared" si="16"/>
        <v>3199892.0532659246</v>
      </c>
    </row>
    <row r="28" spans="2:13" x14ac:dyDescent="0.25">
      <c r="B28" s="7" t="s">
        <v>13</v>
      </c>
      <c r="C28" s="8"/>
      <c r="D28" s="8"/>
      <c r="E28" s="8"/>
      <c r="F28" s="8"/>
      <c r="G28" s="8"/>
      <c r="H28" s="8"/>
      <c r="I28" s="8">
        <f>+I27/(1+$C$3)^I5</f>
        <v>1729422.1436838312</v>
      </c>
      <c r="J28" s="8">
        <f t="shared" ref="J28:M28" si="17">+J27/(1+$C$3)^J5</f>
        <v>1814249.9364084038</v>
      </c>
      <c r="K28" s="8">
        <f t="shared" si="17"/>
        <v>1773313.2448990883</v>
      </c>
      <c r="L28" s="8">
        <f t="shared" si="17"/>
        <v>1733300.2479029144</v>
      </c>
      <c r="M28" s="8">
        <f t="shared" si="17"/>
        <v>1694190.1031993187</v>
      </c>
    </row>
    <row r="30" spans="2:13" x14ac:dyDescent="0.25">
      <c r="B30" s="3" t="s">
        <v>14</v>
      </c>
      <c r="M30" s="3">
        <f>+(M28*(1+C4)/(C3-C4))</f>
        <v>16520985.334444677</v>
      </c>
    </row>
    <row r="31" spans="2:13" x14ac:dyDescent="0.25">
      <c r="B31" s="3" t="s">
        <v>17</v>
      </c>
      <c r="M31" s="3">
        <f>+M30/(1+C3)^M5</f>
        <v>8747073.1458425224</v>
      </c>
    </row>
    <row r="32" spans="2:13" x14ac:dyDescent="0.25">
      <c r="B32" s="9" t="s">
        <v>18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>
        <f>+M31+SUM(I28:M28)</f>
        <v>17491548.821936078</v>
      </c>
    </row>
    <row r="33" spans="2:13" x14ac:dyDescent="0.25">
      <c r="B33" s="10" t="s">
        <v>19</v>
      </c>
      <c r="M33" s="3">
        <v>423000</v>
      </c>
    </row>
    <row r="34" spans="2:13" x14ac:dyDescent="0.25">
      <c r="B34" s="10" t="s">
        <v>20</v>
      </c>
      <c r="M34" s="3">
        <v>3301411</v>
      </c>
    </row>
    <row r="35" spans="2:13" x14ac:dyDescent="0.25">
      <c r="B35" s="9" t="s">
        <v>21</v>
      </c>
      <c r="M35" s="9">
        <f>+M32+M33-M34</f>
        <v>14613137.821936078</v>
      </c>
    </row>
    <row r="36" spans="2:13" x14ac:dyDescent="0.25">
      <c r="B36" s="3" t="s">
        <v>22</v>
      </c>
      <c r="M36" s="15">
        <v>156000</v>
      </c>
    </row>
    <row r="37" spans="2:13" ht="15.75" thickBot="1" x14ac:dyDescent="0.3">
      <c r="B37" s="16" t="s">
        <v>23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6">
        <f>+M35/M36</f>
        <v>93.67396039702615</v>
      </c>
    </row>
    <row r="38" spans="2:13" ht="15.75" thickTop="1" x14ac:dyDescent="0.25"/>
    <row r="40" spans="2:13" x14ac:dyDescent="0.25">
      <c r="H40" s="14" t="s">
        <v>27</v>
      </c>
    </row>
    <row r="41" spans="2:13" x14ac:dyDescent="0.25">
      <c r="H41" s="18" t="s">
        <v>29</v>
      </c>
      <c r="I41" s="19">
        <f>+I42+0.02</f>
        <v>0.11</v>
      </c>
      <c r="J41" s="19">
        <f t="shared" ref="J41:M41" si="18">+J42+0.02</f>
        <v>0.11</v>
      </c>
      <c r="K41" s="19">
        <f t="shared" si="18"/>
        <v>0.11</v>
      </c>
      <c r="L41" s="19">
        <f t="shared" si="18"/>
        <v>0.11</v>
      </c>
      <c r="M41" s="19">
        <f t="shared" si="18"/>
        <v>0.11</v>
      </c>
    </row>
    <row r="42" spans="2:13" x14ac:dyDescent="0.25">
      <c r="H42" s="18" t="s">
        <v>31</v>
      </c>
      <c r="I42" s="19">
        <v>0.09</v>
      </c>
      <c r="J42" s="19">
        <f>+I42</f>
        <v>0.09</v>
      </c>
      <c r="K42" s="19">
        <f t="shared" ref="K42:M42" si="19">+J42</f>
        <v>0.09</v>
      </c>
      <c r="L42" s="19">
        <f t="shared" si="19"/>
        <v>0.09</v>
      </c>
      <c r="M42" s="19">
        <f t="shared" si="19"/>
        <v>0.09</v>
      </c>
    </row>
    <row r="43" spans="2:13" x14ac:dyDescent="0.25">
      <c r="H43" s="18" t="s">
        <v>30</v>
      </c>
      <c r="I43" s="19">
        <f>+I42-0.03</f>
        <v>0.06</v>
      </c>
      <c r="J43" s="19">
        <f t="shared" ref="J43:M43" si="20">+J42-0.03</f>
        <v>0.06</v>
      </c>
      <c r="K43" s="19">
        <f t="shared" si="20"/>
        <v>0.06</v>
      </c>
      <c r="L43" s="19">
        <f t="shared" si="20"/>
        <v>0.06</v>
      </c>
      <c r="M43" s="19">
        <f t="shared" si="20"/>
        <v>0.06</v>
      </c>
    </row>
    <row r="45" spans="2:13" x14ac:dyDescent="0.25">
      <c r="H45" s="14" t="s">
        <v>32</v>
      </c>
    </row>
    <row r="46" spans="2:13" x14ac:dyDescent="0.25">
      <c r="H46" s="18" t="s">
        <v>29</v>
      </c>
      <c r="I46" s="19">
        <f>+I47+0.01</f>
        <v>0.13</v>
      </c>
      <c r="J46" s="19">
        <f t="shared" ref="J46:M46" si="21">+J47+0.02</f>
        <v>0.13999999999999999</v>
      </c>
      <c r="K46" s="19">
        <f t="shared" si="21"/>
        <v>0.13999999999999999</v>
      </c>
      <c r="L46" s="19">
        <f t="shared" si="21"/>
        <v>0.13999999999999999</v>
      </c>
      <c r="M46" s="19">
        <f t="shared" si="21"/>
        <v>0.13999999999999999</v>
      </c>
    </row>
    <row r="47" spans="2:13" x14ac:dyDescent="0.25">
      <c r="H47" s="18" t="s">
        <v>31</v>
      </c>
      <c r="I47" s="19">
        <v>0.12</v>
      </c>
      <c r="J47" s="19">
        <f>+I47</f>
        <v>0.12</v>
      </c>
      <c r="K47" s="19">
        <f t="shared" ref="K47:M47" si="22">+J47</f>
        <v>0.12</v>
      </c>
      <c r="L47" s="19">
        <f t="shared" si="22"/>
        <v>0.12</v>
      </c>
      <c r="M47" s="19">
        <f t="shared" si="22"/>
        <v>0.12</v>
      </c>
    </row>
    <row r="48" spans="2:13" x14ac:dyDescent="0.25">
      <c r="H48" s="18" t="s">
        <v>30</v>
      </c>
      <c r="I48" s="19">
        <f>+I47-0.02</f>
        <v>9.9999999999999992E-2</v>
      </c>
      <c r="J48" s="19">
        <f t="shared" ref="J48:M48" si="23">+J47-0.02</f>
        <v>9.9999999999999992E-2</v>
      </c>
      <c r="K48" s="19">
        <f t="shared" si="23"/>
        <v>9.9999999999999992E-2</v>
      </c>
      <c r="L48" s="19">
        <f t="shared" si="23"/>
        <v>9.9999999999999992E-2</v>
      </c>
      <c r="M48" s="19">
        <f t="shared" si="23"/>
        <v>9.9999999999999992E-2</v>
      </c>
    </row>
    <row r="50" spans="8:15" x14ac:dyDescent="0.25">
      <c r="H50" s="3">
        <f>+M37</f>
        <v>93.67396039702615</v>
      </c>
      <c r="I50" s="21">
        <v>0.01</v>
      </c>
      <c r="J50" s="21">
        <f>+I50+0.01</f>
        <v>0.02</v>
      </c>
      <c r="K50" s="21">
        <f t="shared" ref="K50:L50" si="24">+J50+0.01</f>
        <v>0.03</v>
      </c>
      <c r="L50" s="21">
        <f t="shared" si="24"/>
        <v>0.04</v>
      </c>
      <c r="M50" s="21"/>
      <c r="N50" s="21"/>
      <c r="O50" s="21"/>
    </row>
    <row r="51" spans="8:15" x14ac:dyDescent="0.25">
      <c r="H51" s="2">
        <v>0.1</v>
      </c>
      <c r="I51" s="3">
        <f t="dataTable" ref="I51:L55" dt2D="1" dtr="1" r1="C4" r2="C3"/>
        <v>132.00390938188636</v>
      </c>
      <c r="J51" s="3">
        <v>144.0860550268215</v>
      </c>
      <c r="K51" s="3">
        <v>159.62024228459532</v>
      </c>
      <c r="L51" s="3">
        <v>180.33249196162706</v>
      </c>
    </row>
    <row r="52" spans="8:15" x14ac:dyDescent="0.25">
      <c r="H52" s="2">
        <f>+H51+0.01</f>
        <v>0.11</v>
      </c>
      <c r="I52" s="3">
        <v>114.54534455403657</v>
      </c>
      <c r="J52" s="3">
        <v>123.45501029160468</v>
      </c>
      <c r="K52" s="3">
        <v>134.5920924635648</v>
      </c>
      <c r="L52" s="3">
        <v>148.91119811322781</v>
      </c>
    </row>
    <row r="53" spans="8:15" x14ac:dyDescent="0.25">
      <c r="H53" s="2">
        <f t="shared" ref="H53:H55" si="25">+H52+0.01</f>
        <v>0.12</v>
      </c>
      <c r="I53" s="3">
        <v>100.61879871629971</v>
      </c>
      <c r="J53" s="3">
        <v>107.34323434139635</v>
      </c>
      <c r="K53" s="3">
        <v>115.56198899429225</v>
      </c>
      <c r="L53" s="3">
        <v>125.83543231041212</v>
      </c>
    </row>
    <row r="54" spans="8:15" x14ac:dyDescent="0.25">
      <c r="H54" s="2">
        <f t="shared" si="25"/>
        <v>0.13</v>
      </c>
      <c r="I54" s="3">
        <v>89.299454529256792</v>
      </c>
      <c r="J54" s="3">
        <v>94.472315509217381</v>
      </c>
      <c r="K54" s="3">
        <v>100.67974868517005</v>
      </c>
      <c r="L54" s="3">
        <v>108.26661145577893</v>
      </c>
    </row>
    <row r="55" spans="8:15" x14ac:dyDescent="0.25">
      <c r="H55" s="2">
        <f t="shared" si="25"/>
        <v>0.14000000000000001</v>
      </c>
      <c r="I55" s="3">
        <v>79.951777097568069</v>
      </c>
      <c r="J55" s="3">
        <v>83.995137644275857</v>
      </c>
      <c r="K55" s="3">
        <v>88.773654654021428</v>
      </c>
      <c r="L55" s="3">
        <v>94.507875065716121</v>
      </c>
    </row>
    <row r="56" spans="8:15" x14ac:dyDescent="0.25">
      <c r="H56" s="2"/>
    </row>
    <row r="57" spans="8:15" x14ac:dyDescent="0.25">
      <c r="H57" s="2"/>
    </row>
    <row r="60" spans="8:15" s="31" customFormat="1" x14ac:dyDescent="0.25"/>
    <row r="64" spans="8:15" x14ac:dyDescent="0.25">
      <c r="H64"/>
    </row>
    <row r="65" spans="8:8" x14ac:dyDescent="0.25">
      <c r="H65"/>
    </row>
    <row r="66" spans="8:8" x14ac:dyDescent="0.25">
      <c r="H66"/>
    </row>
    <row r="67" spans="8:8" x14ac:dyDescent="0.25">
      <c r="H67"/>
    </row>
    <row r="68" spans="8:8" x14ac:dyDescent="0.25">
      <c r="H68"/>
    </row>
    <row r="69" spans="8:8" x14ac:dyDescent="0.25">
      <c r="H69"/>
    </row>
    <row r="70" spans="8:8" x14ac:dyDescent="0.25">
      <c r="H70"/>
    </row>
    <row r="71" spans="8:8" x14ac:dyDescent="0.25">
      <c r="H71"/>
    </row>
    <row r="72" spans="8:8" x14ac:dyDescent="0.25">
      <c r="H72"/>
    </row>
    <row r="73" spans="8:8" x14ac:dyDescent="0.25">
      <c r="H73"/>
    </row>
    <row r="74" spans="8:8" x14ac:dyDescent="0.25">
      <c r="H74"/>
    </row>
    <row r="75" spans="8:8" x14ac:dyDescent="0.25">
      <c r="H75"/>
    </row>
    <row r="76" spans="8:8" x14ac:dyDescent="0.25">
      <c r="H76"/>
    </row>
    <row r="77" spans="8:8" x14ac:dyDescent="0.25">
      <c r="H77"/>
    </row>
    <row r="78" spans="8:8" x14ac:dyDescent="0.25">
      <c r="H78"/>
    </row>
    <row r="79" spans="8:8" x14ac:dyDescent="0.25">
      <c r="H79"/>
    </row>
  </sheetData>
  <conditionalFormatting sqref="I3">
    <cfRule type="cellIs" dxfId="2" priority="3" operator="lessThan">
      <formula>5%</formula>
    </cfRule>
    <cfRule type="cellIs" dxfId="1" priority="4" operator="greaterThan">
      <formula>0</formula>
    </cfRule>
  </conditionalFormatting>
  <conditionalFormatting sqref="I51:L55">
    <cfRule type="cellIs" dxfId="0" priority="1" operator="greaterThan">
      <formula>$F$3</formula>
    </cfRule>
  </conditionalFormatting>
  <dataValidations count="1">
    <dataValidation type="list" allowBlank="1" showInputMessage="1" showErrorMessage="1" sqref="C2" xr:uid="{00000000-0002-0000-0000-000000000000}">
      <formula1>"Bull, Bear, Base"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5"/>
  <sheetViews>
    <sheetView showGridLines="0" tabSelected="1" workbookViewId="0">
      <selection activeCell="I34" sqref="I34"/>
    </sheetView>
  </sheetViews>
  <sheetFormatPr defaultRowHeight="15" x14ac:dyDescent="0.25"/>
  <cols>
    <col min="2" max="2" width="20.5703125" bestFit="1" customWidth="1"/>
    <col min="3" max="3" width="15.28515625" bestFit="1" customWidth="1"/>
  </cols>
  <sheetData>
    <row r="2" spans="2:4" x14ac:dyDescent="0.25">
      <c r="B2" t="s">
        <v>15</v>
      </c>
      <c r="C2" s="12">
        <f>+(C15*C12)+(C8*(C7*(1-C6)))</f>
        <v>0.13562419679999999</v>
      </c>
    </row>
    <row r="4" spans="2:4" x14ac:dyDescent="0.25">
      <c r="B4" t="s">
        <v>36</v>
      </c>
      <c r="C4" s="28">
        <v>14000000</v>
      </c>
    </row>
    <row r="6" spans="2:4" x14ac:dyDescent="0.25">
      <c r="B6" t="s">
        <v>33</v>
      </c>
      <c r="C6" s="29">
        <v>0.21</v>
      </c>
    </row>
    <row r="7" spans="2:4" x14ac:dyDescent="0.25">
      <c r="B7" t="s">
        <v>34</v>
      </c>
      <c r="C7" s="29">
        <v>0.02</v>
      </c>
    </row>
    <row r="8" spans="2:4" x14ac:dyDescent="0.25">
      <c r="B8" t="s">
        <v>35</v>
      </c>
      <c r="C8" s="22">
        <f>+BLDR!M34/'BLDR WACC'!C4</f>
        <v>0.23581507142857142</v>
      </c>
    </row>
    <row r="10" spans="2:4" x14ac:dyDescent="0.25">
      <c r="B10" t="s">
        <v>40</v>
      </c>
      <c r="C10" s="2">
        <v>0.09</v>
      </c>
    </row>
    <row r="11" spans="2:4" x14ac:dyDescent="0.25">
      <c r="B11" t="s">
        <v>21</v>
      </c>
      <c r="C11" s="3">
        <f>+C4-BLDR!M34</f>
        <v>10698589</v>
      </c>
      <c r="D11" s="23"/>
    </row>
    <row r="12" spans="2:4" x14ac:dyDescent="0.25">
      <c r="B12" t="s">
        <v>39</v>
      </c>
      <c r="C12" s="21">
        <f>+C11/C4</f>
        <v>0.76418492857142861</v>
      </c>
    </row>
    <row r="13" spans="2:4" x14ac:dyDescent="0.25">
      <c r="B13" t="s">
        <v>37</v>
      </c>
      <c r="C13" s="21">
        <f>+C10-C7</f>
        <v>6.9999999999999993E-2</v>
      </c>
    </row>
    <row r="14" spans="2:4" x14ac:dyDescent="0.25">
      <c r="B14" t="s">
        <v>38</v>
      </c>
      <c r="C14" s="30">
        <v>2.1800000000000002</v>
      </c>
    </row>
    <row r="15" spans="2:4" x14ac:dyDescent="0.25">
      <c r="B15" t="s">
        <v>41</v>
      </c>
      <c r="C15" s="12">
        <f>+C7+(C14*(C13))</f>
        <v>0.17259999999999998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BLDR</vt:lpstr>
      <vt:lpstr>BLDR 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Colby Fontaine</cp:lastModifiedBy>
  <dcterms:created xsi:type="dcterms:W3CDTF">2022-08-23T20:01:06Z</dcterms:created>
  <dcterms:modified xsi:type="dcterms:W3CDTF">2024-01-05T14:12:33Z</dcterms:modified>
</cp:coreProperties>
</file>