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por/Desktop/denetim/"/>
    </mc:Choice>
  </mc:AlternateContent>
  <xr:revisionPtr revIDLastSave="0" documentId="8_{17160886-A4FE-8647-A108-45FB80A4BE35}" xr6:coauthVersionLast="47" xr6:coauthVersionMax="47" xr10:uidLastSave="{00000000-0000-0000-0000-000000000000}"/>
  <bookViews>
    <workbookView xWindow="0" yWindow="620" windowWidth="29040" windowHeight="15720" tabRatio="582" xr2:uid="{00000000-000D-0000-FFFF-FFFF00000000}"/>
  </bookViews>
  <sheets>
    <sheet name="Değerlendirme Formu" sheetId="3" r:id="rId1"/>
    <sheet name="DV-IDENTITY-0" sheetId="9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1" i="3" l="1"/>
  <c r="D411" i="3"/>
  <c r="D388" i="3"/>
  <c r="E388" i="3"/>
  <c r="D410" i="3" l="1"/>
  <c r="E410" i="3"/>
  <c r="D409" i="3"/>
  <c r="E409" i="3"/>
  <c r="D70" i="3"/>
  <c r="E70" i="3"/>
  <c r="D33" i="3"/>
  <c r="E33" i="3"/>
  <c r="D395" i="3"/>
  <c r="E395" i="3"/>
  <c r="D408" i="3"/>
  <c r="E408" i="3"/>
  <c r="D406" i="3"/>
  <c r="E406" i="3"/>
  <c r="D407" i="3"/>
  <c r="E407" i="3"/>
  <c r="D404" i="3"/>
  <c r="E404" i="3"/>
  <c r="D405" i="3"/>
  <c r="E405" i="3"/>
  <c r="D403" i="3"/>
  <c r="E403" i="3"/>
  <c r="D15" i="3"/>
  <c r="E15" i="3"/>
  <c r="D402" i="3"/>
  <c r="E402" i="3"/>
  <c r="D398" i="3"/>
  <c r="E398" i="3"/>
  <c r="D400" i="3"/>
  <c r="E400" i="3"/>
  <c r="D401" i="3"/>
  <c r="E401" i="3"/>
  <c r="D399" i="3"/>
  <c r="E399" i="3"/>
  <c r="D339" i="3"/>
  <c r="E339" i="3"/>
  <c r="E340" i="3"/>
  <c r="D340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C341" i="3" l="1"/>
  <c r="D341" i="3"/>
  <c r="D23" i="3"/>
  <c r="E23" i="3"/>
  <c r="D14" i="3"/>
  <c r="E14" i="3"/>
  <c r="D22" i="3"/>
  <c r="E22" i="3"/>
  <c r="D69" i="3"/>
  <c r="E69" i="3"/>
  <c r="D66" i="3"/>
  <c r="E66" i="3"/>
  <c r="E87" i="3"/>
  <c r="D87" i="3"/>
  <c r="E341" i="3" l="1"/>
  <c r="D113" i="3"/>
  <c r="E113" i="3"/>
  <c r="D104" i="3"/>
  <c r="E104" i="3"/>
  <c r="D68" i="3"/>
  <c r="E68" i="3"/>
  <c r="D198" i="3" l="1"/>
  <c r="E198" i="3"/>
  <c r="D181" i="3"/>
  <c r="E181" i="3"/>
  <c r="D72" i="3"/>
  <c r="E72" i="3"/>
  <c r="D73" i="3" l="1"/>
  <c r="E73" i="3"/>
  <c r="D254" i="3" l="1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95" i="3"/>
  <c r="E95" i="3"/>
  <c r="D96" i="3"/>
  <c r="E96" i="3"/>
  <c r="D97" i="3"/>
  <c r="E97" i="3"/>
  <c r="D98" i="3"/>
  <c r="E98" i="3"/>
  <c r="D44" i="3"/>
  <c r="E44" i="3"/>
  <c r="D394" i="3"/>
  <c r="E394" i="3"/>
  <c r="D396" i="3"/>
  <c r="E396" i="3"/>
  <c r="D397" i="3"/>
  <c r="E397" i="3"/>
  <c r="D276" i="3"/>
  <c r="E276" i="3"/>
  <c r="D329" i="3"/>
  <c r="E329" i="3"/>
  <c r="D389" i="3"/>
  <c r="E389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412" i="3"/>
  <c r="D412" i="3"/>
  <c r="E393" i="3"/>
  <c r="D393" i="3"/>
  <c r="E392" i="3"/>
  <c r="D392" i="3"/>
  <c r="E370" i="3"/>
  <c r="D370" i="3"/>
  <c r="E362" i="3"/>
  <c r="D362" i="3"/>
  <c r="E367" i="3"/>
  <c r="D367" i="3"/>
  <c r="E366" i="3"/>
  <c r="D366" i="3"/>
  <c r="E365" i="3"/>
  <c r="D365" i="3"/>
  <c r="E364" i="3"/>
  <c r="D364" i="3"/>
  <c r="E363" i="3"/>
  <c r="D363" i="3"/>
  <c r="E361" i="3"/>
  <c r="D361" i="3"/>
  <c r="E360" i="3"/>
  <c r="D360" i="3"/>
  <c r="E359" i="3"/>
  <c r="D359" i="3"/>
  <c r="E358" i="3"/>
  <c r="D358" i="3"/>
  <c r="E347" i="3"/>
  <c r="D347" i="3"/>
  <c r="E346" i="3"/>
  <c r="D346" i="3"/>
  <c r="E345" i="3"/>
  <c r="D345" i="3"/>
  <c r="E344" i="3"/>
  <c r="D344" i="3"/>
  <c r="E343" i="3"/>
  <c r="D343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D390" i="3" l="1"/>
  <c r="C390" i="3"/>
  <c r="D368" i="3"/>
  <c r="C368" i="3"/>
  <c r="C356" i="3"/>
  <c r="D348" i="3"/>
  <c r="C348" i="3"/>
  <c r="D356" i="3"/>
  <c r="D269" i="3"/>
  <c r="C26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D291" i="3"/>
  <c r="E291" i="3"/>
  <c r="D306" i="3"/>
  <c r="E306" i="3"/>
  <c r="E309" i="3"/>
  <c r="D309" i="3"/>
  <c r="E308" i="3"/>
  <c r="D308" i="3"/>
  <c r="E307" i="3"/>
  <c r="D307" i="3"/>
  <c r="E305" i="3"/>
  <c r="D305" i="3"/>
  <c r="E304" i="3"/>
  <c r="D304" i="3"/>
  <c r="E303" i="3"/>
  <c r="D303" i="3"/>
  <c r="E302" i="3"/>
  <c r="D302" i="3"/>
  <c r="E299" i="3"/>
  <c r="D299" i="3"/>
  <c r="E298" i="3"/>
  <c r="D298" i="3"/>
  <c r="E297" i="3"/>
  <c r="D297" i="3"/>
  <c r="E296" i="3"/>
  <c r="D296" i="3"/>
  <c r="E295" i="3"/>
  <c r="D295" i="3"/>
  <c r="E292" i="3"/>
  <c r="D292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5" i="3"/>
  <c r="D275" i="3"/>
  <c r="E274" i="3"/>
  <c r="D274" i="3"/>
  <c r="E273" i="3"/>
  <c r="D273" i="3"/>
  <c r="E272" i="3"/>
  <c r="D272" i="3"/>
  <c r="E271" i="3"/>
  <c r="D271" i="3"/>
  <c r="E253" i="3"/>
  <c r="D253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6" i="3"/>
  <c r="D186" i="3"/>
  <c r="E185" i="3"/>
  <c r="D185" i="3"/>
  <c r="E184" i="3"/>
  <c r="D184" i="3"/>
  <c r="E183" i="3"/>
  <c r="D183" i="3"/>
  <c r="E182" i="3"/>
  <c r="D182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29" i="3"/>
  <c r="D129" i="3"/>
  <c r="E368" i="3" l="1"/>
  <c r="E390" i="3"/>
  <c r="E348" i="3"/>
  <c r="E356" i="3"/>
  <c r="E269" i="3"/>
  <c r="C277" i="3"/>
  <c r="D277" i="3"/>
  <c r="D330" i="3"/>
  <c r="C330" i="3"/>
  <c r="C320" i="3"/>
  <c r="D320" i="3"/>
  <c r="D310" i="3"/>
  <c r="C310" i="3"/>
  <c r="D300" i="3"/>
  <c r="C300" i="3"/>
  <c r="D261" i="3"/>
  <c r="C261" i="3"/>
  <c r="D187" i="3"/>
  <c r="C187" i="3"/>
  <c r="D251" i="3"/>
  <c r="C251" i="3"/>
  <c r="D241" i="3"/>
  <c r="C241" i="3"/>
  <c r="D225" i="3"/>
  <c r="C225" i="3"/>
  <c r="D205" i="3"/>
  <c r="C205" i="3"/>
  <c r="D170" i="3"/>
  <c r="C170" i="3"/>
  <c r="D156" i="3"/>
  <c r="C156" i="3"/>
  <c r="D144" i="3"/>
  <c r="C144" i="3"/>
  <c r="E128" i="3"/>
  <c r="D128" i="3"/>
  <c r="E127" i="3"/>
  <c r="D127" i="3"/>
  <c r="E126" i="3"/>
  <c r="D126" i="3"/>
  <c r="E125" i="3"/>
  <c r="D125" i="3"/>
  <c r="E124" i="3"/>
  <c r="D124" i="3"/>
  <c r="E121" i="3"/>
  <c r="D121" i="3"/>
  <c r="E120" i="3"/>
  <c r="D120" i="3"/>
  <c r="E119" i="3"/>
  <c r="D119" i="3"/>
  <c r="E118" i="3"/>
  <c r="D118" i="3"/>
  <c r="E115" i="3"/>
  <c r="D115" i="3"/>
  <c r="E114" i="3"/>
  <c r="D114" i="3"/>
  <c r="E112" i="3"/>
  <c r="D112" i="3"/>
  <c r="E111" i="3"/>
  <c r="D111" i="3"/>
  <c r="E110" i="3"/>
  <c r="D110" i="3"/>
  <c r="E107" i="3"/>
  <c r="D107" i="3"/>
  <c r="E106" i="3"/>
  <c r="D106" i="3"/>
  <c r="E105" i="3"/>
  <c r="D105" i="3"/>
  <c r="E103" i="3"/>
  <c r="D103" i="3"/>
  <c r="E102" i="3"/>
  <c r="D102" i="3"/>
  <c r="E101" i="3"/>
  <c r="D101" i="3"/>
  <c r="E94" i="3"/>
  <c r="D94" i="3"/>
  <c r="E91" i="3"/>
  <c r="D91" i="3"/>
  <c r="E90" i="3"/>
  <c r="D90" i="3"/>
  <c r="E89" i="3"/>
  <c r="D89" i="3"/>
  <c r="E88" i="3"/>
  <c r="D88" i="3"/>
  <c r="E86" i="3"/>
  <c r="D86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1" i="3"/>
  <c r="D71" i="3"/>
  <c r="E67" i="3"/>
  <c r="D67" i="3"/>
  <c r="E65" i="3"/>
  <c r="D65" i="3"/>
  <c r="E64" i="3"/>
  <c r="D64" i="3"/>
  <c r="E63" i="3"/>
  <c r="D63" i="3"/>
  <c r="E62" i="3"/>
  <c r="D62" i="3"/>
  <c r="E61" i="3"/>
  <c r="D61" i="3"/>
  <c r="E60" i="3"/>
  <c r="D60" i="3"/>
  <c r="E57" i="3"/>
  <c r="D57" i="3"/>
  <c r="E56" i="3"/>
  <c r="D56" i="3"/>
  <c r="E55" i="3"/>
  <c r="D55" i="3"/>
  <c r="E54" i="3"/>
  <c r="D54" i="3"/>
  <c r="E51" i="3"/>
  <c r="D51" i="3"/>
  <c r="E50" i="3"/>
  <c r="D50" i="3"/>
  <c r="E49" i="3"/>
  <c r="D49" i="3"/>
  <c r="E48" i="3"/>
  <c r="D48" i="3"/>
  <c r="E45" i="3"/>
  <c r="D45" i="3"/>
  <c r="E43" i="3"/>
  <c r="D43" i="3"/>
  <c r="E42" i="3"/>
  <c r="D42" i="3"/>
  <c r="E39" i="3"/>
  <c r="D39" i="3"/>
  <c r="E38" i="3"/>
  <c r="D38" i="3"/>
  <c r="E37" i="3"/>
  <c r="D37" i="3"/>
  <c r="E36" i="3"/>
  <c r="D36" i="3"/>
  <c r="E35" i="3"/>
  <c r="D35" i="3"/>
  <c r="E34" i="3"/>
  <c r="D34" i="3"/>
  <c r="E32" i="3"/>
  <c r="D32" i="3"/>
  <c r="E31" i="3"/>
  <c r="D31" i="3"/>
  <c r="E30" i="3"/>
  <c r="D30" i="3"/>
  <c r="E29" i="3"/>
  <c r="D29" i="3"/>
  <c r="E28" i="3"/>
  <c r="D28" i="3"/>
  <c r="E27" i="3"/>
  <c r="D27" i="3"/>
  <c r="D13" i="3"/>
  <c r="E13" i="3"/>
  <c r="D16" i="3"/>
  <c r="E16" i="3"/>
  <c r="D17" i="3"/>
  <c r="E17" i="3"/>
  <c r="D18" i="3"/>
  <c r="E18" i="3"/>
  <c r="D19" i="3"/>
  <c r="E19" i="3"/>
  <c r="D20" i="3"/>
  <c r="E20" i="3"/>
  <c r="D21" i="3"/>
  <c r="E21" i="3"/>
  <c r="D24" i="3"/>
  <c r="E24" i="3"/>
  <c r="E12" i="3"/>
  <c r="D12" i="3"/>
  <c r="E156" i="3" l="1"/>
  <c r="E205" i="3"/>
  <c r="E241" i="3"/>
  <c r="E187" i="3"/>
  <c r="E300" i="3"/>
  <c r="E320" i="3"/>
  <c r="E277" i="3"/>
  <c r="E144" i="3"/>
  <c r="E170" i="3"/>
  <c r="E225" i="3"/>
  <c r="E251" i="3"/>
  <c r="E261" i="3"/>
  <c r="E310" i="3"/>
  <c r="E330" i="3"/>
  <c r="D130" i="3"/>
  <c r="C130" i="3"/>
  <c r="D99" i="3"/>
  <c r="C99" i="3"/>
  <c r="D92" i="3"/>
  <c r="C92" i="3"/>
  <c r="D83" i="3"/>
  <c r="C83" i="3"/>
  <c r="D52" i="3"/>
  <c r="C52" i="3"/>
  <c r="E52" i="3" s="1"/>
  <c r="D46" i="3"/>
  <c r="C46" i="3"/>
  <c r="D40" i="3"/>
  <c r="C40" i="3"/>
  <c r="E40" i="3" s="1"/>
  <c r="E130" i="3" l="1"/>
  <c r="E46" i="3"/>
  <c r="E99" i="3"/>
  <c r="E92" i="3"/>
  <c r="E83" i="3"/>
  <c r="D58" i="3" l="1"/>
  <c r="C58" i="3"/>
  <c r="C413" i="3"/>
  <c r="D413" i="3"/>
  <c r="C293" i="3"/>
  <c r="C25" i="3"/>
  <c r="D108" i="3"/>
  <c r="C116" i="3"/>
  <c r="D122" i="3"/>
  <c r="D293" i="3"/>
  <c r="C108" i="3"/>
  <c r="D25" i="3"/>
  <c r="C122" i="3"/>
  <c r="E122" i="3" s="1"/>
  <c r="D116" i="3"/>
  <c r="D416" i="3" l="1"/>
  <c r="E58" i="3"/>
  <c r="C416" i="3"/>
  <c r="E108" i="3"/>
  <c r="E116" i="3"/>
  <c r="E413" i="3"/>
  <c r="E293" i="3"/>
  <c r="E25" i="3"/>
  <c r="E416" i="3" l="1"/>
  <c r="EG23" i="9" s="1"/>
  <c r="H16" i="9"/>
  <c r="A35" i="9"/>
  <c r="B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K35" i="9"/>
  <c r="EL35" i="9"/>
  <c r="EM35" i="9"/>
  <c r="EN35" i="9"/>
  <c r="EO35" i="9"/>
  <c r="ER35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A26" i="9"/>
  <c r="B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J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A20" i="9"/>
  <c r="B20" i="9"/>
  <c r="C20" i="9"/>
  <c r="D20" i="9"/>
  <c r="E20" i="9"/>
  <c r="F20" i="9"/>
  <c r="G20" i="9"/>
  <c r="H20" i="9"/>
  <c r="I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A16" i="9"/>
  <c r="B16" i="9"/>
  <c r="C16" i="9"/>
  <c r="D16" i="9"/>
  <c r="E16" i="9"/>
  <c r="F16" i="9"/>
  <c r="G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A15" i="9"/>
  <c r="B15" i="9"/>
  <c r="C15" i="9"/>
  <c r="D15" i="9"/>
  <c r="E15" i="9"/>
  <c r="F15" i="9"/>
  <c r="G15" i="9"/>
  <c r="H15" i="9"/>
  <c r="I15" i="9"/>
  <c r="J15" i="9"/>
  <c r="K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A11" i="9"/>
  <c r="B11" i="9"/>
  <c r="C11" i="9"/>
  <c r="D11" i="9"/>
  <c r="E11" i="9"/>
  <c r="F11" i="9"/>
  <c r="G11" i="9"/>
  <c r="H11" i="9"/>
  <c r="I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A7" i="9"/>
  <c r="B7" i="9"/>
  <c r="C7" i="9"/>
  <c r="D7" i="9"/>
  <c r="E7" i="9"/>
  <c r="F7" i="9"/>
  <c r="G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A2" i="9"/>
  <c r="B2" i="9"/>
  <c r="C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J20" i="9"/>
  <c r="C26" i="9"/>
  <c r="C35" i="9"/>
  <c r="D2" i="9" l="1"/>
  <c r="EJ35" i="9"/>
  <c r="H7" i="9"/>
  <c r="J11" i="9"/>
  <c r="HK24" i="9"/>
  <c r="HI24" i="9"/>
  <c r="HH24" i="9"/>
  <c r="HL24" i="9" l="1"/>
  <c r="N10" i="9" l="1"/>
  <c r="L15" i="9" l="1"/>
</calcChain>
</file>

<file path=xl/sharedStrings.xml><?xml version="1.0" encoding="utf-8"?>
<sst xmlns="http://schemas.openxmlformats.org/spreadsheetml/2006/main" count="881" uniqueCount="319">
  <si>
    <t>AAAAABf/15E=</t>
  </si>
  <si>
    <t>AAAAABf/15I=</t>
  </si>
  <si>
    <t>Giriş kapıları düzgün çalışıyor - Cam alanlar lekesiz</t>
  </si>
  <si>
    <t>Asansör temiz ve çalışıyor</t>
  </si>
  <si>
    <t>Cam duvarlar temiz ve lekesiz</t>
  </si>
  <si>
    <t>Aydınlatma ve tüm elektronik cihazlar düzgün çalışıyor durumda</t>
  </si>
  <si>
    <t>Tüm bilgilendirme görselleri doğru yerleştirilmiş ve iyi durumda</t>
  </si>
  <si>
    <t>Koltuk ve dolaplar düzgün ve temiz</t>
  </si>
  <si>
    <t>POSTER STANTLARI VE DUYURU PANOLARI</t>
  </si>
  <si>
    <t>Duyuru panolarında güncel ve uygun bildirimler var</t>
  </si>
  <si>
    <t>Poster stantları sağlam durumda</t>
  </si>
  <si>
    <t xml:space="preserve">Otomatlar yeterli sayı ve çeşitte ürünle doldurulmuş </t>
  </si>
  <si>
    <t>Evet/Hayır/YOK</t>
  </si>
  <si>
    <t>Hayırsa</t>
  </si>
  <si>
    <t>Notlar</t>
  </si>
  <si>
    <t>Evetse</t>
  </si>
  <si>
    <t>Alt Puan</t>
  </si>
  <si>
    <t>Toplam Puan</t>
  </si>
  <si>
    <t>İsimlikler uygun şekilde takılmış</t>
  </si>
  <si>
    <t>Ofis masaları düzgün ve toplu - tüm gerekli ofis materyalleri yerinde</t>
  </si>
  <si>
    <t>Kayıp eşya prosedürü yerinde ve güncel belgeler kullanılıyor</t>
  </si>
  <si>
    <t>GYM ALANI</t>
  </si>
  <si>
    <t>KARDİYO</t>
  </si>
  <si>
    <t>KUVVET ALANI</t>
  </si>
  <si>
    <t>Zemin/ aynalar/ duvarlar/ tavanlar temiz ve hasarsız</t>
  </si>
  <si>
    <t>SERBEST AĞIRLIK</t>
  </si>
  <si>
    <t>ESNEME/GERME ALANI VE/VEYA FONKSİYONEL ALAN</t>
  </si>
  <si>
    <t>Stüdyo sıcaklığı doğru seviyede</t>
  </si>
  <si>
    <t>Zemin yüzeyi (Ekipman altı dahil) / duvarlar/tavanlar temiz ve iyi durumda</t>
  </si>
  <si>
    <t>Egzersiz ekipmanları iyi durumda (yıpranmış değil)</t>
  </si>
  <si>
    <t>Müzik sistemi düzgün şekilde çalışıyor</t>
  </si>
  <si>
    <t>Tavan aydınlatmaları ve müzik sistemi iyi şekilde çalışır durumda</t>
  </si>
  <si>
    <t>Bisiklet seleleri ve tutma barları aynı seviyede</t>
  </si>
  <si>
    <t>YÜZME HAVUZU</t>
  </si>
  <si>
    <t>Havuz alanı düzenli ve iyi seviyede bakımlı</t>
  </si>
  <si>
    <t>Alan düzenli ve temiz</t>
  </si>
  <si>
    <t>Aydınlatma ekipmanları düzgün çalışıyor durumda</t>
  </si>
  <si>
    <t>Oturma sehpaları doğru şekilde konumlandırılmış ve temiz</t>
  </si>
  <si>
    <t>Temizlik deposu düzenli ve temiz</t>
  </si>
  <si>
    <t>Üyelerin görüş alanında temizlik malzemesi yok (kova, mop vs)</t>
  </si>
  <si>
    <t>İlk yardım kutusu yerinde ve dolu</t>
  </si>
  <si>
    <t>DOLAPLAR</t>
  </si>
  <si>
    <t>TUVALETLER</t>
  </si>
  <si>
    <t>Tüm tuvaletlerde tuvalet kağıdı mevcut</t>
  </si>
  <si>
    <t>Sıvı sabunluk dolu ve çalışıyor durumda</t>
  </si>
  <si>
    <t>DUŞLAR</t>
  </si>
  <si>
    <t>Duşta bırakılan şampuan veya kullanılmış materyal yok</t>
  </si>
  <si>
    <t>Kapılar iki taraftan da temiz ve kilit mekanizması çalışır durumda</t>
  </si>
  <si>
    <t>Açılış ve kapanış saatleri standartlara uygun şekilde gösteriliyor</t>
  </si>
  <si>
    <t>Çöpler boş veya yakın zamanda boşaltılmış durumda</t>
  </si>
  <si>
    <t>Üyelerin görüş alanında düzensiz şekilde kablolar yok</t>
  </si>
  <si>
    <t>Zemin yüzeyi/aynalar/ duvarlar temiz ve hasarsız</t>
  </si>
  <si>
    <t>Personel görüntüsü iyi ve temiz</t>
  </si>
  <si>
    <t>Dolaplar temiz / hasarsız - iç bölümler</t>
  </si>
  <si>
    <t>Dolap numaraları tamamen doğru konumlandırılmış. Her dolabın üzerinde numarası mevcut</t>
  </si>
  <si>
    <t>Dolaplar çalışır ve kilitlenebilir durumda</t>
  </si>
  <si>
    <t>Çöp kutuları boş ve temiz (zemin ve kalan kısımlar temiz)</t>
  </si>
  <si>
    <t>Tavan aydınlatmaları çalışır durumda</t>
  </si>
  <si>
    <t>Duş düğmeleri çalışır durumda ve buton yüzeyi temiz</t>
  </si>
  <si>
    <t>Elektronik cihazlar iyi durumda ve güvenli şekilde tutuluyor</t>
  </si>
  <si>
    <t>Masa, koltuk ve sandalyeler/sehpalar temiz ve iyi durumda</t>
  </si>
  <si>
    <t>Oda asgari dağınıklık içinde temiz ve düzenli durumda</t>
  </si>
  <si>
    <t>Buzdolabının içi temiz ve gıdalar kaplı şekilde muhafaza edilmiş</t>
  </si>
  <si>
    <t>Su sebili temiz - sebilde yeterli su stoğu var</t>
  </si>
  <si>
    <t>DİĞER KONULAR</t>
  </si>
  <si>
    <t>Dolap açma prosedürü doğru takip ediliyor</t>
  </si>
  <si>
    <t>Sistem odası düzenli, temiz ve organize durumda (Dağınık kablo vs yok)</t>
  </si>
  <si>
    <t>Sistem ve elektrik odasındaki klimalar düzgün çalışıyor ve sıcaklık istenen/standartlara uygun derecede</t>
  </si>
  <si>
    <t>Notlar/Yorumlar</t>
  </si>
  <si>
    <t>Personel Devam Kontrol Sistemi düzgün çalışıyor</t>
  </si>
  <si>
    <t>Rezervasyon bankosunun iç tarafları temiz ve düzenli (herhangi bir yiyecek yok)</t>
  </si>
  <si>
    <t>Tüm Rezervasyon görevlileri isimliklerini takıyor</t>
  </si>
  <si>
    <t>CYCLING STUDYOSU (Spinning)</t>
  </si>
  <si>
    <t xml:space="preserve">HALI SAHA </t>
  </si>
  <si>
    <t>TENİS KORTLARI</t>
  </si>
  <si>
    <t>Rezervasyon Alanı dolapları ve arşivleri düzenli</t>
  </si>
  <si>
    <t>ÜYE/MİSAFİR OTURMA ALANI</t>
  </si>
  <si>
    <t>Bekleme Alanındaki dergi/gazete güncel ve düzenli</t>
  </si>
  <si>
    <t>Emanet eşya dolabları temiz  / hasarsız</t>
  </si>
  <si>
    <t>Emanet dolapları çalışır ve kilitlenebilir durumda</t>
  </si>
  <si>
    <t>Tüm bilgilendirme materyalleri uygun ve görünür halde yerleştirilmiş</t>
  </si>
  <si>
    <t>Oturma yerleri ve genel alan düzgün ve temiz</t>
  </si>
  <si>
    <t>FITNESS SALONU</t>
  </si>
  <si>
    <t>UZAK DOĞU / CİMNASTİK STÜDYOSU</t>
  </si>
  <si>
    <t>Tatamiler temiz. Kötü koku ve yıpranmış görüntü yok</t>
  </si>
  <si>
    <t>Branşa ait materyaller olması gereken yerlerde</t>
  </si>
  <si>
    <t>Branşa ait materyallerin depolanma alanları düzgün ve temiz</t>
  </si>
  <si>
    <t>KAPALI SALON (BASKETBOL/VOLEYBOL)</t>
  </si>
  <si>
    <t>Tanita alanları düzgün ve temiz</t>
  </si>
  <si>
    <t>ÖLÇÜM ALANI</t>
  </si>
  <si>
    <t>Voleybol direği düzgün, boyalı ve filesi iyi durumda</t>
  </si>
  <si>
    <t>İklimlendirme sistemleri düzgün çalışıyor</t>
  </si>
  <si>
    <t>Branşa ait materyallerin depolandığı alan temiz ve düzenli</t>
  </si>
  <si>
    <t>Skorboard ve tüm elektronik ekipmanlar düzgün çalışıyor</t>
  </si>
  <si>
    <t>Havuz girişi ayak yıkama alanı ve su temiz</t>
  </si>
  <si>
    <t>Havuz analizi tablosu güncel ve düzenli</t>
  </si>
  <si>
    <t>Kale içi fileleri gergin, yırtık yok</t>
  </si>
  <si>
    <t>Üst file gergin, yırtık veya delik yok</t>
  </si>
  <si>
    <t>Aydınlatma yeterli, tüm projektörler çalışır durumda</t>
  </si>
  <si>
    <t>Saha etrafında yer alan su kanallarının içi temiz, su birikintisi yok</t>
  </si>
  <si>
    <t>Saha etrafında yer alan banklar veya tribünler temiz ve kırık yok</t>
  </si>
  <si>
    <t>Kapalı kortlarda ısıtma sistemi düzgün çalışıyor</t>
  </si>
  <si>
    <t>Halı sahaların giriş kapıları sağlam,  kilit sistemleri çalışır durumda</t>
  </si>
  <si>
    <t>Kortların giriş kapıları sağlam,  kilit sistemleri çalışır durumda</t>
  </si>
  <si>
    <t>Badminton branşına ait materyaller düzenli ve durumu iyi</t>
  </si>
  <si>
    <t>Buz pistinin zemininde göçük, su birikintisi yok</t>
  </si>
  <si>
    <t>Branşa ait materyallerin peridoyik bakımları yapılmış</t>
  </si>
  <si>
    <t>Branşa ait kale direkleri ve filelerin durumu iyi</t>
  </si>
  <si>
    <t>Saha çevresindeki cam panel korumalıkların durumu iyi, eksik kırık yok</t>
  </si>
  <si>
    <t>MASA TENİSİ</t>
  </si>
  <si>
    <t>Masa tenisi filesi yerinde ve yırtık yok</t>
  </si>
  <si>
    <t>Alan temiz ve düzenli</t>
  </si>
  <si>
    <t>Satılan ürünler şirket genel kurallarına uygun</t>
  </si>
  <si>
    <t>E</t>
  </si>
  <si>
    <t>Kilitli unutulmuş dolap yok</t>
  </si>
  <si>
    <t>Bosu topları ve diğer tüm fitness malzemeleri iyi durumda</t>
  </si>
  <si>
    <t>BUZ PİSTİ</t>
  </si>
  <si>
    <t>OKÇULUK</t>
  </si>
  <si>
    <t>SOYUNMA ODALARI</t>
  </si>
  <si>
    <t>BÜFE</t>
  </si>
  <si>
    <t>Masalar temiz ve bakımlı</t>
  </si>
  <si>
    <t>Havalandırma sistemi çalışıyor</t>
  </si>
  <si>
    <t>Zemin yüzeyinde kırık, eksik fayans yok ve iyi durumda</t>
  </si>
  <si>
    <t>Duvarlarda kırık, eksik fayans yok ve iyi durumda</t>
  </si>
  <si>
    <t>Vardiya çizelgesi odada görünür durumda</t>
  </si>
  <si>
    <t>İDARİ OFİSLER</t>
  </si>
  <si>
    <t>PERSONEL ODALARI</t>
  </si>
  <si>
    <t>MESCİTLER</t>
  </si>
  <si>
    <t>Abdest alma yeri temiz ve düzenli</t>
  </si>
  <si>
    <t>Mescitin girişinde gerekli kurallar mescit alanında herkesin görebileceği şekilde gözüküyor</t>
  </si>
  <si>
    <t>MUTFAK</t>
  </si>
  <si>
    <t>BM ODASI (İLK YARDIM / TAHLİL ODASI)</t>
  </si>
  <si>
    <t>Görevli personel yerinde ve müsait durumda</t>
  </si>
  <si>
    <t>AYAKKABILIKLAR</t>
  </si>
  <si>
    <t>Ayakkabı numaralandırması doğru ve eksiksiz</t>
  </si>
  <si>
    <t>Kilit sistemi mevcut ve çalışır durumda</t>
  </si>
  <si>
    <t>Mutfak içerisinde gerekli güvenlik önlemleri alınmış</t>
  </si>
  <si>
    <t>Mutfak gereçleri dolaplarda ve temiz, kullanıma uygun</t>
  </si>
  <si>
    <t>Halılar/seccadeler temiz ve düzenli durumda</t>
  </si>
  <si>
    <t>İdarecilerimizin kılık kıyafetleri şirket yönetmeliğine uygun</t>
  </si>
  <si>
    <t>Ofisler içerisinde yer alan elektronik cihazlar çalışır ve iyi durumda</t>
  </si>
  <si>
    <t>Kasa kilitli ve anahtarı gerekli alanda bulunmakta</t>
  </si>
  <si>
    <t>Tesis içerisindeki odalara ait olan tüm anahtarlar dolabında ve isimlikleri bulunuyor</t>
  </si>
  <si>
    <t>Personel özlük dosyaları düzenli şekilde tutuluyor</t>
  </si>
  <si>
    <t>Masa üstlerinde şirket yönetmeliğine uygun olmayan materyaller/görseller yok</t>
  </si>
  <si>
    <t>Kılık kıyafet şirket yönetmeliğine ve kurallarına uygun</t>
  </si>
  <si>
    <t>Rezervasyon masasındaki tüm ekipmanlar düzgün çalışıyor (pos cihazı, bilgisayarlar vb)</t>
  </si>
  <si>
    <t>Emanet eşya dolaplarının numaralandırması doğru ve eksiksiz</t>
  </si>
  <si>
    <t>Sıcaklık ve saati gösteren panolar çalışır ve iyi durumda</t>
  </si>
  <si>
    <t>Ölçüm alanı temiz ve bakımlı</t>
  </si>
  <si>
    <t xml:space="preserve">Egzersiz ekipmanları güvenli şekilde istiflenmiş </t>
  </si>
  <si>
    <t>Branş için kullanılan materyaller  düzenli ve durumu iyi</t>
  </si>
  <si>
    <t>Saha içerisinde yer alan görsel alanlar ve reklam panolarının durumu iyi</t>
  </si>
  <si>
    <t>Branşa ait materyallerin durumu iyi ve kullanılabilir durumda</t>
  </si>
  <si>
    <t>Masaların bulunduğu alan düzenli ve temiz kullanıma uygun</t>
  </si>
  <si>
    <t>Zemin yüzeyi temiz ve iyi durumda</t>
  </si>
  <si>
    <t xml:space="preserve">İklimlendirme sistemleri düzgün çalışıyor </t>
  </si>
  <si>
    <t>Tıbbi atıklar gerekli alanlarda ve kolay ulaşıma engellenmiş durumda</t>
  </si>
  <si>
    <t xml:space="preserve">Tüm bakım-onarım işleri düzenli ve anlaşılır şekilde dosyalanmış </t>
  </si>
  <si>
    <t>Haftalık Tesis Yöneticisi Günlük Kontrol Listesi toplantıları yapılmış ve düzgün bir şekilde tutuluyor</t>
  </si>
  <si>
    <t xml:space="preserve">Tesis Yöneticisi Günlük kontrol listesi düzenli bir şekilde her gün tamamlanmış </t>
  </si>
  <si>
    <t>EMANET EŞYA DOLAPLARI</t>
  </si>
  <si>
    <t>Çatı/tavan sağlam, su akıntısı yok</t>
  </si>
  <si>
    <t>Elektronik tanıtım ekranları çalışır durumda</t>
  </si>
  <si>
    <t>Çöp kutuları mevcut ve boşaltılmış durumda</t>
  </si>
  <si>
    <t>Üyelerin ölçümleri doğru standartlarda yapılıyor</t>
  </si>
  <si>
    <t>Kardiyo ekipmanlarının üzerindeki ekranlar ve tüm elektronik göstergeler düzgün çalışıyor</t>
  </si>
  <si>
    <t>Grup Ders programı güncel ve stüdyonun önünde konumlandırılmış</t>
  </si>
  <si>
    <t>Spinning ders rezervasyon sistemi düzenli şekilde uygulanıyor</t>
  </si>
  <si>
    <t>Zamboni cihazları çalışır ve iyi durumda</t>
  </si>
  <si>
    <t>Zemin süpürülmüş ve tozsuz/lekesiz durumda</t>
  </si>
  <si>
    <t>Havluluklarda yeterli kağıt havlu mevcut</t>
  </si>
  <si>
    <t>Duşlarda kötü koku yok, giderler temizlenmiş durumda</t>
  </si>
  <si>
    <t>Mutfak içerisinde yangın için gerekli önlemler alınmış, yangın tüpü yerinde</t>
  </si>
  <si>
    <t>Masa ve sandalyeler temiz ve bakımlı</t>
  </si>
  <si>
    <t>Ofis alanı temiz ve iyi durumda</t>
  </si>
  <si>
    <t>Çöp kutuları boş veya yeni boşaltılmış durumda</t>
  </si>
  <si>
    <t>Çöp kutuları mevcut, masanın altında ve boşaltılmış durumda</t>
  </si>
  <si>
    <t>REZERVASYON - HALI SAHA ALANI</t>
  </si>
  <si>
    <t>TESİS ADI:</t>
  </si>
  <si>
    <t>DENETİM TARİHİ:</t>
  </si>
  <si>
    <t>DENETİMİ YAPAN KİŞİ:</t>
  </si>
  <si>
    <t xml:space="preserve">Dilek/Şikayet kutusu ve kalemi görünür halde ve doğru kullanılıyor </t>
  </si>
  <si>
    <t>Rezervasyon bankosunun üstü temiz ve düzenli - Banko üzerinde olmaması gereken malzeme yok</t>
  </si>
  <si>
    <t>Data kartları güncel ve stokta tutuluyor</t>
  </si>
  <si>
    <t>Şirkete ve şahsa ait özel bilgiler (bilgisayar şifresi gibi) veya belgeler rezervasyon masasında ortalıkta bırakılmamış</t>
  </si>
  <si>
    <t>Havuz içi fayanslar ve güverte temiz</t>
  </si>
  <si>
    <t>Savaklarda kırık, eksik ve benzer sorunlar yok</t>
  </si>
  <si>
    <t>Zeminde kırık, ıslaklık ve üyeler için tehlike oluşturabilecek dış etkenler ve materyaller yok</t>
  </si>
  <si>
    <r>
      <t>Su temiz ve ideal sıcaklık derecesinde (26</t>
    </r>
    <r>
      <rPr>
        <vertAlign val="superscript"/>
        <sz val="9"/>
        <rFont val="Calibri"/>
        <family val="2"/>
        <charset val="162"/>
        <scheme val="minor"/>
      </rPr>
      <t xml:space="preserve">o </t>
    </r>
    <r>
      <rPr>
        <sz val="9"/>
        <rFont val="Calibri"/>
        <family val="2"/>
        <scheme val="minor"/>
      </rPr>
      <t>- 28</t>
    </r>
    <r>
      <rPr>
        <vertAlign val="superscript"/>
        <sz val="9"/>
        <rFont val="Calibri"/>
        <family val="2"/>
        <charset val="162"/>
        <scheme val="minor"/>
      </rPr>
      <t>o</t>
    </r>
    <r>
      <rPr>
        <sz val="9"/>
        <rFont val="Calibri"/>
        <family val="2"/>
        <scheme val="minor"/>
      </rPr>
      <t>)</t>
    </r>
  </si>
  <si>
    <r>
      <t>Ortam ısısı ideal sıcaklıkta (su derecesi +2</t>
    </r>
    <r>
      <rPr>
        <vertAlign val="superscript"/>
        <sz val="9"/>
        <rFont val="Calibri"/>
        <family val="2"/>
        <charset val="162"/>
        <scheme val="minor"/>
      </rPr>
      <t>o</t>
    </r>
    <r>
      <rPr>
        <sz val="9"/>
        <rFont val="Calibri"/>
        <family val="2"/>
        <scheme val="minor"/>
      </rPr>
      <t>)</t>
    </r>
  </si>
  <si>
    <t>Eğitmenler görev alanlarında mevcut durumdalar</t>
  </si>
  <si>
    <t>Alandaki aydınlatma iyi durumda, değişmesi gereken materyaller yok</t>
  </si>
  <si>
    <t>Branşa ait  tüm materyaller üye kullanımı açısından uygun durumda</t>
  </si>
  <si>
    <t>Tribünler temiz, koltuklarda eksik kırık ve benzer hasarlar yok</t>
  </si>
  <si>
    <t>İklimlendirme sistemleri düzgün ve sorunsuz çalışıyor</t>
  </si>
  <si>
    <t>Eğitmenlerin görev alanları temiz ve düzenli durumda</t>
  </si>
  <si>
    <t>Yerde kullanılmış bardak, çöp vb gibi atık malzemeler yok</t>
  </si>
  <si>
    <t>Eğitmenler görev alanlarında mevcut ve müsait durumdalar</t>
  </si>
  <si>
    <t>Saatler çalışır ve iyi durumda, hepsi aynı ve doğru saati gösteriyor</t>
  </si>
  <si>
    <t>Alandaki tüm malzemeler kurum standartlarına uygun ve düzgün çalışır durumdalar</t>
  </si>
  <si>
    <t>Üyelerin ölçüm kartlarının bulunduğu dolaplar düzenli şekilde korunuyor</t>
  </si>
  <si>
    <t>Zemin yüzeyi/aynalar/duvarlar/ekipman yüzeyleri temiz</t>
  </si>
  <si>
    <t>Üyelerin görüş alanında düzensiz şekilde dağınık ve ortalıkta duran kablolar yok</t>
  </si>
  <si>
    <t>Kullanım dışı ekipmanlar uygun şekilde belirtilmiş ve gerekli duyurular üzerlerinde yer alıyor</t>
  </si>
  <si>
    <t>Alandaki aydınlatma iyi durumda, değişmesi gerekli materyaller yok</t>
  </si>
  <si>
    <t>Yerde kullanılmış havlu, bardak, çöp vb gibi atık malzemeler yok</t>
  </si>
  <si>
    <t xml:space="preserve">Tüm kardiyo ekipmanları uygun şekilde dizili konumlandırılmışlar </t>
  </si>
  <si>
    <t>Ekipmanların üzerlerinde hasarlı, yırtık, eskimiş döşeme yok</t>
  </si>
  <si>
    <t>Kuvvet ekipmanları düzenli konumlandırılmış ve iyi durumdalar</t>
  </si>
  <si>
    <t>Bençler iyi durumda ve temiz (üzerlerinde hasarlı, yırtık döşeme yok)</t>
  </si>
  <si>
    <t>Serbest ağırlıklar raflarında toplanmışlar ve iyi durumdalar</t>
  </si>
  <si>
    <t>Kettlebeller ve diğer aksesuarların stantları iyi durumdalar</t>
  </si>
  <si>
    <t>TRX iyi durumda, sağlam, pürüzsüz ve askılar yıpranmamış</t>
  </si>
  <si>
    <t>Alan temiz ve düzenli, kullanılmayan ekipmanlar düzgün şekilde kaldırılmış ya da stoklanmış</t>
  </si>
  <si>
    <t>GRUP DERS STÜDYOSU</t>
  </si>
  <si>
    <t>Stüdyo sıcaklığı ideal seviyede</t>
  </si>
  <si>
    <t>Zemin yüzeyi (Ekipman altları da dahil)/duvarlar/tavanlar temiz ve iyi durumda</t>
  </si>
  <si>
    <t>Egzersiz ekipmanları güvenli şekilde depolanmış ve matlar düzgün şekilde yerlerine kaldırılmış durumda</t>
  </si>
  <si>
    <t>Müzik Sistemi olması gerektiği gibi standartlara uygun çalışıyor</t>
  </si>
  <si>
    <t>Yerde kullanılmış bardak, çöp vb gibi atık malzemeler yok - Çöp kutuları yerlerinde ve boşaltılmış</t>
  </si>
  <si>
    <t>Alandaki aydınlatma iyi durumda, değişmesi gereken materyal yok</t>
  </si>
  <si>
    <t>Matlar temiz, kötü koku ve yıpranmış görüntü yok</t>
  </si>
  <si>
    <t>Zemin yüzeyi (ekipmanların altları da dahil)/duvarlar/tavanlar temiz ve iyi durumda</t>
  </si>
  <si>
    <t>Bisikletler çalışır durumda ve pedallarda veya diğer bölümlerinde kullanım için sorun yaratacak kırık-hasar yok</t>
  </si>
  <si>
    <t>Ayna ve cam duvarlarda leke, parmak izi vb gibi sorunlar yok - Aynalarda kırık veya hasar yok</t>
  </si>
  <si>
    <t>Ayna ve cam duvarlarda leke, parmak izi yok - Aynalarda kırık veya hasar yok</t>
  </si>
  <si>
    <t>Alan ve saha düzenli ve temiz</t>
  </si>
  <si>
    <t>Zeminde kırık, göçme ve hasarlar yok</t>
  </si>
  <si>
    <t>Saha çizgileri düzgün durumda, eksik/silik yok</t>
  </si>
  <si>
    <t>Tribünler temiz, koltuklarda eksik kırık veya benzeri hasarlar yok</t>
  </si>
  <si>
    <t>Branşa ait toplar ve diğer tüm materyaller iyi durumda</t>
  </si>
  <si>
    <t>Basketbol pota, çemberi ve filesi iyi durumda</t>
  </si>
  <si>
    <t>Zeminde üye için tehlike arz eden yırtık, çukur vb gibi deformasyonlar yok</t>
  </si>
  <si>
    <t>Halı saha tellerinde yırtık, delik, tehlike oluşturma ihtimali olan durum yok</t>
  </si>
  <si>
    <t>Kale direklerine tamir, boya ihtiyacı yok</t>
  </si>
  <si>
    <t xml:space="preserve">Saha zemini için granür ihtiyacı yok, tarama düzenli yapılmış </t>
  </si>
  <si>
    <t>Branş için kullanılan materyaller düzenli ve iyi durumdalar</t>
  </si>
  <si>
    <t>Saha içinde çöp, yelek vb gibi malzemeler yok</t>
  </si>
  <si>
    <t>Kapalı sahalarda brandalarda yırtık, eksik, su akıntısı vb gibi sorunlar yok</t>
  </si>
  <si>
    <t>Zeminde bozukluk, yırtık, göçük vb gibi oyuna engel durumlar yok</t>
  </si>
  <si>
    <t>Zemin boyaları/çizgiler düzgün durumda - silik, eksik yok</t>
  </si>
  <si>
    <t>Periyodik zemin bakımı yapılmış durumda</t>
  </si>
  <si>
    <t>Tenis direği sağlam, file gergin, olması gereken yükseklikte ve yırtık yok</t>
  </si>
  <si>
    <t>Aydınlatma ekipmanları düzgün ve çalışır durumda</t>
  </si>
  <si>
    <t>Kapalı kortlarda brandalarda yırtık, eksik, su akıntısı vb gibi hasarlar yok</t>
  </si>
  <si>
    <t>Dış cephe tellerinde yırtık, delik, tehlike arz eden durum yok</t>
  </si>
  <si>
    <t>Çalışma duvarının boyaları tam, kırık, silik, eksik yok</t>
  </si>
  <si>
    <t>Branşa ait materyaller düzenli ve iyi durumdalar</t>
  </si>
  <si>
    <t>Saha içinde branşa ait terkedilmiş görünümde materyaller yok</t>
  </si>
  <si>
    <t>Skorboard ve diğer tüm elektronik ekipmanlar düzgün çalışıyor</t>
  </si>
  <si>
    <t>Tribünler temiz ve koltuklarda kırık-hasar yok</t>
  </si>
  <si>
    <t>Birden fazla masa var ise masalar arası mesafeler standartlara uygun şekilde uygulanmış</t>
  </si>
  <si>
    <t>Masalar kullanılabilir - iyi ve hasarsız durumda</t>
  </si>
  <si>
    <t>Listedeki tüm ilaç ve gerekli ilk yardım materyalleri mevcut</t>
  </si>
  <si>
    <t>Alan temiz ve düzenli - Oda sıcaklığı ideal ısıda</t>
  </si>
  <si>
    <t>Yerde kullanımış havlu, bardak, çöp vb gibi atık malzemeler yok</t>
  </si>
  <si>
    <t>Aynalar temiz - Kırık ve hasarlı ayna yok</t>
  </si>
  <si>
    <t>Uyarı/bilgilendirme levhaları görünür ve eksiksiz durumdalar</t>
  </si>
  <si>
    <t>Alandaki aydınlatma iyi durumda, değişmesi gerekli materyal yok</t>
  </si>
  <si>
    <t>Dolapların içlerinde kullanılmış havlu, bardak, çöp vb gibi atık malzemeler yok</t>
  </si>
  <si>
    <t>Tüm tuvaletler ve sifonları çalışır durumda</t>
  </si>
  <si>
    <t>Tüm tuvaletler hijyen anlamında sorunsuz durumda</t>
  </si>
  <si>
    <t>Aynalarda leke, parmak izi, kırık vb gibi hasarlar yok</t>
  </si>
  <si>
    <t>Kullanım dışı ekipmanlar uygun şekilde belirtilmiş durumda</t>
  </si>
  <si>
    <t>Tüm duşlar düzgün şekilde çalışıyor - Suyun ısısı ideal durumda</t>
  </si>
  <si>
    <t>Tüm duş fayansları ve zeminleri temiz</t>
  </si>
  <si>
    <t>Duvar ve tavanlar temiz ve hasarsız</t>
  </si>
  <si>
    <t>Personel dolapları içten ve dıştan temiz - dışarıda ayakkabı/çanta vb gibi kişisel eşyalar bırakılmamış</t>
  </si>
  <si>
    <t>Ayakkabılıklar temiz/hasarsız ve iyi durumda</t>
  </si>
  <si>
    <t>Ayakkabılıklarda kötü koku yok</t>
  </si>
  <si>
    <t>Mutfak aydınlatması iyi, değişmesi gereken materyal yok</t>
  </si>
  <si>
    <t>Dosyalar düzgünce yerleştirilmiş ve düzenli şekilde isimlendirilmiş - Şirket özeli konular ortalıkta değil</t>
  </si>
  <si>
    <t>Teknik ekip tarafından doldurulan kontrol formları uygun şekilde tutulmuş ve düzenli şekilde dosyalanmış</t>
  </si>
  <si>
    <t>Temizlik ekibi tarafından doldurulan kontrol formaları uygun şekilde tutulmuş ve düzenli şekilde dosyalanmış</t>
  </si>
  <si>
    <t>Wi-Fi tesisin her yerinde düzgün çalışmakta</t>
  </si>
  <si>
    <t>Teknik işler ile ilgili tüm ekipmanlar çalışır, iyi durumda ve problemler varsa zamanında raporlanmış</t>
  </si>
  <si>
    <t>STANDARTLAR</t>
  </si>
  <si>
    <t>TESİS STANDARTLARI DENETİM TABLOSU</t>
  </si>
  <si>
    <t>Eğitmen deski düzenli ve temiz durumda</t>
  </si>
  <si>
    <t>Zeminler temiz ve çiziksiz/lekesiz, küpeşte ve korkuluklar temiz durumda</t>
  </si>
  <si>
    <t>Dolaplar ve üstleri temiz / hasarsız - dış bölümler</t>
  </si>
  <si>
    <t xml:space="preserve">Aydınlatma ekipmanları düzgün çalışıyor </t>
  </si>
  <si>
    <t>Cankurtaran alanda mevcut ve müsait durumda, Cankurtaran seti eksiksiz</t>
  </si>
  <si>
    <t>Branşa ait ekipmanların durumu iyi ve kullanılabilir durumda</t>
  </si>
  <si>
    <t>Branşa ait ekipmanların depolandığı alan temiz ve düzenli</t>
  </si>
  <si>
    <t>Galoş kutuları düzenli ve temiz ve içinde yeteri kadar malzeme var</t>
  </si>
  <si>
    <t>Tesis dış alanlarının temiz ve düzenli olması, bakımların yapılmış olması</t>
  </si>
  <si>
    <t>Spor İstanbul levhaları kurumsal standartlara uygun ve sağlam, ışıklandırmalar doğru çalışıyor</t>
  </si>
  <si>
    <t>TESİS GİRİŞİ, DIŞ ALAN VE KORİDORLAR (GENEL)</t>
  </si>
  <si>
    <t>Tesis iç telefon hatları düzgün çalışıyor</t>
  </si>
  <si>
    <t>Acil Müdahale odası temiz ve düzenli, malzemeleri eksiksiz, müdahale iç hattı düzgün çalışıyor.</t>
  </si>
  <si>
    <t>EĞİTMEN ODALARI</t>
  </si>
  <si>
    <t>Eğitmen dolapları içten ve dıştan temiz - dışarıda ayakkabı/çanta vb gibi kişisel eşyalar bırakılmamış</t>
  </si>
  <si>
    <t>Eğtimen odasındaki ıslak hacimli alanlar düzenli ve temiz</t>
  </si>
  <si>
    <t>Jenaratör var çalışır durumda ve yakıt dolu</t>
  </si>
  <si>
    <t>Spor Ekipman deposu temiz ve düzenli</t>
  </si>
  <si>
    <t>Temizlik malzemesi deposu temiz ve düzenli</t>
  </si>
  <si>
    <t>Teknik odaları minumum dağınıklık olacak şekilde düzgün, toplu ve tertipli</t>
  </si>
  <si>
    <t>Hurda malzemeler bildirimi yapıldı ve düzgün depolanmış</t>
  </si>
  <si>
    <t>Gönder Bayrakları düzgün,yerinde ve sağlam, direkler boyalı</t>
  </si>
  <si>
    <t>3'lü Resmi Bayram bayraklı stokta mevcut, düzenli ve sağlam durumda</t>
  </si>
  <si>
    <t>Acil Durum Dolabı düzenli ve malzemeler eksiksiz</t>
  </si>
  <si>
    <t>Duvar prizleri düzenli, kablolar gizlenmiş ve tehlike arz etmiyor</t>
  </si>
  <si>
    <t>Yangın Tüpleri belirtilen konumlarda, basınçları düzgün durumda</t>
  </si>
  <si>
    <t>Yangın hortumları düzgün ve çalışır durumda</t>
  </si>
  <si>
    <t>Veciz sözleri yerinde, eksiksiz ve düzenli</t>
  </si>
  <si>
    <t xml:space="preserve">Soyunma odasındaki görsel alanları/duvarlar uygun ve iyi durumda </t>
  </si>
  <si>
    <t>Görsel materyaller ortak alanlarda uygun şekilde bulunuyor</t>
  </si>
  <si>
    <t>Tüm diğer ekipmanlar ve duvarlar/görsel materyalleri iyi durumda</t>
  </si>
  <si>
    <t>Tesiste görevli güvenlik personelleri görev yerlerinde mevcut</t>
  </si>
  <si>
    <t>Tesis tüm güvenlik kameraları çalışır durumda, CCTV düzgün çalışıyor</t>
  </si>
  <si>
    <t>Merdivenlerdeki kaydırmaz bantlar düzgün ve eksiksiz durumda</t>
  </si>
  <si>
    <t>Sıramatik düzgün çalışıyor</t>
  </si>
  <si>
    <t>Engelli asansörü mevcut ve düzgün çalışır durumda</t>
  </si>
  <si>
    <t>Otopark alanları düzenli, temiz ve çizgileri eksiksiz</t>
  </si>
  <si>
    <t>Tesis Performans Tablosu uygun aya ait doldurulmuş</t>
  </si>
  <si>
    <t>Sarf ve Spor Malzemeleri kontrolü, sayımı yapıldı mı?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</si>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</sst>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i/>
      <u/>
      <sz val="9"/>
      <name val="Calibri"/>
      <family val="2"/>
      <scheme val="minor"/>
    </font>
    <font>
      <sz val="9"/>
      <name val="Calibri"/>
      <family val="2"/>
      <scheme val="minor"/>
    </font>
    <font>
      <i/>
      <u/>
      <sz val="9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charset val="162"/>
      <scheme val="minor"/>
    </font>
    <font>
      <b/>
      <i/>
      <u/>
      <sz val="9"/>
      <name val="Calibri"/>
      <family val="2"/>
      <charset val="162"/>
      <scheme val="minor"/>
    </font>
    <font>
      <b/>
      <i/>
      <u/>
      <sz val="9"/>
      <color theme="1"/>
      <name val="Calibri"/>
      <family val="2"/>
      <charset val="16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3"/>
      <name val="Calibri"/>
      <family val="2"/>
      <charset val="162"/>
      <scheme val="minor"/>
    </font>
    <font>
      <i/>
      <u/>
      <sz val="9"/>
      <name val="Calibri"/>
      <family val="2"/>
      <charset val="162"/>
      <scheme val="minor"/>
    </font>
    <font>
      <vertAlign val="superscript"/>
      <sz val="9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  <font>
      <b/>
      <i/>
      <sz val="14"/>
      <color theme="3"/>
      <name val="Calibri"/>
      <family val="2"/>
      <charset val="162"/>
      <scheme val="minor"/>
    </font>
    <font>
      <b/>
      <i/>
      <u/>
      <sz val="9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vertical="top"/>
    </xf>
    <xf numFmtId="9" fontId="2" fillId="0" borderId="2" xfId="1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2" fillId="6" borderId="0" xfId="0" applyFont="1" applyFill="1" applyAlignment="1">
      <alignment vertical="top"/>
    </xf>
    <xf numFmtId="9" fontId="0" fillId="0" borderId="0" xfId="1" applyFont="1"/>
    <xf numFmtId="0" fontId="5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/>
    </xf>
    <xf numFmtId="0" fontId="9" fillId="5" borderId="0" xfId="0" applyFont="1" applyFill="1" applyAlignment="1">
      <alignment vertical="top"/>
    </xf>
    <xf numFmtId="0" fontId="11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0" fontId="2" fillId="6" borderId="1" xfId="0" applyFont="1" applyFill="1" applyBorder="1" applyAlignment="1">
      <alignment horizontal="left"/>
    </xf>
    <xf numFmtId="0" fontId="2" fillId="0" borderId="0" xfId="0" applyFont="1" applyAlignment="1">
      <alignment horizontal="right" vertical="top" wrapText="1"/>
    </xf>
    <xf numFmtId="0" fontId="12" fillId="5" borderId="4" xfId="0" applyFont="1" applyFill="1" applyBorder="1" applyAlignment="1">
      <alignment horizontal="right" vertical="center"/>
    </xf>
    <xf numFmtId="0" fontId="13" fillId="7" borderId="4" xfId="0" applyFont="1" applyFill="1" applyBorder="1" applyAlignment="1">
      <alignment vertical="top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15" fillId="3" borderId="0" xfId="0" applyFont="1" applyFill="1" applyAlignment="1">
      <alignment vertical="top"/>
    </xf>
    <xf numFmtId="0" fontId="5" fillId="0" borderId="0" xfId="0" applyFont="1" applyAlignment="1">
      <alignment horizontal="left" vertical="top"/>
    </xf>
    <xf numFmtId="9" fontId="17" fillId="0" borderId="2" xfId="1" applyFont="1" applyBorder="1" applyAlignment="1">
      <alignment vertical="top"/>
    </xf>
    <xf numFmtId="0" fontId="2" fillId="0" borderId="3" xfId="0" applyFont="1" applyBorder="1" applyAlignment="1">
      <alignment horizontal="left"/>
    </xf>
    <xf numFmtId="0" fontId="20" fillId="4" borderId="0" xfId="0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9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18" fillId="0" borderId="5" xfId="0" applyFont="1" applyBorder="1" applyAlignment="1">
      <alignment horizontal="left" vertical="center"/>
    </xf>
  </cellXfs>
  <cellStyles count="2">
    <cellStyle name="Normal" xfId="0" builtinId="0"/>
    <cellStyle name="Yüzde" xfId="1" builtinId="5"/>
  </cellStyles>
  <dxfs count="21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417"/>
  <sheetViews>
    <sheetView showGridLines="0" tabSelected="1" topLeftCell="A16" zoomScale="115" zoomScaleNormal="115" workbookViewId="0">
      <selection activeCell="D416" sqref="D416"/>
    </sheetView>
  </sheetViews>
  <sheetFormatPr baseColWidth="10" defaultColWidth="9.1640625" defaultRowHeight="12" x14ac:dyDescent="0.2"/>
  <cols>
    <col min="1" max="1" width="2.83203125" style="1" customWidth="1"/>
    <col min="2" max="2" width="80.6640625" style="1" customWidth="1"/>
    <col min="3" max="3" width="12.5" style="1" customWidth="1"/>
    <col min="4" max="4" width="9.5" style="1" customWidth="1"/>
    <col min="5" max="5" width="8.5" style="1" customWidth="1"/>
    <col min="6" max="6" width="3.5" style="1" customWidth="1"/>
    <col min="7" max="8" width="9.1640625" style="1"/>
    <col min="9" max="9" width="93.33203125" style="1" customWidth="1"/>
    <col min="10" max="16384" width="9.1640625" style="1"/>
  </cols>
  <sheetData>
    <row r="3" spans="1:9" x14ac:dyDescent="0.2">
      <c r="D3" s="39"/>
      <c r="E3" s="39"/>
    </row>
    <row r="4" spans="1:9" x14ac:dyDescent="0.2">
      <c r="D4" s="39"/>
      <c r="E4" s="39"/>
    </row>
    <row r="5" spans="1:9" ht="19" x14ac:dyDescent="0.2">
      <c r="A5" s="37" t="s">
        <v>278</v>
      </c>
      <c r="B5" s="37"/>
      <c r="C5" s="37"/>
      <c r="D5" s="37"/>
      <c r="E5" s="37"/>
      <c r="F5" s="37"/>
      <c r="G5" s="37"/>
      <c r="H5" s="37"/>
      <c r="I5" s="37"/>
    </row>
    <row r="6" spans="1:9" ht="19" x14ac:dyDescent="0.2">
      <c r="A6" s="40" t="s">
        <v>179</v>
      </c>
      <c r="B6" s="40"/>
      <c r="C6" s="24"/>
      <c r="D6" s="24"/>
      <c r="E6" s="24"/>
      <c r="F6" s="24"/>
      <c r="G6" s="24"/>
      <c r="H6" s="24"/>
      <c r="I6" s="24"/>
    </row>
    <row r="7" spans="1:9" ht="19" x14ac:dyDescent="0.2">
      <c r="A7" s="40" t="s">
        <v>180</v>
      </c>
      <c r="B7" s="40"/>
      <c r="C7" s="24"/>
      <c r="D7" s="24"/>
      <c r="E7" s="24"/>
      <c r="F7" s="24"/>
      <c r="G7" s="24"/>
      <c r="H7" s="24"/>
      <c r="I7" s="24"/>
    </row>
    <row r="8" spans="1:9" ht="19" x14ac:dyDescent="0.2">
      <c r="A8" s="40" t="s">
        <v>181</v>
      </c>
      <c r="B8" s="40"/>
      <c r="C8" s="24"/>
      <c r="D8" s="24"/>
      <c r="E8" s="24"/>
      <c r="F8" s="24"/>
      <c r="G8" s="24"/>
      <c r="H8" s="24"/>
      <c r="I8" s="24"/>
    </row>
    <row r="9" spans="1:9" x14ac:dyDescent="0.2">
      <c r="A9" s="7"/>
      <c r="B9" s="7"/>
      <c r="C9" s="7"/>
      <c r="D9" s="7"/>
      <c r="E9" s="7"/>
      <c r="F9" s="7"/>
      <c r="G9" s="7"/>
      <c r="H9" s="7"/>
      <c r="I9" s="7"/>
    </row>
    <row r="10" spans="1:9" x14ac:dyDescent="0.2">
      <c r="A10" s="2"/>
      <c r="B10" s="31" t="s">
        <v>277</v>
      </c>
      <c r="C10" s="2"/>
      <c r="D10" s="2"/>
      <c r="E10" s="2"/>
      <c r="F10" s="2"/>
      <c r="G10" s="11"/>
      <c r="H10" s="11"/>
      <c r="I10" s="11"/>
    </row>
    <row r="11" spans="1:9" x14ac:dyDescent="0.2">
      <c r="B11" s="3" t="s">
        <v>289</v>
      </c>
      <c r="C11" s="6" t="s">
        <v>12</v>
      </c>
      <c r="D11" s="6" t="s">
        <v>15</v>
      </c>
      <c r="E11" s="6" t="s">
        <v>13</v>
      </c>
      <c r="F11" s="6"/>
      <c r="G11" s="32" t="s">
        <v>68</v>
      </c>
      <c r="H11" s="32"/>
      <c r="I11" s="32"/>
    </row>
    <row r="12" spans="1:9" s="13" customFormat="1" ht="12" customHeight="1" x14ac:dyDescent="0.15">
      <c r="A12" s="13">
        <v>1</v>
      </c>
      <c r="B12" s="1" t="s">
        <v>288</v>
      </c>
      <c r="C12" s="13" t="s">
        <v>113</v>
      </c>
      <c r="D12" s="13">
        <f>IF(C12="E",1,0)</f>
        <v>1</v>
      </c>
      <c r="E12" s="13">
        <f>IF(C12="H",1,0)</f>
        <v>0</v>
      </c>
      <c r="G12" s="35"/>
      <c r="H12" s="35"/>
      <c r="I12" s="35"/>
    </row>
    <row r="13" spans="1:9" s="13" customFormat="1" ht="12" customHeight="1" x14ac:dyDescent="0.15">
      <c r="A13" s="13">
        <v>2</v>
      </c>
      <c r="B13" s="1" t="s">
        <v>2</v>
      </c>
      <c r="C13" s="13" t="s">
        <v>113</v>
      </c>
      <c r="D13" s="13">
        <f t="shared" ref="D13:D24" si="0">IF(C13="E",1,0)</f>
        <v>1</v>
      </c>
      <c r="E13" s="13">
        <f t="shared" ref="E13:E24" si="1">IF(C13="H",1,0)</f>
        <v>0</v>
      </c>
      <c r="G13" s="20"/>
      <c r="H13" s="20"/>
      <c r="I13" s="20"/>
    </row>
    <row r="14" spans="1:9" s="13" customFormat="1" ht="12" customHeight="1" x14ac:dyDescent="0.15">
      <c r="A14" s="13">
        <v>3</v>
      </c>
      <c r="B14" s="1" t="s">
        <v>287</v>
      </c>
      <c r="C14" s="13" t="s">
        <v>113</v>
      </c>
      <c r="D14" s="13">
        <f t="shared" ref="D14" si="2">IF(C14="E",1,0)</f>
        <v>1</v>
      </c>
      <c r="E14" s="13">
        <f t="shared" ref="E14" si="3">IF(C14="H",1,0)</f>
        <v>0</v>
      </c>
      <c r="G14" s="20"/>
      <c r="H14" s="20"/>
      <c r="I14" s="20"/>
    </row>
    <row r="15" spans="1:9" s="13" customFormat="1" ht="12" customHeight="1" x14ac:dyDescent="0.15">
      <c r="A15" s="13">
        <v>4</v>
      </c>
      <c r="B15" s="1" t="s">
        <v>300</v>
      </c>
      <c r="C15" s="13" t="s">
        <v>113</v>
      </c>
      <c r="D15" s="13">
        <f t="shared" ref="D15" si="4">IF(C15="E",1,0)</f>
        <v>1</v>
      </c>
      <c r="E15" s="13">
        <f t="shared" ref="E15" si="5">IF(C15="H",1,0)</f>
        <v>0</v>
      </c>
      <c r="G15" s="20"/>
      <c r="H15" s="20"/>
      <c r="I15" s="20"/>
    </row>
    <row r="16" spans="1:9" s="13" customFormat="1" ht="12" customHeight="1" x14ac:dyDescent="0.15">
      <c r="A16" s="13">
        <v>5</v>
      </c>
      <c r="B16" s="1" t="s">
        <v>69</v>
      </c>
      <c r="C16" s="13" t="s">
        <v>113</v>
      </c>
      <c r="D16" s="13">
        <f t="shared" si="0"/>
        <v>1</v>
      </c>
      <c r="E16" s="13">
        <f t="shared" si="1"/>
        <v>0</v>
      </c>
      <c r="F16" s="1"/>
      <c r="G16" s="20"/>
      <c r="H16" s="20"/>
      <c r="I16" s="20"/>
    </row>
    <row r="17" spans="1:9" ht="12" customHeight="1" x14ac:dyDescent="0.15">
      <c r="A17" s="13">
        <v>6</v>
      </c>
      <c r="B17" s="4" t="s">
        <v>3</v>
      </c>
      <c r="C17" s="13" t="s">
        <v>113</v>
      </c>
      <c r="D17" s="13">
        <f t="shared" si="0"/>
        <v>1</v>
      </c>
      <c r="E17" s="13">
        <f t="shared" si="1"/>
        <v>0</v>
      </c>
      <c r="G17" s="34"/>
      <c r="H17" s="34"/>
      <c r="I17" s="34"/>
    </row>
    <row r="18" spans="1:9" ht="12" customHeight="1" x14ac:dyDescent="0.15">
      <c r="A18" s="13">
        <v>7</v>
      </c>
      <c r="B18" s="4" t="s">
        <v>4</v>
      </c>
      <c r="C18" s="13" t="s">
        <v>113</v>
      </c>
      <c r="D18" s="13">
        <f t="shared" si="0"/>
        <v>1</v>
      </c>
      <c r="E18" s="13">
        <f t="shared" si="1"/>
        <v>0</v>
      </c>
      <c r="G18" s="34"/>
      <c r="H18" s="34"/>
      <c r="I18" s="34"/>
    </row>
    <row r="19" spans="1:9" ht="12" customHeight="1" x14ac:dyDescent="0.15">
      <c r="A19" s="13">
        <v>8</v>
      </c>
      <c r="B19" s="4" t="s">
        <v>280</v>
      </c>
      <c r="C19" s="13" t="s">
        <v>113</v>
      </c>
      <c r="D19" s="13">
        <f t="shared" si="0"/>
        <v>1</v>
      </c>
      <c r="E19" s="13">
        <f t="shared" si="1"/>
        <v>0</v>
      </c>
      <c r="G19" s="34"/>
      <c r="H19" s="34"/>
      <c r="I19" s="34"/>
    </row>
    <row r="20" spans="1:9" ht="12" customHeight="1" x14ac:dyDescent="0.15">
      <c r="A20" s="13">
        <v>9</v>
      </c>
      <c r="B20" s="4" t="s">
        <v>5</v>
      </c>
      <c r="C20" s="13" t="s">
        <v>113</v>
      </c>
      <c r="D20" s="13">
        <f t="shared" si="0"/>
        <v>1</v>
      </c>
      <c r="E20" s="13">
        <f t="shared" si="1"/>
        <v>0</v>
      </c>
      <c r="G20" s="34"/>
      <c r="H20" s="34"/>
      <c r="I20" s="34"/>
    </row>
    <row r="21" spans="1:9" ht="12" customHeight="1" x14ac:dyDescent="0.15">
      <c r="A21" s="13">
        <v>10</v>
      </c>
      <c r="B21" s="4" t="s">
        <v>6</v>
      </c>
      <c r="C21" s="13" t="s">
        <v>113</v>
      </c>
      <c r="D21" s="13">
        <f t="shared" si="0"/>
        <v>1</v>
      </c>
      <c r="E21" s="13">
        <f t="shared" si="1"/>
        <v>0</v>
      </c>
      <c r="G21" s="34"/>
      <c r="H21" s="34"/>
      <c r="I21" s="34"/>
    </row>
    <row r="22" spans="1:9" ht="12" customHeight="1" x14ac:dyDescent="0.15">
      <c r="A22" s="13">
        <v>11</v>
      </c>
      <c r="B22" s="4" t="s">
        <v>286</v>
      </c>
      <c r="C22" s="13" t="s">
        <v>113</v>
      </c>
      <c r="D22" s="13">
        <f t="shared" ref="D22" si="6">IF(C22="E",1,0)</f>
        <v>1</v>
      </c>
      <c r="E22" s="13">
        <f t="shared" ref="E22" si="7">IF(C22="H",1,0)</f>
        <v>0</v>
      </c>
      <c r="G22" s="26"/>
      <c r="H22" s="26"/>
      <c r="I22" s="26"/>
    </row>
    <row r="23" spans="1:9" ht="12" customHeight="1" x14ac:dyDescent="0.15">
      <c r="A23" s="13">
        <v>12</v>
      </c>
      <c r="B23" s="4" t="s">
        <v>290</v>
      </c>
      <c r="C23" s="13" t="s">
        <v>113</v>
      </c>
      <c r="D23" s="13">
        <f t="shared" ref="D23" si="8">IF(C23="E",1,0)</f>
        <v>1</v>
      </c>
      <c r="E23" s="13">
        <f t="shared" ref="E23" si="9">IF(C23="H",1,0)</f>
        <v>0</v>
      </c>
      <c r="G23" s="26"/>
      <c r="H23" s="26"/>
      <c r="I23" s="26"/>
    </row>
    <row r="24" spans="1:9" ht="12" customHeight="1" thickBot="1" x14ac:dyDescent="0.2">
      <c r="A24" s="13">
        <v>13</v>
      </c>
      <c r="B24" s="4" t="s">
        <v>48</v>
      </c>
      <c r="C24" s="13" t="s">
        <v>113</v>
      </c>
      <c r="D24" s="13">
        <f t="shared" si="0"/>
        <v>1</v>
      </c>
      <c r="E24" s="13">
        <f t="shared" si="1"/>
        <v>0</v>
      </c>
      <c r="G24" s="34"/>
      <c r="H24" s="34"/>
      <c r="I24" s="34"/>
    </row>
    <row r="25" spans="1:9" ht="14" thickBot="1" x14ac:dyDescent="0.25">
      <c r="B25" s="21" t="s">
        <v>16</v>
      </c>
      <c r="C25" s="9">
        <f>SUM(D12:D24)</f>
        <v>13</v>
      </c>
      <c r="D25" s="9">
        <f>SUM(D12:E24)-F12</f>
        <v>13</v>
      </c>
      <c r="E25" s="10">
        <f>IFERROR(C25/D25,0)</f>
        <v>1</v>
      </c>
      <c r="G25" s="11"/>
      <c r="H25" s="11"/>
      <c r="I25" s="11"/>
    </row>
    <row r="26" spans="1:9" x14ac:dyDescent="0.2">
      <c r="B26" s="3" t="s">
        <v>178</v>
      </c>
      <c r="C26" s="6" t="s">
        <v>12</v>
      </c>
      <c r="D26" s="6" t="s">
        <v>15</v>
      </c>
      <c r="E26" s="6" t="s">
        <v>13</v>
      </c>
      <c r="F26" s="6"/>
      <c r="G26" s="32" t="s">
        <v>14</v>
      </c>
      <c r="H26" s="32"/>
      <c r="I26" s="32"/>
    </row>
    <row r="27" spans="1:9" ht="12" customHeight="1" x14ac:dyDescent="0.15">
      <c r="A27" s="1">
        <v>1</v>
      </c>
      <c r="B27" s="15" t="s">
        <v>71</v>
      </c>
      <c r="C27" s="13" t="s">
        <v>113</v>
      </c>
      <c r="D27" s="13">
        <f t="shared" ref="D27:D39" si="10">IF(C27="E",1,0)</f>
        <v>1</v>
      </c>
      <c r="E27" s="13">
        <f t="shared" ref="E27:E39" si="11">IF(C27="H",1,0)</f>
        <v>0</v>
      </c>
      <c r="G27" s="34"/>
      <c r="H27" s="34"/>
      <c r="I27" s="34"/>
    </row>
    <row r="28" spans="1:9" ht="12" customHeight="1" x14ac:dyDescent="0.15">
      <c r="A28" s="1">
        <v>2</v>
      </c>
      <c r="B28" s="15" t="s">
        <v>145</v>
      </c>
      <c r="C28" s="13" t="s">
        <v>113</v>
      </c>
      <c r="D28" s="13">
        <f t="shared" si="10"/>
        <v>1</v>
      </c>
      <c r="E28" s="13">
        <f t="shared" si="11"/>
        <v>0</v>
      </c>
      <c r="G28" s="34"/>
      <c r="H28" s="34"/>
      <c r="I28" s="34"/>
    </row>
    <row r="29" spans="1:9" ht="12" customHeight="1" x14ac:dyDescent="0.15">
      <c r="A29" s="1">
        <v>3</v>
      </c>
      <c r="B29" s="15" t="s">
        <v>80</v>
      </c>
      <c r="C29" s="13" t="s">
        <v>113</v>
      </c>
      <c r="D29" s="13">
        <f t="shared" si="10"/>
        <v>1</v>
      </c>
      <c r="E29" s="13">
        <f t="shared" si="11"/>
        <v>0</v>
      </c>
      <c r="G29" s="34"/>
      <c r="H29" s="34"/>
      <c r="I29" s="34"/>
    </row>
    <row r="30" spans="1:9" ht="12" customHeight="1" x14ac:dyDescent="0.15">
      <c r="A30" s="1">
        <v>4</v>
      </c>
      <c r="B30" s="15" t="s">
        <v>182</v>
      </c>
      <c r="C30" s="13" t="s">
        <v>113</v>
      </c>
      <c r="D30" s="13">
        <f t="shared" si="10"/>
        <v>1</v>
      </c>
      <c r="E30" s="13">
        <f t="shared" si="11"/>
        <v>0</v>
      </c>
      <c r="G30" s="34"/>
      <c r="H30" s="34"/>
      <c r="I30" s="34"/>
    </row>
    <row r="31" spans="1:9" ht="12" customHeight="1" x14ac:dyDescent="0.15">
      <c r="A31" s="1">
        <v>5</v>
      </c>
      <c r="B31" s="4" t="s">
        <v>183</v>
      </c>
      <c r="C31" s="13" t="s">
        <v>113</v>
      </c>
      <c r="D31" s="13">
        <f t="shared" si="10"/>
        <v>1</v>
      </c>
      <c r="E31" s="13">
        <f t="shared" si="11"/>
        <v>0</v>
      </c>
      <c r="G31" s="34"/>
      <c r="H31" s="34"/>
      <c r="I31" s="34"/>
    </row>
    <row r="32" spans="1:9" ht="12" customHeight="1" x14ac:dyDescent="0.15">
      <c r="A32" s="1">
        <v>6</v>
      </c>
      <c r="B32" s="4" t="s">
        <v>70</v>
      </c>
      <c r="C32" s="13" t="s">
        <v>113</v>
      </c>
      <c r="D32" s="13">
        <f t="shared" si="10"/>
        <v>1</v>
      </c>
      <c r="E32" s="13">
        <f t="shared" si="11"/>
        <v>0</v>
      </c>
      <c r="G32" s="34"/>
      <c r="H32" s="34"/>
      <c r="I32" s="34"/>
    </row>
    <row r="33" spans="1:9" ht="12" customHeight="1" x14ac:dyDescent="0.15">
      <c r="A33" s="1">
        <v>7</v>
      </c>
      <c r="B33" s="4" t="s">
        <v>313</v>
      </c>
      <c r="C33" s="13" t="s">
        <v>113</v>
      </c>
      <c r="D33" s="13">
        <f t="shared" ref="D33" si="12">IF(C33="E",1,0)</f>
        <v>1</v>
      </c>
      <c r="E33" s="13">
        <f t="shared" ref="E33" si="13">IF(C33="H",1,0)</f>
        <v>0</v>
      </c>
      <c r="G33" s="26"/>
      <c r="H33" s="26"/>
      <c r="I33" s="26"/>
    </row>
    <row r="34" spans="1:9" ht="12" customHeight="1" x14ac:dyDescent="0.15">
      <c r="A34" s="1">
        <v>8</v>
      </c>
      <c r="B34" s="4" t="s">
        <v>7</v>
      </c>
      <c r="C34" s="13" t="s">
        <v>113</v>
      </c>
      <c r="D34" s="13">
        <f t="shared" si="10"/>
        <v>1</v>
      </c>
      <c r="E34" s="13">
        <f t="shared" si="11"/>
        <v>0</v>
      </c>
      <c r="G34" s="34"/>
      <c r="H34" s="34"/>
      <c r="I34" s="34"/>
    </row>
    <row r="35" spans="1:9" ht="12" customHeight="1" x14ac:dyDescent="0.15">
      <c r="A35" s="1">
        <v>9</v>
      </c>
      <c r="B35" s="4" t="s">
        <v>177</v>
      </c>
      <c r="C35" s="13" t="s">
        <v>113</v>
      </c>
      <c r="D35" s="13">
        <f t="shared" si="10"/>
        <v>1</v>
      </c>
      <c r="E35" s="13">
        <f t="shared" si="11"/>
        <v>0</v>
      </c>
      <c r="G35" s="34"/>
      <c r="H35" s="34"/>
      <c r="I35" s="34"/>
    </row>
    <row r="36" spans="1:9" ht="12" customHeight="1" x14ac:dyDescent="0.15">
      <c r="A36" s="1">
        <v>10</v>
      </c>
      <c r="B36" s="1" t="s">
        <v>184</v>
      </c>
      <c r="C36" s="13" t="s">
        <v>113</v>
      </c>
      <c r="D36" s="13">
        <f t="shared" si="10"/>
        <v>1</v>
      </c>
      <c r="E36" s="13">
        <f t="shared" si="11"/>
        <v>0</v>
      </c>
      <c r="G36" s="34"/>
      <c r="H36" s="34"/>
      <c r="I36" s="34"/>
    </row>
    <row r="37" spans="1:9" ht="12" customHeight="1" x14ac:dyDescent="0.15">
      <c r="A37" s="1">
        <v>11</v>
      </c>
      <c r="B37" s="1" t="s">
        <v>185</v>
      </c>
      <c r="C37" s="13" t="s">
        <v>113</v>
      </c>
      <c r="D37" s="13">
        <f t="shared" si="10"/>
        <v>1</v>
      </c>
      <c r="E37" s="13">
        <f t="shared" si="11"/>
        <v>0</v>
      </c>
      <c r="G37" s="34"/>
      <c r="H37" s="34"/>
      <c r="I37" s="34"/>
    </row>
    <row r="38" spans="1:9" ht="12" customHeight="1" x14ac:dyDescent="0.15">
      <c r="A38" s="1">
        <v>12</v>
      </c>
      <c r="B38" s="4" t="s">
        <v>75</v>
      </c>
      <c r="C38" s="13" t="s">
        <v>113</v>
      </c>
      <c r="D38" s="13">
        <f t="shared" si="10"/>
        <v>1</v>
      </c>
      <c r="E38" s="13">
        <f t="shared" si="11"/>
        <v>0</v>
      </c>
      <c r="G38" s="34"/>
      <c r="H38" s="34"/>
      <c r="I38" s="34"/>
    </row>
    <row r="39" spans="1:9" ht="12" customHeight="1" thickBot="1" x14ac:dyDescent="0.2">
      <c r="A39" s="1">
        <v>13</v>
      </c>
      <c r="B39" s="4" t="s">
        <v>146</v>
      </c>
      <c r="C39" s="13" t="s">
        <v>113</v>
      </c>
      <c r="D39" s="13">
        <f t="shared" si="10"/>
        <v>1</v>
      </c>
      <c r="E39" s="13">
        <f t="shared" si="11"/>
        <v>0</v>
      </c>
      <c r="G39" s="34"/>
      <c r="H39" s="34"/>
      <c r="I39" s="34"/>
    </row>
    <row r="40" spans="1:9" ht="14" thickBot="1" x14ac:dyDescent="0.2">
      <c r="B40" s="21" t="s">
        <v>16</v>
      </c>
      <c r="C40" s="9">
        <f>SUM(D27:D39)</f>
        <v>13</v>
      </c>
      <c r="D40" s="9">
        <f>SUM(D27:E39)</f>
        <v>13</v>
      </c>
      <c r="E40" s="10">
        <f>IFERROR(C40/D40,0)</f>
        <v>1</v>
      </c>
      <c r="G40" s="8"/>
      <c r="H40" s="8"/>
      <c r="I40" s="8"/>
    </row>
    <row r="41" spans="1:9" x14ac:dyDescent="0.2">
      <c r="B41" s="3" t="s">
        <v>161</v>
      </c>
      <c r="C41" s="6" t="s">
        <v>12</v>
      </c>
      <c r="D41" s="6" t="s">
        <v>15</v>
      </c>
      <c r="E41" s="6" t="s">
        <v>13</v>
      </c>
      <c r="F41" s="6"/>
      <c r="G41" s="32" t="s">
        <v>14</v>
      </c>
      <c r="H41" s="32"/>
      <c r="I41" s="32"/>
    </row>
    <row r="42" spans="1:9" ht="12" customHeight="1" x14ac:dyDescent="0.15">
      <c r="A42" s="1">
        <v>1</v>
      </c>
      <c r="B42" s="25" t="s">
        <v>78</v>
      </c>
      <c r="C42" s="13" t="s">
        <v>113</v>
      </c>
      <c r="D42" s="13">
        <f t="shared" ref="D42:D45" si="14">IF(C42="E",1,0)</f>
        <v>1</v>
      </c>
      <c r="E42" s="13">
        <f t="shared" ref="E42:E45" si="15">IF(C42="H",1,0)</f>
        <v>0</v>
      </c>
      <c r="G42" s="34"/>
      <c r="H42" s="34"/>
      <c r="I42" s="34"/>
    </row>
    <row r="43" spans="1:9" ht="12" customHeight="1" x14ac:dyDescent="0.15">
      <c r="A43" s="1">
        <v>2</v>
      </c>
      <c r="B43" s="25" t="s">
        <v>79</v>
      </c>
      <c r="C43" s="13" t="s">
        <v>113</v>
      </c>
      <c r="D43" s="13">
        <f t="shared" si="14"/>
        <v>1</v>
      </c>
      <c r="E43" s="13">
        <f t="shared" si="15"/>
        <v>0</v>
      </c>
      <c r="G43" s="34"/>
      <c r="H43" s="34"/>
      <c r="I43" s="34"/>
    </row>
    <row r="44" spans="1:9" ht="12" customHeight="1" x14ac:dyDescent="0.15">
      <c r="A44" s="1">
        <v>3</v>
      </c>
      <c r="B44" s="25" t="s">
        <v>147</v>
      </c>
      <c r="C44" s="13" t="s">
        <v>113</v>
      </c>
      <c r="D44" s="13">
        <f t="shared" ref="D44" si="16">IF(C44="E",1,0)</f>
        <v>1</v>
      </c>
      <c r="E44" s="13">
        <f t="shared" ref="E44" si="17">IF(C44="H",1,0)</f>
        <v>0</v>
      </c>
      <c r="G44" s="34"/>
      <c r="H44" s="34"/>
      <c r="I44" s="34"/>
    </row>
    <row r="45" spans="1:9" ht="12" customHeight="1" thickBot="1" x14ac:dyDescent="0.2">
      <c r="A45" s="1">
        <v>4</v>
      </c>
      <c r="B45" s="25" t="s">
        <v>114</v>
      </c>
      <c r="C45" s="13" t="s">
        <v>113</v>
      </c>
      <c r="D45" s="13">
        <f t="shared" si="14"/>
        <v>1</v>
      </c>
      <c r="E45" s="13">
        <f t="shared" si="15"/>
        <v>0</v>
      </c>
      <c r="G45" s="34"/>
      <c r="H45" s="34"/>
      <c r="I45" s="34"/>
    </row>
    <row r="46" spans="1:9" ht="14" thickBot="1" x14ac:dyDescent="0.25">
      <c r="B46" s="21" t="s">
        <v>16</v>
      </c>
      <c r="C46" s="9">
        <f>SUM(D42:D45)</f>
        <v>4</v>
      </c>
      <c r="D46" s="9">
        <f>SUM(D42:E45)</f>
        <v>4</v>
      </c>
      <c r="E46" s="10">
        <f>IFERROR(C46/D46,0)</f>
        <v>1</v>
      </c>
      <c r="G46" s="11"/>
      <c r="H46" s="11"/>
      <c r="I46" s="11"/>
    </row>
    <row r="47" spans="1:9" x14ac:dyDescent="0.2">
      <c r="B47" s="3" t="s">
        <v>8</v>
      </c>
      <c r="C47" s="6" t="s">
        <v>12</v>
      </c>
      <c r="D47" s="6" t="s">
        <v>15</v>
      </c>
      <c r="E47" s="6" t="s">
        <v>13</v>
      </c>
      <c r="F47" s="6"/>
      <c r="G47" s="32" t="s">
        <v>14</v>
      </c>
      <c r="H47" s="32"/>
      <c r="I47" s="32"/>
    </row>
    <row r="48" spans="1:9" ht="12" customHeight="1" x14ac:dyDescent="0.15">
      <c r="A48" s="1">
        <v>1</v>
      </c>
      <c r="B48" s="4" t="s">
        <v>9</v>
      </c>
      <c r="C48" s="13" t="s">
        <v>113</v>
      </c>
      <c r="D48" s="13">
        <f t="shared" ref="D48:D51" si="18">IF(C48="E",1,0)</f>
        <v>1</v>
      </c>
      <c r="E48" s="13">
        <f t="shared" ref="E48" si="19">IF(C48="H",1,0)</f>
        <v>0</v>
      </c>
      <c r="G48" s="34"/>
      <c r="H48" s="34"/>
      <c r="I48" s="34"/>
    </row>
    <row r="49" spans="1:9" ht="12" customHeight="1" x14ac:dyDescent="0.15">
      <c r="A49" s="1">
        <v>2</v>
      </c>
      <c r="B49" s="4" t="s">
        <v>10</v>
      </c>
      <c r="C49" s="13" t="s">
        <v>113</v>
      </c>
      <c r="D49" s="13">
        <f t="shared" si="18"/>
        <v>1</v>
      </c>
      <c r="E49" s="13">
        <f t="shared" ref="E49:E51" si="20">IF(C49="H",1,0)</f>
        <v>0</v>
      </c>
      <c r="G49" s="34"/>
      <c r="H49" s="34"/>
      <c r="I49" s="34"/>
    </row>
    <row r="50" spans="1:9" ht="12" customHeight="1" x14ac:dyDescent="0.15">
      <c r="A50" s="1">
        <v>3</v>
      </c>
      <c r="B50" s="4" t="s">
        <v>308</v>
      </c>
      <c r="C50" s="13" t="s">
        <v>113</v>
      </c>
      <c r="D50" s="13">
        <f t="shared" si="18"/>
        <v>1</v>
      </c>
      <c r="E50" s="13">
        <f t="shared" si="20"/>
        <v>0</v>
      </c>
      <c r="G50" s="34"/>
      <c r="H50" s="34"/>
      <c r="I50" s="34"/>
    </row>
    <row r="51" spans="1:9" ht="12" customHeight="1" thickBot="1" x14ac:dyDescent="0.2">
      <c r="A51" s="1">
        <v>4</v>
      </c>
      <c r="B51" s="4" t="s">
        <v>163</v>
      </c>
      <c r="C51" s="13" t="s">
        <v>113</v>
      </c>
      <c r="D51" s="13">
        <f t="shared" si="18"/>
        <v>1</v>
      </c>
      <c r="E51" s="13">
        <f t="shared" si="20"/>
        <v>0</v>
      </c>
      <c r="G51" s="34"/>
      <c r="H51" s="34"/>
      <c r="I51" s="34"/>
    </row>
    <row r="52" spans="1:9" ht="14" thickBot="1" x14ac:dyDescent="0.2">
      <c r="B52" s="21" t="s">
        <v>16</v>
      </c>
      <c r="C52" s="9">
        <f>SUM(D48:D51)</f>
        <v>4</v>
      </c>
      <c r="D52" s="9">
        <f>SUM(D48:E51)</f>
        <v>4</v>
      </c>
      <c r="E52" s="10">
        <f>IFERROR(C52/D52,0)</f>
        <v>1</v>
      </c>
      <c r="G52" s="8"/>
      <c r="H52" s="8"/>
      <c r="I52" s="8"/>
    </row>
    <row r="53" spans="1:9" x14ac:dyDescent="0.2">
      <c r="B53" s="3" t="s">
        <v>76</v>
      </c>
      <c r="C53" s="6" t="s">
        <v>12</v>
      </c>
      <c r="D53" s="6" t="s">
        <v>15</v>
      </c>
      <c r="E53" s="6" t="s">
        <v>13</v>
      </c>
      <c r="F53" s="6"/>
      <c r="G53" s="32" t="s">
        <v>14</v>
      </c>
      <c r="H53" s="32"/>
      <c r="I53" s="32"/>
    </row>
    <row r="54" spans="1:9" ht="12" customHeight="1" x14ac:dyDescent="0.15">
      <c r="A54" s="1">
        <v>1</v>
      </c>
      <c r="B54" s="4" t="s">
        <v>49</v>
      </c>
      <c r="C54" s="13" t="s">
        <v>113</v>
      </c>
      <c r="D54" s="13">
        <f t="shared" ref="D54:D57" si="21">IF(C54="E",1,0)</f>
        <v>1</v>
      </c>
      <c r="E54" s="13">
        <f t="shared" ref="E54" si="22">IF(C54="H",1,0)</f>
        <v>0</v>
      </c>
      <c r="G54" s="34"/>
      <c r="H54" s="34"/>
      <c r="I54" s="34"/>
    </row>
    <row r="55" spans="1:9" ht="12" customHeight="1" x14ac:dyDescent="0.15">
      <c r="A55" s="1">
        <v>2</v>
      </c>
      <c r="B55" s="4" t="s">
        <v>81</v>
      </c>
      <c r="C55" s="13" t="s">
        <v>113</v>
      </c>
      <c r="D55" s="13">
        <f t="shared" si="21"/>
        <v>1</v>
      </c>
      <c r="E55" s="13">
        <f t="shared" ref="E55:E57" si="23">IF(C55="H",1,0)</f>
        <v>0</v>
      </c>
      <c r="G55" s="34"/>
      <c r="H55" s="34"/>
      <c r="I55" s="34"/>
    </row>
    <row r="56" spans="1:9" ht="12" customHeight="1" x14ac:dyDescent="0.15">
      <c r="A56" s="1">
        <v>3</v>
      </c>
      <c r="B56" s="4" t="s">
        <v>11</v>
      </c>
      <c r="C56" s="13" t="s">
        <v>113</v>
      </c>
      <c r="D56" s="13">
        <f t="shared" si="21"/>
        <v>1</v>
      </c>
      <c r="E56" s="13">
        <f t="shared" si="23"/>
        <v>0</v>
      </c>
      <c r="G56" s="34"/>
      <c r="H56" s="34"/>
      <c r="I56" s="34"/>
    </row>
    <row r="57" spans="1:9" ht="12" customHeight="1" thickBot="1" x14ac:dyDescent="0.2">
      <c r="A57" s="1">
        <v>4</v>
      </c>
      <c r="B57" s="4" t="s">
        <v>77</v>
      </c>
      <c r="C57" s="13" t="s">
        <v>113</v>
      </c>
      <c r="D57" s="13">
        <f t="shared" si="21"/>
        <v>1</v>
      </c>
      <c r="E57" s="13">
        <f t="shared" si="23"/>
        <v>0</v>
      </c>
      <c r="G57" s="34"/>
      <c r="H57" s="34"/>
      <c r="I57" s="34"/>
    </row>
    <row r="58" spans="1:9" ht="14.25" customHeight="1" thickBot="1" x14ac:dyDescent="0.25">
      <c r="B58" s="21" t="s">
        <v>16</v>
      </c>
      <c r="C58" s="9">
        <f>SUM(D54:D57)</f>
        <v>4</v>
      </c>
      <c r="D58" s="9">
        <f>SUM(D54:E57)</f>
        <v>4</v>
      </c>
      <c r="E58" s="10">
        <f>IFERROR(C58/D58,0)</f>
        <v>1</v>
      </c>
      <c r="G58" s="11"/>
      <c r="H58" s="11"/>
      <c r="I58" s="11"/>
    </row>
    <row r="59" spans="1:9" x14ac:dyDescent="0.2">
      <c r="B59" s="3" t="s">
        <v>33</v>
      </c>
      <c r="C59" s="6" t="s">
        <v>12</v>
      </c>
      <c r="D59" s="6" t="s">
        <v>15</v>
      </c>
      <c r="E59" s="6" t="s">
        <v>13</v>
      </c>
      <c r="F59" s="6"/>
      <c r="G59" s="32" t="s">
        <v>14</v>
      </c>
      <c r="H59" s="32"/>
      <c r="I59" s="32"/>
    </row>
    <row r="60" spans="1:9" ht="12" customHeight="1" x14ac:dyDescent="0.15">
      <c r="A60" s="1">
        <v>1</v>
      </c>
      <c r="B60" s="4" t="s">
        <v>34</v>
      </c>
      <c r="C60" s="13" t="s">
        <v>113</v>
      </c>
      <c r="D60" s="13">
        <f t="shared" ref="D60:D82" si="24">IF(C60="E",1,0)</f>
        <v>1</v>
      </c>
      <c r="E60" s="13">
        <f t="shared" ref="E60" si="25">IF(C60="H",1,0)</f>
        <v>0</v>
      </c>
      <c r="G60" s="34"/>
      <c r="H60" s="34"/>
      <c r="I60" s="34"/>
    </row>
    <row r="61" spans="1:9" ht="12" customHeight="1" x14ac:dyDescent="0.15">
      <c r="A61" s="1">
        <v>2</v>
      </c>
      <c r="B61" s="4" t="s">
        <v>94</v>
      </c>
      <c r="C61" s="13" t="s">
        <v>113</v>
      </c>
      <c r="D61" s="13">
        <f t="shared" si="24"/>
        <v>1</v>
      </c>
      <c r="E61" s="13">
        <f t="shared" ref="E61:E82" si="26">IF(C61="H",1,0)</f>
        <v>0</v>
      </c>
      <c r="G61" s="26"/>
      <c r="H61" s="26"/>
      <c r="I61" s="26"/>
    </row>
    <row r="62" spans="1:9" ht="12" customHeight="1" x14ac:dyDescent="0.15">
      <c r="A62" s="1">
        <v>3</v>
      </c>
      <c r="B62" s="4" t="s">
        <v>186</v>
      </c>
      <c r="C62" s="13" t="s">
        <v>113</v>
      </c>
      <c r="D62" s="13">
        <f t="shared" si="24"/>
        <v>1</v>
      </c>
      <c r="E62" s="13">
        <f t="shared" si="26"/>
        <v>0</v>
      </c>
      <c r="G62" s="26"/>
      <c r="H62" s="26"/>
      <c r="I62" s="26"/>
    </row>
    <row r="63" spans="1:9" ht="12" customHeight="1" x14ac:dyDescent="0.15">
      <c r="A63" s="1">
        <v>4</v>
      </c>
      <c r="B63" s="4" t="s">
        <v>187</v>
      </c>
      <c r="C63" s="13" t="s">
        <v>113</v>
      </c>
      <c r="D63" s="13">
        <f t="shared" si="24"/>
        <v>1</v>
      </c>
      <c r="E63" s="13">
        <f t="shared" si="26"/>
        <v>0</v>
      </c>
      <c r="G63" s="26"/>
      <c r="H63" s="26"/>
      <c r="I63" s="26"/>
    </row>
    <row r="64" spans="1:9" ht="12" customHeight="1" x14ac:dyDescent="0.15">
      <c r="A64" s="1">
        <v>5</v>
      </c>
      <c r="B64" s="4" t="s">
        <v>188</v>
      </c>
      <c r="C64" s="13" t="s">
        <v>113</v>
      </c>
      <c r="D64" s="13">
        <f t="shared" si="24"/>
        <v>1</v>
      </c>
      <c r="E64" s="13">
        <f t="shared" si="26"/>
        <v>0</v>
      </c>
      <c r="G64" s="26"/>
      <c r="H64" s="26"/>
      <c r="I64" s="26"/>
    </row>
    <row r="65" spans="1:9" ht="12" customHeight="1" x14ac:dyDescent="0.15">
      <c r="A65" s="1">
        <v>6</v>
      </c>
      <c r="B65" s="4" t="s">
        <v>148</v>
      </c>
      <c r="C65" s="13" t="s">
        <v>113</v>
      </c>
      <c r="D65" s="13">
        <f t="shared" si="24"/>
        <v>1</v>
      </c>
      <c r="E65" s="13">
        <f t="shared" si="26"/>
        <v>0</v>
      </c>
      <c r="G65" s="34"/>
      <c r="H65" s="34"/>
      <c r="I65" s="34"/>
    </row>
    <row r="66" spans="1:9" ht="12" customHeight="1" x14ac:dyDescent="0.15">
      <c r="A66" s="1">
        <v>7</v>
      </c>
      <c r="B66" s="4" t="s">
        <v>282</v>
      </c>
      <c r="C66" s="13" t="s">
        <v>113</v>
      </c>
      <c r="D66" s="13">
        <f t="shared" ref="D66" si="27">IF(C66="E",1,0)</f>
        <v>1</v>
      </c>
      <c r="E66" s="13">
        <f t="shared" ref="E66" si="28">IF(C66="H",1,0)</f>
        <v>0</v>
      </c>
      <c r="G66" s="26"/>
      <c r="H66" s="26"/>
      <c r="I66" s="26"/>
    </row>
    <row r="67" spans="1:9" ht="12" customHeight="1" x14ac:dyDescent="0.15">
      <c r="A67" s="1">
        <v>8</v>
      </c>
      <c r="B67" s="12" t="s">
        <v>189</v>
      </c>
      <c r="C67" s="13" t="s">
        <v>113</v>
      </c>
      <c r="D67" s="13">
        <f t="shared" si="24"/>
        <v>1</v>
      </c>
      <c r="E67" s="13">
        <f t="shared" si="26"/>
        <v>0</v>
      </c>
      <c r="G67" s="34"/>
      <c r="H67" s="34"/>
      <c r="I67" s="34"/>
    </row>
    <row r="68" spans="1:9" ht="12" customHeight="1" x14ac:dyDescent="0.15">
      <c r="A68" s="1">
        <v>9</v>
      </c>
      <c r="B68" s="12" t="s">
        <v>190</v>
      </c>
      <c r="C68" s="13" t="s">
        <v>113</v>
      </c>
      <c r="D68" s="13">
        <f t="shared" ref="D68" si="29">IF(C68="E",1,0)</f>
        <v>1</v>
      </c>
      <c r="E68" s="13">
        <f t="shared" ref="E68" si="30">IF(C68="H",1,0)</f>
        <v>0</v>
      </c>
      <c r="G68" s="26"/>
      <c r="H68" s="26"/>
      <c r="I68" s="26"/>
    </row>
    <row r="69" spans="1:9" ht="12" customHeight="1" x14ac:dyDescent="0.15">
      <c r="A69" s="1">
        <v>10</v>
      </c>
      <c r="B69" s="12" t="s">
        <v>291</v>
      </c>
      <c r="C69" s="13" t="s">
        <v>113</v>
      </c>
      <c r="D69" s="13">
        <f t="shared" ref="D69" si="31">IF(C69="E",1,0)</f>
        <v>1</v>
      </c>
      <c r="E69" s="13">
        <f t="shared" ref="E69" si="32">IF(C69="H",1,0)</f>
        <v>0</v>
      </c>
      <c r="G69" s="26"/>
      <c r="H69" s="26"/>
      <c r="I69" s="26"/>
    </row>
    <row r="70" spans="1:9" ht="12" customHeight="1" x14ac:dyDescent="0.15">
      <c r="A70" s="1">
        <v>11</v>
      </c>
      <c r="B70" s="12" t="s">
        <v>314</v>
      </c>
      <c r="C70" s="13" t="s">
        <v>113</v>
      </c>
      <c r="D70" s="13">
        <f t="shared" ref="D70" si="33">IF(C70="E",1,0)</f>
        <v>1</v>
      </c>
      <c r="E70" s="13">
        <f t="shared" ref="E70" si="34">IF(C70="H",1,0)</f>
        <v>0</v>
      </c>
      <c r="G70" s="26"/>
      <c r="H70" s="26"/>
      <c r="I70" s="26"/>
    </row>
    <row r="71" spans="1:9" ht="12" customHeight="1" x14ac:dyDescent="0.15">
      <c r="A71" s="1">
        <v>12</v>
      </c>
      <c r="B71" s="1" t="s">
        <v>283</v>
      </c>
      <c r="C71" s="13" t="s">
        <v>113</v>
      </c>
      <c r="D71" s="13">
        <f t="shared" si="24"/>
        <v>1</v>
      </c>
      <c r="E71" s="13">
        <f t="shared" si="26"/>
        <v>0</v>
      </c>
      <c r="G71" s="34"/>
      <c r="H71" s="34"/>
      <c r="I71" s="34"/>
    </row>
    <row r="72" spans="1:9" ht="12" customHeight="1" x14ac:dyDescent="0.15">
      <c r="A72" s="1">
        <v>13</v>
      </c>
      <c r="B72" s="1" t="s">
        <v>191</v>
      </c>
      <c r="C72" s="13" t="s">
        <v>113</v>
      </c>
      <c r="D72" s="13">
        <f t="shared" ref="D72" si="35">IF(C72="E",1,0)</f>
        <v>1</v>
      </c>
      <c r="E72" s="13">
        <f t="shared" ref="E72" si="36">IF(C72="H",1,0)</f>
        <v>0</v>
      </c>
      <c r="G72" s="26"/>
      <c r="H72" s="26"/>
      <c r="I72" s="26"/>
    </row>
    <row r="73" spans="1:9" ht="12" customHeight="1" x14ac:dyDescent="0.15">
      <c r="A73" s="1">
        <v>14</v>
      </c>
      <c r="B73" s="1" t="s">
        <v>192</v>
      </c>
      <c r="C73" s="13" t="s">
        <v>113</v>
      </c>
      <c r="D73" s="13">
        <f t="shared" ref="D73" si="37">IF(C73="E",1,0)</f>
        <v>1</v>
      </c>
      <c r="E73" s="13">
        <f t="shared" ref="E73" si="38">IF(C73="H",1,0)</f>
        <v>0</v>
      </c>
      <c r="G73" s="26"/>
      <c r="H73" s="26"/>
      <c r="I73" s="26"/>
    </row>
    <row r="74" spans="1:9" ht="12" customHeight="1" x14ac:dyDescent="0.15">
      <c r="A74" s="1">
        <v>15</v>
      </c>
      <c r="B74" s="1" t="s">
        <v>193</v>
      </c>
      <c r="C74" s="13" t="s">
        <v>113</v>
      </c>
      <c r="D74" s="13">
        <f t="shared" si="24"/>
        <v>1</v>
      </c>
      <c r="E74" s="13">
        <f t="shared" si="26"/>
        <v>0</v>
      </c>
      <c r="G74" s="34"/>
      <c r="H74" s="34"/>
      <c r="I74" s="34"/>
    </row>
    <row r="75" spans="1:9" ht="12" customHeight="1" x14ac:dyDescent="0.15">
      <c r="A75" s="1">
        <v>16</v>
      </c>
      <c r="B75" s="1" t="s">
        <v>85</v>
      </c>
      <c r="C75" s="13" t="s">
        <v>113</v>
      </c>
      <c r="D75" s="13">
        <f t="shared" si="24"/>
        <v>1</v>
      </c>
      <c r="E75" s="13">
        <f t="shared" si="26"/>
        <v>0</v>
      </c>
      <c r="G75" s="34"/>
      <c r="H75" s="34"/>
      <c r="I75" s="34"/>
    </row>
    <row r="76" spans="1:9" ht="12" customHeight="1" x14ac:dyDescent="0.15">
      <c r="A76" s="1">
        <v>17</v>
      </c>
      <c r="B76" s="1" t="s">
        <v>86</v>
      </c>
      <c r="C76" s="13" t="s">
        <v>113</v>
      </c>
      <c r="D76" s="13">
        <f t="shared" si="24"/>
        <v>1</v>
      </c>
      <c r="E76" s="13">
        <f t="shared" si="26"/>
        <v>0</v>
      </c>
      <c r="G76" s="34"/>
      <c r="H76" s="34"/>
      <c r="I76" s="34"/>
    </row>
    <row r="77" spans="1:9" ht="12" customHeight="1" x14ac:dyDescent="0.15">
      <c r="A77" s="1">
        <v>18</v>
      </c>
      <c r="B77" s="1" t="s">
        <v>194</v>
      </c>
      <c r="C77" s="13" t="s">
        <v>113</v>
      </c>
      <c r="D77" s="13">
        <f t="shared" si="24"/>
        <v>1</v>
      </c>
      <c r="E77" s="13">
        <f t="shared" si="26"/>
        <v>0</v>
      </c>
      <c r="G77" s="34"/>
      <c r="H77" s="34"/>
      <c r="I77" s="34"/>
    </row>
    <row r="78" spans="1:9" ht="12" customHeight="1" x14ac:dyDescent="0.15">
      <c r="A78" s="1">
        <v>19</v>
      </c>
      <c r="B78" s="1" t="s">
        <v>195</v>
      </c>
      <c r="C78" s="13" t="s">
        <v>113</v>
      </c>
      <c r="D78" s="13">
        <f t="shared" si="24"/>
        <v>1</v>
      </c>
      <c r="E78" s="13">
        <f t="shared" si="26"/>
        <v>0</v>
      </c>
      <c r="G78" s="34"/>
      <c r="H78" s="34"/>
      <c r="I78" s="34"/>
    </row>
    <row r="79" spans="1:9" ht="12" customHeight="1" x14ac:dyDescent="0.15">
      <c r="A79" s="1">
        <v>20</v>
      </c>
      <c r="B79" s="1" t="s">
        <v>196</v>
      </c>
      <c r="C79" s="13" t="s">
        <v>113</v>
      </c>
      <c r="D79" s="13">
        <f t="shared" si="24"/>
        <v>1</v>
      </c>
      <c r="E79" s="13">
        <f t="shared" si="26"/>
        <v>0</v>
      </c>
      <c r="G79" s="34"/>
      <c r="H79" s="34"/>
      <c r="I79" s="34"/>
    </row>
    <row r="80" spans="1:9" ht="12" customHeight="1" x14ac:dyDescent="0.15">
      <c r="A80" s="1">
        <v>21</v>
      </c>
      <c r="B80" s="1" t="s">
        <v>95</v>
      </c>
      <c r="C80" s="13" t="s">
        <v>113</v>
      </c>
      <c r="D80" s="13">
        <f t="shared" si="24"/>
        <v>1</v>
      </c>
      <c r="E80" s="13">
        <f t="shared" si="26"/>
        <v>0</v>
      </c>
      <c r="G80" s="34"/>
      <c r="H80" s="34"/>
      <c r="I80" s="34"/>
    </row>
    <row r="81" spans="1:9" ht="12" customHeight="1" x14ac:dyDescent="0.15">
      <c r="A81" s="1">
        <v>22</v>
      </c>
      <c r="B81" s="1" t="s">
        <v>197</v>
      </c>
      <c r="C81" s="13" t="s">
        <v>113</v>
      </c>
      <c r="D81" s="13">
        <f t="shared" si="24"/>
        <v>1</v>
      </c>
      <c r="E81" s="13">
        <f t="shared" si="26"/>
        <v>0</v>
      </c>
      <c r="G81" s="34"/>
      <c r="H81" s="34"/>
      <c r="I81" s="34"/>
    </row>
    <row r="82" spans="1:9" ht="12" customHeight="1" thickBot="1" x14ac:dyDescent="0.2">
      <c r="A82" s="1">
        <v>23</v>
      </c>
      <c r="B82" s="4" t="s">
        <v>164</v>
      </c>
      <c r="C82" s="13" t="s">
        <v>113</v>
      </c>
      <c r="D82" s="13">
        <f t="shared" si="24"/>
        <v>1</v>
      </c>
      <c r="E82" s="13">
        <f t="shared" si="26"/>
        <v>0</v>
      </c>
      <c r="G82" s="34"/>
      <c r="H82" s="34"/>
      <c r="I82" s="34"/>
    </row>
    <row r="83" spans="1:9" ht="14.25" customHeight="1" thickBot="1" x14ac:dyDescent="0.25">
      <c r="B83" s="21" t="s">
        <v>16</v>
      </c>
      <c r="C83" s="9">
        <f>SUM(D60:D82)</f>
        <v>23</v>
      </c>
      <c r="D83" s="9">
        <f>SUM(D60:E82)</f>
        <v>23</v>
      </c>
      <c r="E83" s="10">
        <f>IFERROR(C83/D83,0)</f>
        <v>1</v>
      </c>
      <c r="G83" s="11"/>
      <c r="H83" s="11"/>
      <c r="I83" s="11"/>
    </row>
    <row r="84" spans="1:9" ht="14.25" customHeight="1" x14ac:dyDescent="0.2">
      <c r="B84" s="3" t="s">
        <v>82</v>
      </c>
      <c r="C84" s="3"/>
      <c r="D84" s="3"/>
      <c r="E84" s="3"/>
      <c r="F84" s="3"/>
      <c r="G84" s="3"/>
      <c r="H84" s="3"/>
      <c r="I84" s="3"/>
    </row>
    <row r="85" spans="1:9" ht="14.25" customHeight="1" x14ac:dyDescent="0.2">
      <c r="B85" s="3" t="s">
        <v>21</v>
      </c>
      <c r="C85" s="6" t="s">
        <v>12</v>
      </c>
      <c r="D85" s="6" t="s">
        <v>15</v>
      </c>
      <c r="E85" s="6" t="s">
        <v>13</v>
      </c>
      <c r="F85" s="6"/>
      <c r="G85" s="32" t="s">
        <v>14</v>
      </c>
      <c r="H85" s="32"/>
      <c r="I85" s="32"/>
    </row>
    <row r="86" spans="1:9" ht="12" customHeight="1" x14ac:dyDescent="0.15">
      <c r="A86" s="1">
        <v>1</v>
      </c>
      <c r="B86" s="1" t="s">
        <v>198</v>
      </c>
      <c r="C86" s="13" t="s">
        <v>113</v>
      </c>
      <c r="D86" s="13">
        <f t="shared" ref="D86:D91" si="39">IF(C86="E",1,0)</f>
        <v>1</v>
      </c>
      <c r="E86" s="13">
        <f t="shared" ref="E86:E91" si="40">IF(C86="H",1,0)</f>
        <v>0</v>
      </c>
      <c r="G86" s="36"/>
      <c r="H86" s="36"/>
      <c r="I86" s="36"/>
    </row>
    <row r="87" spans="1:9" ht="12" customHeight="1" x14ac:dyDescent="0.15">
      <c r="A87" s="1">
        <v>2</v>
      </c>
      <c r="B87" s="1" t="s">
        <v>279</v>
      </c>
      <c r="C87" s="13" t="s">
        <v>113</v>
      </c>
      <c r="D87" s="13">
        <f t="shared" si="39"/>
        <v>1</v>
      </c>
      <c r="E87" s="13">
        <f t="shared" si="40"/>
        <v>0</v>
      </c>
      <c r="G87" s="30"/>
      <c r="H87" s="30"/>
      <c r="I87" s="30"/>
    </row>
    <row r="88" spans="1:9" ht="12" customHeight="1" x14ac:dyDescent="0.15">
      <c r="A88" s="1">
        <v>3</v>
      </c>
      <c r="B88" s="1" t="s">
        <v>199</v>
      </c>
      <c r="C88" s="13" t="s">
        <v>113</v>
      </c>
      <c r="D88" s="13">
        <f t="shared" si="39"/>
        <v>1</v>
      </c>
      <c r="E88" s="13">
        <f t="shared" si="40"/>
        <v>0</v>
      </c>
      <c r="G88" s="36"/>
      <c r="H88" s="36"/>
      <c r="I88" s="36"/>
    </row>
    <row r="89" spans="1:9" ht="12" customHeight="1" x14ac:dyDescent="0.15">
      <c r="A89" s="1">
        <v>4</v>
      </c>
      <c r="B89" s="1" t="s">
        <v>91</v>
      </c>
      <c r="C89" s="13" t="s">
        <v>113</v>
      </c>
      <c r="D89" s="13">
        <f t="shared" si="39"/>
        <v>1</v>
      </c>
      <c r="E89" s="13">
        <f t="shared" si="40"/>
        <v>0</v>
      </c>
      <c r="G89" s="36"/>
      <c r="H89" s="36"/>
      <c r="I89" s="36"/>
    </row>
    <row r="90" spans="1:9" ht="12" customHeight="1" x14ac:dyDescent="0.15">
      <c r="A90" s="1">
        <v>5</v>
      </c>
      <c r="B90" s="1" t="s">
        <v>220</v>
      </c>
      <c r="C90" s="13" t="s">
        <v>113</v>
      </c>
      <c r="D90" s="13">
        <f t="shared" si="39"/>
        <v>1</v>
      </c>
      <c r="E90" s="13">
        <f t="shared" si="40"/>
        <v>0</v>
      </c>
      <c r="G90" s="36"/>
      <c r="H90" s="36"/>
      <c r="I90" s="36"/>
    </row>
    <row r="91" spans="1:9" ht="12" customHeight="1" thickBot="1" x14ac:dyDescent="0.2">
      <c r="A91" s="1">
        <v>6</v>
      </c>
      <c r="B91" s="4" t="s">
        <v>219</v>
      </c>
      <c r="C91" s="13" t="s">
        <v>113</v>
      </c>
      <c r="D91" s="13">
        <f t="shared" si="39"/>
        <v>1</v>
      </c>
      <c r="E91" s="13">
        <f t="shared" si="40"/>
        <v>0</v>
      </c>
      <c r="G91" s="36"/>
      <c r="H91" s="36"/>
      <c r="I91" s="36"/>
    </row>
    <row r="92" spans="1:9" ht="14" thickBot="1" x14ac:dyDescent="0.25">
      <c r="B92" s="21" t="s">
        <v>16</v>
      </c>
      <c r="C92" s="9">
        <f>SUM(D86:D91)</f>
        <v>6</v>
      </c>
      <c r="D92" s="9">
        <f>SUM(D86:E91)</f>
        <v>6</v>
      </c>
      <c r="E92" s="10">
        <f>IFERROR(C92/D92,0)</f>
        <v>1</v>
      </c>
      <c r="G92" s="33"/>
      <c r="H92" s="33"/>
      <c r="I92" s="33"/>
    </row>
    <row r="93" spans="1:9" x14ac:dyDescent="0.2">
      <c r="B93" s="3" t="s">
        <v>89</v>
      </c>
      <c r="C93" s="27" t="s">
        <v>12</v>
      </c>
      <c r="D93" s="27" t="s">
        <v>15</v>
      </c>
      <c r="E93" s="27" t="s">
        <v>13</v>
      </c>
      <c r="F93" s="27"/>
      <c r="G93" s="27" t="s">
        <v>14</v>
      </c>
      <c r="H93" s="27"/>
      <c r="I93" s="3"/>
    </row>
    <row r="94" spans="1:9" ht="12" customHeight="1" x14ac:dyDescent="0.15">
      <c r="A94" s="1">
        <v>1</v>
      </c>
      <c r="B94" s="1" t="s">
        <v>149</v>
      </c>
      <c r="C94" s="13" t="s">
        <v>113</v>
      </c>
      <c r="D94" s="13">
        <f t="shared" ref="D94" si="41">IF(C94="E",1,0)</f>
        <v>1</v>
      </c>
      <c r="E94" s="13">
        <f t="shared" ref="E94" si="42">IF(C94="H",1,0)</f>
        <v>0</v>
      </c>
      <c r="G94" s="36"/>
      <c r="H94" s="36"/>
      <c r="I94" s="36"/>
    </row>
    <row r="95" spans="1:9" ht="12" customHeight="1" x14ac:dyDescent="0.15">
      <c r="A95" s="1">
        <v>2</v>
      </c>
      <c r="B95" s="1" t="s">
        <v>200</v>
      </c>
      <c r="C95" s="13" t="s">
        <v>113</v>
      </c>
      <c r="D95" s="13">
        <f t="shared" ref="D95:D98" si="43">IF(C95="E",1,0)</f>
        <v>1</v>
      </c>
      <c r="E95" s="13">
        <f t="shared" ref="E95:E98" si="44">IF(C95="H",1,0)</f>
        <v>0</v>
      </c>
      <c r="G95" s="36"/>
      <c r="H95" s="36"/>
      <c r="I95" s="36"/>
    </row>
    <row r="96" spans="1:9" ht="12" customHeight="1" x14ac:dyDescent="0.15">
      <c r="A96" s="1">
        <v>3</v>
      </c>
      <c r="B96" s="25" t="s">
        <v>88</v>
      </c>
      <c r="C96" s="13" t="s">
        <v>113</v>
      </c>
      <c r="D96" s="13">
        <f t="shared" si="43"/>
        <v>1</v>
      </c>
      <c r="E96" s="13">
        <f t="shared" si="44"/>
        <v>0</v>
      </c>
      <c r="G96" s="36"/>
      <c r="H96" s="36"/>
      <c r="I96" s="36"/>
    </row>
    <row r="97" spans="1:9" ht="12" customHeight="1" x14ac:dyDescent="0.15">
      <c r="A97" s="1">
        <v>4</v>
      </c>
      <c r="B97" s="25" t="s">
        <v>165</v>
      </c>
      <c r="C97" s="13" t="s">
        <v>113</v>
      </c>
      <c r="D97" s="13">
        <f t="shared" si="43"/>
        <v>1</v>
      </c>
      <c r="E97" s="13">
        <f t="shared" si="44"/>
        <v>0</v>
      </c>
      <c r="G97" s="36"/>
      <c r="H97" s="36"/>
      <c r="I97" s="36"/>
    </row>
    <row r="98" spans="1:9" ht="12" customHeight="1" thickBot="1" x14ac:dyDescent="0.2">
      <c r="A98" s="1">
        <v>5</v>
      </c>
      <c r="B98" s="25" t="s">
        <v>201</v>
      </c>
      <c r="C98" s="13" t="s">
        <v>113</v>
      </c>
      <c r="D98" s="13">
        <f t="shared" si="43"/>
        <v>1</v>
      </c>
      <c r="E98" s="13">
        <f t="shared" si="44"/>
        <v>0</v>
      </c>
      <c r="G98" s="36"/>
      <c r="H98" s="36"/>
      <c r="I98" s="36"/>
    </row>
    <row r="99" spans="1:9" ht="14" thickBot="1" x14ac:dyDescent="0.25">
      <c r="B99" s="21" t="s">
        <v>16</v>
      </c>
      <c r="C99" s="9">
        <f>SUM(D94:D98)</f>
        <v>5</v>
      </c>
      <c r="D99" s="9">
        <f>SUM(D94:E98)</f>
        <v>5</v>
      </c>
      <c r="E99" s="10">
        <f>IFERROR(C99/D99,0)</f>
        <v>1</v>
      </c>
      <c r="G99" s="33"/>
      <c r="H99" s="33"/>
      <c r="I99" s="33"/>
    </row>
    <row r="100" spans="1:9" x14ac:dyDescent="0.2">
      <c r="B100" s="3" t="s">
        <v>22</v>
      </c>
      <c r="C100" s="6" t="s">
        <v>12</v>
      </c>
      <c r="D100" s="6" t="s">
        <v>15</v>
      </c>
      <c r="E100" s="6" t="s">
        <v>13</v>
      </c>
      <c r="F100" s="6"/>
      <c r="G100" s="32" t="s">
        <v>14</v>
      </c>
      <c r="H100" s="32"/>
      <c r="I100" s="32"/>
    </row>
    <row r="101" spans="1:9" ht="12" customHeight="1" x14ac:dyDescent="0.15">
      <c r="A101" s="1">
        <v>1</v>
      </c>
      <c r="B101" s="1" t="s">
        <v>202</v>
      </c>
      <c r="C101" s="13" t="s">
        <v>113</v>
      </c>
      <c r="D101" s="13">
        <f t="shared" ref="D101:D107" si="45">IF(C101="E",1,0)</f>
        <v>1</v>
      </c>
      <c r="E101" s="13">
        <f t="shared" ref="E101:E107" si="46">IF(C101="H",1,0)</f>
        <v>0</v>
      </c>
      <c r="G101" s="34"/>
      <c r="H101" s="34"/>
      <c r="I101" s="34"/>
    </row>
    <row r="102" spans="1:9" ht="12" customHeight="1" x14ac:dyDescent="0.15">
      <c r="A102" s="1">
        <v>2</v>
      </c>
      <c r="B102" s="4" t="s">
        <v>203</v>
      </c>
      <c r="C102" s="13" t="s">
        <v>113</v>
      </c>
      <c r="D102" s="13">
        <f t="shared" si="45"/>
        <v>1</v>
      </c>
      <c r="E102" s="13">
        <f t="shared" si="46"/>
        <v>0</v>
      </c>
      <c r="G102" s="34"/>
      <c r="H102" s="34"/>
      <c r="I102" s="34"/>
    </row>
    <row r="103" spans="1:9" ht="12" customHeight="1" x14ac:dyDescent="0.15">
      <c r="A103" s="1">
        <v>3</v>
      </c>
      <c r="B103" s="4" t="s">
        <v>204</v>
      </c>
      <c r="C103" s="13" t="s">
        <v>113</v>
      </c>
      <c r="D103" s="13">
        <f t="shared" si="45"/>
        <v>1</v>
      </c>
      <c r="E103" s="13">
        <f t="shared" si="46"/>
        <v>0</v>
      </c>
      <c r="G103" s="34"/>
      <c r="H103" s="34"/>
      <c r="I103" s="34"/>
    </row>
    <row r="104" spans="1:9" ht="12" customHeight="1" x14ac:dyDescent="0.15">
      <c r="A104" s="1">
        <v>4</v>
      </c>
      <c r="B104" s="4" t="s">
        <v>166</v>
      </c>
      <c r="C104" s="13" t="s">
        <v>113</v>
      </c>
      <c r="D104" s="13">
        <f t="shared" ref="D104" si="47">IF(C104="E",1,0)</f>
        <v>1</v>
      </c>
      <c r="E104" s="13">
        <f t="shared" ref="E104" si="48">IF(C104="H",1,0)</f>
        <v>0</v>
      </c>
      <c r="G104" s="26"/>
      <c r="H104" s="26"/>
      <c r="I104" s="26"/>
    </row>
    <row r="105" spans="1:9" ht="12" customHeight="1" x14ac:dyDescent="0.15">
      <c r="A105" s="1">
        <v>5</v>
      </c>
      <c r="B105" s="1" t="s">
        <v>205</v>
      </c>
      <c r="C105" s="13" t="s">
        <v>113</v>
      </c>
      <c r="D105" s="13">
        <f t="shared" si="45"/>
        <v>1</v>
      </c>
      <c r="E105" s="13">
        <f t="shared" si="46"/>
        <v>0</v>
      </c>
      <c r="G105" s="34"/>
      <c r="H105" s="34"/>
      <c r="I105" s="34"/>
    </row>
    <row r="106" spans="1:9" ht="12" customHeight="1" x14ac:dyDescent="0.15">
      <c r="A106" s="1">
        <v>6</v>
      </c>
      <c r="B106" s="1" t="s">
        <v>206</v>
      </c>
      <c r="C106" s="13" t="s">
        <v>113</v>
      </c>
      <c r="D106" s="13">
        <f t="shared" si="45"/>
        <v>1</v>
      </c>
      <c r="E106" s="13">
        <f t="shared" si="46"/>
        <v>0</v>
      </c>
      <c r="G106" s="34"/>
      <c r="H106" s="34"/>
      <c r="I106" s="34"/>
    </row>
    <row r="107" spans="1:9" ht="12" customHeight="1" thickBot="1" x14ac:dyDescent="0.2">
      <c r="A107" s="1">
        <v>7</v>
      </c>
      <c r="B107" s="1" t="s">
        <v>207</v>
      </c>
      <c r="C107" s="13" t="s">
        <v>113</v>
      </c>
      <c r="D107" s="13">
        <f t="shared" si="45"/>
        <v>1</v>
      </c>
      <c r="E107" s="13">
        <f t="shared" si="46"/>
        <v>0</v>
      </c>
      <c r="G107" s="34"/>
      <c r="H107" s="34"/>
      <c r="I107" s="34"/>
    </row>
    <row r="108" spans="1:9" ht="14" thickBot="1" x14ac:dyDescent="0.2">
      <c r="B108" s="21" t="s">
        <v>16</v>
      </c>
      <c r="C108" s="9">
        <f>SUM(D101:D107)</f>
        <v>7</v>
      </c>
      <c r="D108" s="9">
        <f>SUM(D101:E107)</f>
        <v>7</v>
      </c>
      <c r="E108" s="10">
        <f>IFERROR(C108/D108,0)</f>
        <v>1</v>
      </c>
      <c r="G108" s="8"/>
      <c r="H108" s="8"/>
      <c r="I108" s="8"/>
    </row>
    <row r="109" spans="1:9" x14ac:dyDescent="0.2">
      <c r="B109" s="3" t="s">
        <v>23</v>
      </c>
      <c r="C109" s="6" t="s">
        <v>12</v>
      </c>
      <c r="D109" s="6" t="s">
        <v>15</v>
      </c>
      <c r="E109" s="6" t="s">
        <v>13</v>
      </c>
      <c r="F109" s="6"/>
      <c r="G109" s="32" t="s">
        <v>14</v>
      </c>
      <c r="H109" s="32"/>
      <c r="I109" s="32"/>
    </row>
    <row r="110" spans="1:9" ht="12" customHeight="1" x14ac:dyDescent="0.15">
      <c r="A110" s="1">
        <v>1</v>
      </c>
      <c r="B110" s="1" t="s">
        <v>205</v>
      </c>
      <c r="C110" s="13" t="s">
        <v>113</v>
      </c>
      <c r="D110" s="13">
        <f t="shared" ref="D110:D115" si="49">IF(C110="E",1,0)</f>
        <v>1</v>
      </c>
      <c r="E110" s="13">
        <f t="shared" ref="E110" si="50">IF(C110="H",1,0)</f>
        <v>0</v>
      </c>
      <c r="G110" s="34"/>
      <c r="H110" s="34"/>
      <c r="I110" s="34"/>
    </row>
    <row r="111" spans="1:9" ht="12" customHeight="1" x14ac:dyDescent="0.15">
      <c r="A111" s="1">
        <v>2</v>
      </c>
      <c r="B111" s="4" t="s">
        <v>208</v>
      </c>
      <c r="C111" s="13" t="s">
        <v>113</v>
      </c>
      <c r="D111" s="13">
        <f t="shared" si="49"/>
        <v>1</v>
      </c>
      <c r="E111" s="13">
        <f t="shared" ref="E111:E115" si="51">IF(C111="H",1,0)</f>
        <v>0</v>
      </c>
      <c r="G111" s="34"/>
      <c r="H111" s="34"/>
      <c r="I111" s="34"/>
    </row>
    <row r="112" spans="1:9" ht="12" customHeight="1" x14ac:dyDescent="0.15">
      <c r="A112" s="1">
        <v>3</v>
      </c>
      <c r="B112" s="1" t="s">
        <v>24</v>
      </c>
      <c r="C112" s="13" t="s">
        <v>113</v>
      </c>
      <c r="D112" s="13">
        <f t="shared" si="49"/>
        <v>1</v>
      </c>
      <c r="E112" s="13">
        <f t="shared" si="51"/>
        <v>0</v>
      </c>
      <c r="G112" s="34"/>
      <c r="H112" s="34"/>
      <c r="I112" s="34"/>
    </row>
    <row r="113" spans="1:9" ht="12" customHeight="1" x14ac:dyDescent="0.15">
      <c r="A113" s="1">
        <v>4</v>
      </c>
      <c r="B113" s="1" t="s">
        <v>209</v>
      </c>
      <c r="C113" s="13" t="s">
        <v>113</v>
      </c>
      <c r="D113" s="13">
        <f t="shared" ref="D113" si="52">IF(C113="E",1,0)</f>
        <v>1</v>
      </c>
      <c r="E113" s="13">
        <f t="shared" ref="E113" si="53">IF(C113="H",1,0)</f>
        <v>0</v>
      </c>
      <c r="G113" s="26"/>
      <c r="H113" s="26"/>
      <c r="I113" s="26"/>
    </row>
    <row r="114" spans="1:9" ht="12" customHeight="1" x14ac:dyDescent="0.15">
      <c r="A114" s="1">
        <v>5</v>
      </c>
      <c r="B114" s="4" t="s">
        <v>204</v>
      </c>
      <c r="C114" s="13" t="s">
        <v>113</v>
      </c>
      <c r="D114" s="13">
        <f t="shared" si="49"/>
        <v>1</v>
      </c>
      <c r="E114" s="13">
        <f t="shared" si="51"/>
        <v>0</v>
      </c>
      <c r="G114" s="34"/>
      <c r="H114" s="34"/>
      <c r="I114" s="34"/>
    </row>
    <row r="115" spans="1:9" ht="12" customHeight="1" thickBot="1" x14ac:dyDescent="0.2">
      <c r="A115" s="1">
        <v>6</v>
      </c>
      <c r="B115" s="1" t="s">
        <v>206</v>
      </c>
      <c r="C115" s="13" t="s">
        <v>113</v>
      </c>
      <c r="D115" s="13">
        <f t="shared" si="49"/>
        <v>1</v>
      </c>
      <c r="E115" s="13">
        <f t="shared" si="51"/>
        <v>0</v>
      </c>
      <c r="G115" s="34"/>
      <c r="H115" s="34"/>
      <c r="I115" s="34"/>
    </row>
    <row r="116" spans="1:9" ht="14" thickBot="1" x14ac:dyDescent="0.25">
      <c r="B116" s="21" t="s">
        <v>16</v>
      </c>
      <c r="C116" s="9">
        <f>SUM(D110:D115)</f>
        <v>6</v>
      </c>
      <c r="D116" s="9">
        <f>SUM(D110:E115)</f>
        <v>6</v>
      </c>
      <c r="E116" s="10">
        <f>IFERROR(C116/D116,0)</f>
        <v>1</v>
      </c>
      <c r="G116" s="11"/>
      <c r="H116" s="11"/>
      <c r="I116" s="11"/>
    </row>
    <row r="117" spans="1:9" x14ac:dyDescent="0.2">
      <c r="B117" s="3" t="s">
        <v>25</v>
      </c>
      <c r="C117" s="6" t="s">
        <v>12</v>
      </c>
      <c r="D117" s="6" t="s">
        <v>15</v>
      </c>
      <c r="E117" s="6" t="s">
        <v>13</v>
      </c>
      <c r="F117" s="6"/>
      <c r="G117" s="32" t="s">
        <v>14</v>
      </c>
      <c r="H117" s="32"/>
      <c r="I117" s="32"/>
    </row>
    <row r="118" spans="1:9" ht="12" customHeight="1" x14ac:dyDescent="0.15">
      <c r="A118" s="1">
        <v>1</v>
      </c>
      <c r="B118" s="4" t="s">
        <v>210</v>
      </c>
      <c r="C118" s="13" t="s">
        <v>113</v>
      </c>
      <c r="D118" s="13">
        <f t="shared" ref="D118:D121" si="54">IF(C118="E",1,0)</f>
        <v>1</v>
      </c>
      <c r="E118" s="13">
        <f t="shared" ref="E118:E121" si="55">IF(C118="H",1,0)</f>
        <v>0</v>
      </c>
      <c r="G118" s="34"/>
      <c r="H118" s="34"/>
      <c r="I118" s="34"/>
    </row>
    <row r="119" spans="1:9" ht="12" customHeight="1" x14ac:dyDescent="0.15">
      <c r="A119" s="1">
        <v>2</v>
      </c>
      <c r="B119" s="1" t="s">
        <v>51</v>
      </c>
      <c r="C119" s="13" t="s">
        <v>113</v>
      </c>
      <c r="D119" s="13">
        <f t="shared" si="54"/>
        <v>1</v>
      </c>
      <c r="E119" s="13">
        <f t="shared" si="55"/>
        <v>0</v>
      </c>
      <c r="G119" s="34"/>
      <c r="H119" s="34"/>
      <c r="I119" s="34"/>
    </row>
    <row r="120" spans="1:9" ht="12" customHeight="1" x14ac:dyDescent="0.15">
      <c r="A120" s="1">
        <v>3</v>
      </c>
      <c r="B120" s="1" t="s">
        <v>206</v>
      </c>
      <c r="C120" s="13" t="s">
        <v>113</v>
      </c>
      <c r="D120" s="13">
        <f t="shared" si="54"/>
        <v>1</v>
      </c>
      <c r="E120" s="13">
        <f t="shared" si="55"/>
        <v>0</v>
      </c>
      <c r="G120" s="34"/>
      <c r="H120" s="34"/>
      <c r="I120" s="34"/>
    </row>
    <row r="121" spans="1:9" ht="12" customHeight="1" thickBot="1" x14ac:dyDescent="0.2">
      <c r="A121" s="1">
        <v>4</v>
      </c>
      <c r="B121" s="1" t="s">
        <v>211</v>
      </c>
      <c r="C121" s="13" t="s">
        <v>113</v>
      </c>
      <c r="D121" s="13">
        <f t="shared" si="54"/>
        <v>1</v>
      </c>
      <c r="E121" s="13">
        <f t="shared" si="55"/>
        <v>0</v>
      </c>
      <c r="G121" s="34"/>
      <c r="H121" s="34"/>
      <c r="I121" s="34"/>
    </row>
    <row r="122" spans="1:9" ht="14" thickBot="1" x14ac:dyDescent="0.25">
      <c r="B122" s="21" t="s">
        <v>16</v>
      </c>
      <c r="C122" s="9">
        <f>SUM(D118:D121)</f>
        <v>4</v>
      </c>
      <c r="D122" s="9">
        <f>SUM(D118:E121)</f>
        <v>4</v>
      </c>
      <c r="E122" s="10">
        <f>IFERROR(C122/D122,0)</f>
        <v>1</v>
      </c>
      <c r="G122" s="11"/>
      <c r="H122" s="11"/>
      <c r="I122" s="11"/>
    </row>
    <row r="123" spans="1:9" x14ac:dyDescent="0.2">
      <c r="B123" s="3" t="s">
        <v>26</v>
      </c>
      <c r="C123" s="6" t="s">
        <v>12</v>
      </c>
      <c r="D123" s="6" t="s">
        <v>15</v>
      </c>
      <c r="E123" s="6" t="s">
        <v>13</v>
      </c>
      <c r="F123" s="6"/>
      <c r="G123" s="32" t="s">
        <v>14</v>
      </c>
      <c r="H123" s="32"/>
      <c r="I123" s="32"/>
    </row>
    <row r="124" spans="1:9" ht="12" customHeight="1" x14ac:dyDescent="0.15">
      <c r="A124" s="1">
        <v>1</v>
      </c>
      <c r="B124" s="1" t="s">
        <v>212</v>
      </c>
      <c r="C124" s="13" t="s">
        <v>113</v>
      </c>
      <c r="D124" s="13">
        <f t="shared" ref="D124:D129" si="56">IF(C124="E",1,0)</f>
        <v>1</v>
      </c>
      <c r="E124" s="13">
        <f t="shared" ref="E124:E128" si="57">IF(C124="H",1,0)</f>
        <v>0</v>
      </c>
      <c r="G124" s="34"/>
      <c r="H124" s="34"/>
      <c r="I124" s="34"/>
    </row>
    <row r="125" spans="1:9" ht="12" customHeight="1" x14ac:dyDescent="0.15">
      <c r="A125" s="1">
        <v>2</v>
      </c>
      <c r="B125" s="1" t="s">
        <v>213</v>
      </c>
      <c r="C125" s="13" t="s">
        <v>113</v>
      </c>
      <c r="D125" s="13">
        <f t="shared" si="56"/>
        <v>1</v>
      </c>
      <c r="E125" s="13">
        <f t="shared" si="57"/>
        <v>0</v>
      </c>
      <c r="G125" s="34"/>
      <c r="H125" s="34"/>
      <c r="I125" s="34"/>
    </row>
    <row r="126" spans="1:9" ht="12" customHeight="1" x14ac:dyDescent="0.15">
      <c r="A126" s="1">
        <v>3</v>
      </c>
      <c r="B126" s="1" t="s">
        <v>115</v>
      </c>
      <c r="C126" s="13" t="s">
        <v>113</v>
      </c>
      <c r="D126" s="13">
        <f t="shared" si="56"/>
        <v>1</v>
      </c>
      <c r="E126" s="13">
        <f t="shared" si="57"/>
        <v>0</v>
      </c>
      <c r="G126" s="34"/>
      <c r="H126" s="34"/>
      <c r="I126" s="34"/>
    </row>
    <row r="127" spans="1:9" ht="12" customHeight="1" x14ac:dyDescent="0.15">
      <c r="A127" s="1">
        <v>4</v>
      </c>
      <c r="B127" s="1" t="s">
        <v>192</v>
      </c>
      <c r="C127" s="13" t="s">
        <v>113</v>
      </c>
      <c r="D127" s="13">
        <f t="shared" si="56"/>
        <v>1</v>
      </c>
      <c r="E127" s="13">
        <f t="shared" si="57"/>
        <v>0</v>
      </c>
      <c r="G127" s="34"/>
      <c r="H127" s="34"/>
      <c r="I127" s="34"/>
    </row>
    <row r="128" spans="1:9" ht="12" customHeight="1" x14ac:dyDescent="0.15">
      <c r="A128" s="1">
        <v>5</v>
      </c>
      <c r="B128" s="1" t="s">
        <v>214</v>
      </c>
      <c r="C128" s="13" t="s">
        <v>113</v>
      </c>
      <c r="D128" s="13">
        <f t="shared" si="56"/>
        <v>1</v>
      </c>
      <c r="E128" s="13">
        <f t="shared" si="57"/>
        <v>0</v>
      </c>
      <c r="G128" s="34"/>
      <c r="H128" s="34"/>
      <c r="I128" s="34"/>
    </row>
    <row r="129" spans="1:9" ht="12" customHeight="1" thickBot="1" x14ac:dyDescent="0.2">
      <c r="A129" s="1">
        <v>6</v>
      </c>
      <c r="B129" s="1" t="s">
        <v>206</v>
      </c>
      <c r="C129" s="13" t="s">
        <v>113</v>
      </c>
      <c r="D129" s="13">
        <f t="shared" si="56"/>
        <v>1</v>
      </c>
      <c r="E129" s="13">
        <f t="shared" ref="E129" si="58">IF(C129="H",1,0)</f>
        <v>0</v>
      </c>
      <c r="G129" s="34"/>
      <c r="H129" s="34"/>
      <c r="I129" s="34"/>
    </row>
    <row r="130" spans="1:9" ht="14" thickBot="1" x14ac:dyDescent="0.25">
      <c r="B130" s="21" t="s">
        <v>16</v>
      </c>
      <c r="C130" s="9">
        <f>SUM(D124:D129)</f>
        <v>6</v>
      </c>
      <c r="D130" s="9">
        <f>SUM(D124:E129)</f>
        <v>6</v>
      </c>
      <c r="E130" s="10">
        <f>IFERROR(C130/D130,0)</f>
        <v>1</v>
      </c>
      <c r="G130" s="11"/>
      <c r="H130" s="11"/>
      <c r="I130" s="11"/>
    </row>
    <row r="131" spans="1:9" x14ac:dyDescent="0.2">
      <c r="B131" s="3" t="s">
        <v>215</v>
      </c>
      <c r="C131" s="6" t="s">
        <v>12</v>
      </c>
      <c r="D131" s="6" t="s">
        <v>15</v>
      </c>
      <c r="E131" s="6" t="s">
        <v>13</v>
      </c>
      <c r="F131" s="6"/>
      <c r="G131" s="32" t="s">
        <v>14</v>
      </c>
      <c r="H131" s="32"/>
      <c r="I131" s="32"/>
    </row>
    <row r="132" spans="1:9" ht="12" customHeight="1" x14ac:dyDescent="0.15">
      <c r="A132" s="1">
        <v>1</v>
      </c>
      <c r="B132" s="1" t="s">
        <v>216</v>
      </c>
      <c r="C132" s="13" t="s">
        <v>113</v>
      </c>
      <c r="D132" s="13">
        <f t="shared" ref="D132:D143" si="59">IF(C132="E",1,0)</f>
        <v>1</v>
      </c>
      <c r="E132" s="13">
        <f t="shared" ref="E132:E143" si="60">IF(C132="H",1,0)</f>
        <v>0</v>
      </c>
      <c r="G132" s="34"/>
      <c r="H132" s="34"/>
      <c r="I132" s="34"/>
    </row>
    <row r="133" spans="1:9" ht="12" customHeight="1" x14ac:dyDescent="0.15">
      <c r="A133" s="1">
        <v>2</v>
      </c>
      <c r="B133" s="5" t="s">
        <v>217</v>
      </c>
      <c r="C133" s="13" t="s">
        <v>113</v>
      </c>
      <c r="D133" s="13">
        <f t="shared" si="59"/>
        <v>1</v>
      </c>
      <c r="E133" s="13">
        <f t="shared" si="60"/>
        <v>0</v>
      </c>
      <c r="G133" s="34"/>
      <c r="H133" s="34"/>
      <c r="I133" s="34"/>
    </row>
    <row r="134" spans="1:9" ht="12" customHeight="1" x14ac:dyDescent="0.15">
      <c r="A134" s="1">
        <v>3</v>
      </c>
      <c r="B134" s="4" t="s">
        <v>218</v>
      </c>
      <c r="C134" s="13" t="s">
        <v>113</v>
      </c>
      <c r="D134" s="13">
        <f t="shared" si="59"/>
        <v>1</v>
      </c>
      <c r="E134" s="13">
        <f t="shared" si="60"/>
        <v>0</v>
      </c>
      <c r="G134" s="34"/>
      <c r="H134" s="34"/>
      <c r="I134" s="34"/>
    </row>
    <row r="135" spans="1:9" ht="12" customHeight="1" x14ac:dyDescent="0.15">
      <c r="A135" s="1">
        <v>4</v>
      </c>
      <c r="B135" s="4" t="s">
        <v>29</v>
      </c>
      <c r="C135" s="13" t="s">
        <v>113</v>
      </c>
      <c r="D135" s="13">
        <f t="shared" si="59"/>
        <v>1</v>
      </c>
      <c r="E135" s="13">
        <f t="shared" si="60"/>
        <v>0</v>
      </c>
      <c r="G135" s="34"/>
      <c r="H135" s="34"/>
      <c r="I135" s="34"/>
    </row>
    <row r="136" spans="1:9" ht="12" customHeight="1" x14ac:dyDescent="0.15">
      <c r="A136" s="1">
        <v>5</v>
      </c>
      <c r="B136" s="4" t="s">
        <v>30</v>
      </c>
      <c r="C136" s="13" t="s">
        <v>113</v>
      </c>
      <c r="D136" s="13">
        <f t="shared" si="59"/>
        <v>1</v>
      </c>
      <c r="E136" s="13">
        <f t="shared" si="60"/>
        <v>0</v>
      </c>
      <c r="G136" s="34"/>
      <c r="H136" s="34"/>
      <c r="I136" s="34"/>
    </row>
    <row r="137" spans="1:9" ht="12" customHeight="1" x14ac:dyDescent="0.15">
      <c r="A137" s="1">
        <v>6</v>
      </c>
      <c r="B137" s="4" t="s">
        <v>225</v>
      </c>
      <c r="C137" s="13" t="s">
        <v>113</v>
      </c>
      <c r="D137" s="13">
        <f t="shared" si="59"/>
        <v>1</v>
      </c>
      <c r="E137" s="13">
        <f t="shared" si="60"/>
        <v>0</v>
      </c>
      <c r="G137" s="34"/>
      <c r="H137" s="34"/>
      <c r="I137" s="34"/>
    </row>
    <row r="138" spans="1:9" ht="12" customHeight="1" x14ac:dyDescent="0.15">
      <c r="A138" s="1">
        <v>7</v>
      </c>
      <c r="B138" s="1" t="s">
        <v>221</v>
      </c>
      <c r="C138" s="13" t="s">
        <v>113</v>
      </c>
      <c r="D138" s="13">
        <f t="shared" si="59"/>
        <v>1</v>
      </c>
      <c r="E138" s="13">
        <f t="shared" si="60"/>
        <v>0</v>
      </c>
      <c r="G138" s="34"/>
      <c r="H138" s="34"/>
      <c r="I138" s="34"/>
    </row>
    <row r="139" spans="1:9" ht="12" customHeight="1" x14ac:dyDescent="0.15">
      <c r="A139" s="1">
        <v>8</v>
      </c>
      <c r="B139" s="1" t="s">
        <v>222</v>
      </c>
      <c r="C139" s="13" t="s">
        <v>113</v>
      </c>
      <c r="D139" s="13">
        <f t="shared" si="59"/>
        <v>1</v>
      </c>
      <c r="E139" s="13">
        <f t="shared" si="60"/>
        <v>0</v>
      </c>
      <c r="G139" s="34"/>
      <c r="H139" s="34"/>
      <c r="I139" s="34"/>
    </row>
    <row r="140" spans="1:9" ht="12" customHeight="1" x14ac:dyDescent="0.15">
      <c r="A140" s="1">
        <v>9</v>
      </c>
      <c r="B140" s="1" t="s">
        <v>167</v>
      </c>
      <c r="C140" s="13" t="s">
        <v>113</v>
      </c>
      <c r="D140" s="13">
        <f t="shared" si="59"/>
        <v>1</v>
      </c>
      <c r="E140" s="13">
        <f t="shared" si="60"/>
        <v>0</v>
      </c>
      <c r="G140" s="34"/>
      <c r="H140" s="34"/>
      <c r="I140" s="34"/>
    </row>
    <row r="141" spans="1:9" ht="12" customHeight="1" x14ac:dyDescent="0.15">
      <c r="A141" s="1">
        <v>10</v>
      </c>
      <c r="B141" s="1" t="s">
        <v>91</v>
      </c>
      <c r="C141" s="13" t="s">
        <v>113</v>
      </c>
      <c r="D141" s="13">
        <f t="shared" si="59"/>
        <v>1</v>
      </c>
      <c r="E141" s="13">
        <f t="shared" si="60"/>
        <v>0</v>
      </c>
      <c r="G141" s="34"/>
      <c r="H141" s="34"/>
      <c r="I141" s="34"/>
    </row>
    <row r="142" spans="1:9" ht="12" customHeight="1" x14ac:dyDescent="0.15">
      <c r="A142" s="1">
        <v>11</v>
      </c>
      <c r="B142" s="1" t="s">
        <v>206</v>
      </c>
      <c r="C142" s="13" t="s">
        <v>113</v>
      </c>
      <c r="D142" s="13">
        <f t="shared" si="59"/>
        <v>1</v>
      </c>
      <c r="E142" s="13">
        <f t="shared" si="60"/>
        <v>0</v>
      </c>
      <c r="G142" s="34"/>
      <c r="H142" s="34"/>
      <c r="I142" s="34"/>
    </row>
    <row r="143" spans="1:9" ht="12" customHeight="1" thickBot="1" x14ac:dyDescent="0.2">
      <c r="A143" s="1">
        <v>12</v>
      </c>
      <c r="B143" s="4" t="s">
        <v>164</v>
      </c>
      <c r="C143" s="13" t="s">
        <v>113</v>
      </c>
      <c r="D143" s="13">
        <f t="shared" si="59"/>
        <v>1</v>
      </c>
      <c r="E143" s="13">
        <f t="shared" si="60"/>
        <v>0</v>
      </c>
      <c r="G143" s="34"/>
      <c r="H143" s="34"/>
      <c r="I143" s="34"/>
    </row>
    <row r="144" spans="1:9" ht="14" thickBot="1" x14ac:dyDescent="0.25">
      <c r="B144" s="21" t="s">
        <v>16</v>
      </c>
      <c r="C144" s="9">
        <f>SUM(D132:D143)</f>
        <v>12</v>
      </c>
      <c r="D144" s="9">
        <f>SUM(D132:E143)</f>
        <v>12</v>
      </c>
      <c r="E144" s="10">
        <f>IFERROR(C144/D144,0)</f>
        <v>1</v>
      </c>
      <c r="G144" s="11"/>
      <c r="H144" s="11"/>
      <c r="I144" s="11"/>
    </row>
    <row r="145" spans="1:9" x14ac:dyDescent="0.2">
      <c r="B145" s="3" t="s">
        <v>72</v>
      </c>
      <c r="C145" s="6" t="s">
        <v>12</v>
      </c>
      <c r="D145" s="6" t="s">
        <v>15</v>
      </c>
      <c r="E145" s="6" t="s">
        <v>13</v>
      </c>
      <c r="F145" s="6"/>
      <c r="G145" s="32" t="s">
        <v>14</v>
      </c>
      <c r="H145" s="32"/>
      <c r="I145" s="32"/>
    </row>
    <row r="146" spans="1:9" ht="12" customHeight="1" x14ac:dyDescent="0.15">
      <c r="A146" s="1">
        <v>1</v>
      </c>
      <c r="B146" s="5" t="s">
        <v>223</v>
      </c>
      <c r="C146" s="13" t="s">
        <v>113</v>
      </c>
      <c r="D146" s="13">
        <f t="shared" ref="D146:D155" si="61">IF(C146="E",1,0)</f>
        <v>1</v>
      </c>
      <c r="E146" s="13">
        <f t="shared" ref="E146:E155" si="62">IF(C146="H",1,0)</f>
        <v>0</v>
      </c>
      <c r="G146" s="34"/>
      <c r="H146" s="34"/>
      <c r="I146" s="34"/>
    </row>
    <row r="147" spans="1:9" ht="12" customHeight="1" x14ac:dyDescent="0.15">
      <c r="A147" s="1">
        <v>2</v>
      </c>
      <c r="B147" s="4" t="s">
        <v>224</v>
      </c>
      <c r="C147" s="13" t="s">
        <v>113</v>
      </c>
      <c r="D147" s="13">
        <f t="shared" si="61"/>
        <v>1</v>
      </c>
      <c r="E147" s="13">
        <f t="shared" si="62"/>
        <v>0</v>
      </c>
      <c r="G147" s="34"/>
      <c r="H147" s="34"/>
      <c r="I147" s="34"/>
    </row>
    <row r="148" spans="1:9" ht="12" customHeight="1" x14ac:dyDescent="0.15">
      <c r="A148" s="1">
        <v>3</v>
      </c>
      <c r="B148" s="4" t="s">
        <v>31</v>
      </c>
      <c r="C148" s="13" t="s">
        <v>113</v>
      </c>
      <c r="D148" s="13">
        <f t="shared" si="61"/>
        <v>1</v>
      </c>
      <c r="E148" s="13">
        <f t="shared" si="62"/>
        <v>0</v>
      </c>
      <c r="G148" s="34"/>
      <c r="H148" s="34"/>
      <c r="I148" s="34"/>
    </row>
    <row r="149" spans="1:9" ht="12" customHeight="1" x14ac:dyDescent="0.15">
      <c r="A149" s="1">
        <v>4</v>
      </c>
      <c r="B149" s="4" t="s">
        <v>32</v>
      </c>
      <c r="C149" s="13" t="s">
        <v>113</v>
      </c>
      <c r="D149" s="13">
        <f t="shared" si="61"/>
        <v>1</v>
      </c>
      <c r="E149" s="13">
        <f t="shared" si="62"/>
        <v>0</v>
      </c>
      <c r="G149" s="34"/>
      <c r="H149" s="34"/>
      <c r="I149" s="34"/>
    </row>
    <row r="150" spans="1:9" ht="12" customHeight="1" x14ac:dyDescent="0.15">
      <c r="A150" s="1">
        <v>5</v>
      </c>
      <c r="B150" s="4" t="s">
        <v>204</v>
      </c>
      <c r="C150" s="13" t="s">
        <v>113</v>
      </c>
      <c r="D150" s="13">
        <f t="shared" si="61"/>
        <v>1</v>
      </c>
      <c r="E150" s="13">
        <f t="shared" si="62"/>
        <v>0</v>
      </c>
      <c r="G150" s="34"/>
      <c r="H150" s="34"/>
      <c r="I150" s="34"/>
    </row>
    <row r="151" spans="1:9" ht="12" customHeight="1" x14ac:dyDescent="0.15">
      <c r="A151" s="1">
        <v>6</v>
      </c>
      <c r="B151" s="1" t="s">
        <v>167</v>
      </c>
      <c r="C151" s="13" t="s">
        <v>113</v>
      </c>
      <c r="D151" s="13">
        <f t="shared" si="61"/>
        <v>1</v>
      </c>
      <c r="E151" s="13">
        <f t="shared" si="62"/>
        <v>0</v>
      </c>
      <c r="G151" s="34"/>
      <c r="H151" s="34"/>
      <c r="I151" s="34"/>
    </row>
    <row r="152" spans="1:9" ht="12" customHeight="1" x14ac:dyDescent="0.15">
      <c r="A152" s="1">
        <v>7</v>
      </c>
      <c r="B152" s="1" t="s">
        <v>168</v>
      </c>
      <c r="C152" s="13" t="s">
        <v>113</v>
      </c>
      <c r="D152" s="13">
        <f t="shared" si="61"/>
        <v>1</v>
      </c>
      <c r="E152" s="13">
        <f t="shared" si="62"/>
        <v>0</v>
      </c>
      <c r="G152" s="34"/>
      <c r="H152" s="34"/>
      <c r="I152" s="34"/>
    </row>
    <row r="153" spans="1:9" ht="12" customHeight="1" x14ac:dyDescent="0.15">
      <c r="A153" s="1">
        <v>8</v>
      </c>
      <c r="B153" s="1" t="s">
        <v>91</v>
      </c>
      <c r="C153" s="13" t="s">
        <v>113</v>
      </c>
      <c r="D153" s="13">
        <f t="shared" si="61"/>
        <v>1</v>
      </c>
      <c r="E153" s="13">
        <f t="shared" si="62"/>
        <v>0</v>
      </c>
      <c r="G153" s="34"/>
      <c r="H153" s="34"/>
      <c r="I153" s="34"/>
    </row>
    <row r="154" spans="1:9" ht="12" customHeight="1" x14ac:dyDescent="0.15">
      <c r="A154" s="1">
        <v>9</v>
      </c>
      <c r="B154" s="1" t="s">
        <v>206</v>
      </c>
      <c r="C154" s="13" t="s">
        <v>113</v>
      </c>
      <c r="D154" s="13">
        <f t="shared" si="61"/>
        <v>1</v>
      </c>
      <c r="E154" s="13">
        <f t="shared" si="62"/>
        <v>0</v>
      </c>
      <c r="G154" s="34"/>
      <c r="H154" s="34"/>
      <c r="I154" s="34"/>
    </row>
    <row r="155" spans="1:9" ht="12" customHeight="1" thickBot="1" x14ac:dyDescent="0.2">
      <c r="A155" s="1">
        <v>10</v>
      </c>
      <c r="B155" s="4" t="s">
        <v>164</v>
      </c>
      <c r="C155" s="13" t="s">
        <v>113</v>
      </c>
      <c r="D155" s="13">
        <f t="shared" si="61"/>
        <v>1</v>
      </c>
      <c r="E155" s="13">
        <f t="shared" si="62"/>
        <v>0</v>
      </c>
      <c r="G155" s="34"/>
      <c r="H155" s="34"/>
      <c r="I155" s="34"/>
    </row>
    <row r="156" spans="1:9" ht="14" thickBot="1" x14ac:dyDescent="0.2">
      <c r="A156" s="13"/>
      <c r="B156" s="21" t="s">
        <v>16</v>
      </c>
      <c r="C156" s="9">
        <f>SUM(D146:D155)</f>
        <v>10</v>
      </c>
      <c r="D156" s="9">
        <f>SUM(D146:E155)</f>
        <v>10</v>
      </c>
      <c r="E156" s="10">
        <f>IFERROR(C156/D156,0)</f>
        <v>1</v>
      </c>
      <c r="G156" s="8"/>
      <c r="H156" s="8"/>
      <c r="I156" s="8"/>
    </row>
    <row r="157" spans="1:9" x14ac:dyDescent="0.2">
      <c r="B157" s="3" t="s">
        <v>83</v>
      </c>
      <c r="C157" s="6" t="s">
        <v>12</v>
      </c>
      <c r="D157" s="6" t="s">
        <v>15</v>
      </c>
      <c r="E157" s="6" t="s">
        <v>13</v>
      </c>
      <c r="F157" s="6"/>
      <c r="G157" s="32" t="s">
        <v>14</v>
      </c>
      <c r="H157" s="32"/>
      <c r="I157" s="32"/>
    </row>
    <row r="158" spans="1:9" ht="12" customHeight="1" x14ac:dyDescent="0.15">
      <c r="A158" s="1">
        <v>1</v>
      </c>
      <c r="B158" s="1" t="s">
        <v>27</v>
      </c>
      <c r="C158" s="13" t="s">
        <v>113</v>
      </c>
      <c r="D158" s="13">
        <f t="shared" ref="D158:D169" si="63">IF(C158="E",1,0)</f>
        <v>1</v>
      </c>
      <c r="E158" s="13">
        <f t="shared" ref="E158:E169" si="64">IF(C158="H",1,0)</f>
        <v>0</v>
      </c>
      <c r="G158" s="34"/>
      <c r="H158" s="34"/>
      <c r="I158" s="34"/>
    </row>
    <row r="159" spans="1:9" ht="12" customHeight="1" x14ac:dyDescent="0.15">
      <c r="A159" s="1">
        <v>2</v>
      </c>
      <c r="B159" s="5" t="s">
        <v>28</v>
      </c>
      <c r="C159" s="13" t="s">
        <v>113</v>
      </c>
      <c r="D159" s="13">
        <f t="shared" si="63"/>
        <v>1</v>
      </c>
      <c r="E159" s="13">
        <f t="shared" si="64"/>
        <v>0</v>
      </c>
      <c r="G159" s="34"/>
      <c r="H159" s="34"/>
      <c r="I159" s="34"/>
    </row>
    <row r="160" spans="1:9" ht="12" customHeight="1" x14ac:dyDescent="0.15">
      <c r="A160" s="1">
        <v>3</v>
      </c>
      <c r="B160" s="4" t="s">
        <v>150</v>
      </c>
      <c r="C160" s="13" t="s">
        <v>113</v>
      </c>
      <c r="D160" s="13">
        <f t="shared" si="63"/>
        <v>1</v>
      </c>
      <c r="E160" s="13">
        <f t="shared" si="64"/>
        <v>0</v>
      </c>
      <c r="G160" s="34"/>
      <c r="H160" s="34"/>
      <c r="I160" s="34"/>
    </row>
    <row r="161" spans="1:9" ht="12" customHeight="1" x14ac:dyDescent="0.15">
      <c r="A161" s="1">
        <v>4</v>
      </c>
      <c r="B161" s="4" t="s">
        <v>151</v>
      </c>
      <c r="C161" s="13" t="s">
        <v>113</v>
      </c>
      <c r="D161" s="13">
        <f t="shared" si="63"/>
        <v>1</v>
      </c>
      <c r="E161" s="13">
        <f t="shared" si="64"/>
        <v>0</v>
      </c>
      <c r="G161" s="34"/>
      <c r="H161" s="34"/>
      <c r="I161" s="34"/>
    </row>
    <row r="162" spans="1:9" ht="12" customHeight="1" x14ac:dyDescent="0.15">
      <c r="A162" s="1">
        <v>5</v>
      </c>
      <c r="B162" s="4" t="s">
        <v>30</v>
      </c>
      <c r="C162" s="13" t="s">
        <v>113</v>
      </c>
      <c r="D162" s="13">
        <f t="shared" si="63"/>
        <v>1</v>
      </c>
      <c r="E162" s="13">
        <f t="shared" si="64"/>
        <v>0</v>
      </c>
      <c r="G162" s="34"/>
      <c r="H162" s="34"/>
      <c r="I162" s="34"/>
    </row>
    <row r="163" spans="1:9" ht="12" customHeight="1" x14ac:dyDescent="0.15">
      <c r="A163" s="1">
        <v>6</v>
      </c>
      <c r="B163" s="4" t="s">
        <v>226</v>
      </c>
      <c r="C163" s="13" t="s">
        <v>113</v>
      </c>
      <c r="D163" s="13">
        <f t="shared" si="63"/>
        <v>1</v>
      </c>
      <c r="E163" s="13">
        <f t="shared" si="64"/>
        <v>0</v>
      </c>
      <c r="G163" s="34"/>
      <c r="H163" s="34"/>
      <c r="I163" s="34"/>
    </row>
    <row r="164" spans="1:9" ht="12" customHeight="1" x14ac:dyDescent="0.15">
      <c r="A164" s="1">
        <v>7</v>
      </c>
      <c r="B164" s="1" t="s">
        <v>91</v>
      </c>
      <c r="C164" s="13" t="s">
        <v>113</v>
      </c>
      <c r="D164" s="13">
        <f t="shared" si="63"/>
        <v>1</v>
      </c>
      <c r="E164" s="13">
        <f t="shared" si="64"/>
        <v>0</v>
      </c>
      <c r="G164" s="34"/>
      <c r="H164" s="34"/>
      <c r="I164" s="34"/>
    </row>
    <row r="165" spans="1:9" ht="12" customHeight="1" x14ac:dyDescent="0.15">
      <c r="A165" s="1">
        <v>8</v>
      </c>
      <c r="B165" s="1" t="s">
        <v>221</v>
      </c>
      <c r="C165" s="13" t="s">
        <v>113</v>
      </c>
      <c r="D165" s="13">
        <f t="shared" si="63"/>
        <v>1</v>
      </c>
      <c r="E165" s="13">
        <f t="shared" si="64"/>
        <v>0</v>
      </c>
      <c r="G165" s="34"/>
      <c r="H165" s="34"/>
      <c r="I165" s="34"/>
    </row>
    <row r="166" spans="1:9" ht="12" customHeight="1" x14ac:dyDescent="0.15">
      <c r="A166" s="1">
        <v>9</v>
      </c>
      <c r="B166" s="1" t="s">
        <v>84</v>
      </c>
      <c r="C166" s="13" t="s">
        <v>113</v>
      </c>
      <c r="D166" s="13">
        <f t="shared" si="63"/>
        <v>1</v>
      </c>
      <c r="E166" s="13">
        <f t="shared" si="64"/>
        <v>0</v>
      </c>
      <c r="G166" s="34"/>
      <c r="H166" s="34"/>
      <c r="I166" s="34"/>
    </row>
    <row r="167" spans="1:9" ht="12" customHeight="1" x14ac:dyDescent="0.15">
      <c r="A167" s="1">
        <v>10</v>
      </c>
      <c r="B167" s="1" t="s">
        <v>167</v>
      </c>
      <c r="C167" s="13" t="s">
        <v>113</v>
      </c>
      <c r="D167" s="13">
        <f t="shared" si="63"/>
        <v>1</v>
      </c>
      <c r="E167" s="13">
        <f t="shared" si="64"/>
        <v>0</v>
      </c>
      <c r="G167" s="34"/>
      <c r="H167" s="34"/>
      <c r="I167" s="34"/>
    </row>
    <row r="168" spans="1:9" ht="12" customHeight="1" x14ac:dyDescent="0.15">
      <c r="A168" s="1">
        <v>11</v>
      </c>
      <c r="B168" s="1" t="s">
        <v>206</v>
      </c>
      <c r="C168" s="13" t="s">
        <v>113</v>
      </c>
      <c r="D168" s="13">
        <f t="shared" si="63"/>
        <v>1</v>
      </c>
      <c r="E168" s="13">
        <f t="shared" si="64"/>
        <v>0</v>
      </c>
      <c r="G168" s="34"/>
      <c r="H168" s="34"/>
      <c r="I168" s="34"/>
    </row>
    <row r="169" spans="1:9" ht="12" customHeight="1" thickBot="1" x14ac:dyDescent="0.2">
      <c r="A169" s="1">
        <v>12</v>
      </c>
      <c r="B169" s="4" t="s">
        <v>164</v>
      </c>
      <c r="C169" s="13" t="s">
        <v>113</v>
      </c>
      <c r="D169" s="13">
        <f t="shared" si="63"/>
        <v>1</v>
      </c>
      <c r="E169" s="13">
        <f t="shared" si="64"/>
        <v>0</v>
      </c>
      <c r="G169" s="34"/>
      <c r="H169" s="34"/>
      <c r="I169" s="34"/>
    </row>
    <row r="170" spans="1:9" ht="14" thickBot="1" x14ac:dyDescent="0.2">
      <c r="A170" s="13"/>
      <c r="B170" s="21" t="s">
        <v>16</v>
      </c>
      <c r="C170" s="9">
        <f>SUM(D158:D169)</f>
        <v>12</v>
      </c>
      <c r="D170" s="9">
        <f>SUM(D158:E169)</f>
        <v>12</v>
      </c>
      <c r="E170" s="10">
        <f>IFERROR(C170/D170,0)</f>
        <v>1</v>
      </c>
      <c r="G170" s="8"/>
      <c r="H170" s="8"/>
      <c r="I170" s="8"/>
    </row>
    <row r="171" spans="1:9" x14ac:dyDescent="0.2">
      <c r="B171" s="18" t="s">
        <v>87</v>
      </c>
      <c r="C171" s="6" t="s">
        <v>12</v>
      </c>
      <c r="D171" s="6" t="s">
        <v>15</v>
      </c>
      <c r="E171" s="6" t="s">
        <v>13</v>
      </c>
      <c r="F171" s="6"/>
      <c r="G171" s="32" t="s">
        <v>14</v>
      </c>
      <c r="H171" s="32"/>
      <c r="I171" s="32"/>
    </row>
    <row r="172" spans="1:9" ht="12" customHeight="1" x14ac:dyDescent="0.15">
      <c r="A172" s="1">
        <v>1</v>
      </c>
      <c r="B172" s="1" t="s">
        <v>227</v>
      </c>
      <c r="C172" s="13" t="s">
        <v>113</v>
      </c>
      <c r="D172" s="13">
        <f t="shared" ref="D172:D186" si="65">IF(C172="E",1,0)</f>
        <v>1</v>
      </c>
      <c r="E172" s="13">
        <f t="shared" ref="E172:E186" si="66">IF(C172="H",1,0)</f>
        <v>0</v>
      </c>
      <c r="G172" s="34"/>
      <c r="H172" s="34"/>
      <c r="I172" s="34"/>
    </row>
    <row r="173" spans="1:9" ht="12" customHeight="1" x14ac:dyDescent="0.15">
      <c r="A173" s="1">
        <v>2</v>
      </c>
      <c r="B173" s="1" t="s">
        <v>228</v>
      </c>
      <c r="C173" s="13" t="s">
        <v>113</v>
      </c>
      <c r="D173" s="13">
        <f t="shared" si="65"/>
        <v>1</v>
      </c>
      <c r="E173" s="13">
        <f t="shared" si="66"/>
        <v>0</v>
      </c>
      <c r="G173" s="34"/>
      <c r="H173" s="34"/>
      <c r="I173" s="34"/>
    </row>
    <row r="174" spans="1:9" ht="12" customHeight="1" x14ac:dyDescent="0.15">
      <c r="A174" s="1">
        <v>3</v>
      </c>
      <c r="B174" s="1" t="s">
        <v>229</v>
      </c>
      <c r="C174" s="13" t="s">
        <v>113</v>
      </c>
      <c r="D174" s="13">
        <f t="shared" si="65"/>
        <v>1</v>
      </c>
      <c r="E174" s="13">
        <f t="shared" si="66"/>
        <v>0</v>
      </c>
      <c r="G174" s="34"/>
      <c r="H174" s="34"/>
      <c r="I174" s="34"/>
    </row>
    <row r="175" spans="1:9" ht="12" customHeight="1" x14ac:dyDescent="0.15">
      <c r="A175" s="1">
        <v>4</v>
      </c>
      <c r="B175" s="1" t="s">
        <v>91</v>
      </c>
      <c r="C175" s="13" t="s">
        <v>113</v>
      </c>
      <c r="D175" s="13">
        <f t="shared" si="65"/>
        <v>1</v>
      </c>
      <c r="E175" s="13">
        <f t="shared" si="66"/>
        <v>0</v>
      </c>
      <c r="G175" s="34"/>
      <c r="H175" s="34"/>
      <c r="I175" s="34"/>
    </row>
    <row r="176" spans="1:9" ht="12" customHeight="1" x14ac:dyDescent="0.15">
      <c r="A176" s="1">
        <v>5</v>
      </c>
      <c r="B176" s="1" t="s">
        <v>230</v>
      </c>
      <c r="C176" s="13" t="s">
        <v>113</v>
      </c>
      <c r="D176" s="13">
        <f t="shared" si="65"/>
        <v>1</v>
      </c>
      <c r="E176" s="13">
        <f t="shared" si="66"/>
        <v>0</v>
      </c>
      <c r="G176" s="34"/>
      <c r="H176" s="34"/>
      <c r="I176" s="34"/>
    </row>
    <row r="177" spans="1:9" ht="12" customHeight="1" x14ac:dyDescent="0.15">
      <c r="A177" s="1">
        <v>6</v>
      </c>
      <c r="B177" s="1" t="s">
        <v>231</v>
      </c>
      <c r="C177" s="13" t="s">
        <v>113</v>
      </c>
      <c r="D177" s="13">
        <f t="shared" si="65"/>
        <v>1</v>
      </c>
      <c r="E177" s="13">
        <f t="shared" si="66"/>
        <v>0</v>
      </c>
      <c r="G177" s="34"/>
      <c r="H177" s="34"/>
      <c r="I177" s="34"/>
    </row>
    <row r="178" spans="1:9" ht="12" customHeight="1" x14ac:dyDescent="0.15">
      <c r="A178" s="1">
        <v>7</v>
      </c>
      <c r="B178" s="1" t="s">
        <v>92</v>
      </c>
      <c r="C178" s="13" t="s">
        <v>113</v>
      </c>
      <c r="D178" s="13">
        <f t="shared" si="65"/>
        <v>1</v>
      </c>
      <c r="E178" s="13">
        <f t="shared" si="66"/>
        <v>0</v>
      </c>
      <c r="G178" s="34"/>
      <c r="H178" s="34"/>
      <c r="I178" s="34"/>
    </row>
    <row r="179" spans="1:9" ht="12" customHeight="1" x14ac:dyDescent="0.15">
      <c r="A179" s="1">
        <v>8</v>
      </c>
      <c r="B179" s="1" t="s">
        <v>232</v>
      </c>
      <c r="C179" s="13" t="s">
        <v>113</v>
      </c>
      <c r="D179" s="13">
        <f t="shared" si="65"/>
        <v>1</v>
      </c>
      <c r="E179" s="13">
        <f t="shared" si="66"/>
        <v>0</v>
      </c>
      <c r="G179" s="34"/>
      <c r="H179" s="34"/>
      <c r="I179" s="34"/>
    </row>
    <row r="180" spans="1:9" ht="12" customHeight="1" x14ac:dyDescent="0.15">
      <c r="A180" s="1">
        <v>9</v>
      </c>
      <c r="B180" s="1" t="s">
        <v>90</v>
      </c>
      <c r="C180" s="13" t="s">
        <v>113</v>
      </c>
      <c r="D180" s="13">
        <f t="shared" si="65"/>
        <v>1</v>
      </c>
      <c r="E180" s="13">
        <f t="shared" si="66"/>
        <v>0</v>
      </c>
      <c r="G180" s="34"/>
      <c r="H180" s="34"/>
      <c r="I180" s="34"/>
    </row>
    <row r="181" spans="1:9" ht="12" customHeight="1" x14ac:dyDescent="0.15">
      <c r="A181" s="1">
        <v>10</v>
      </c>
      <c r="B181" s="1" t="s">
        <v>162</v>
      </c>
      <c r="C181" s="13" t="s">
        <v>113</v>
      </c>
      <c r="D181" s="13">
        <f t="shared" ref="D181" si="67">IF(C181="E",1,0)</f>
        <v>1</v>
      </c>
      <c r="E181" s="13">
        <f t="shared" ref="E181" si="68">IF(C181="H",1,0)</f>
        <v>0</v>
      </c>
      <c r="G181" s="26"/>
      <c r="H181" s="26"/>
      <c r="I181" s="26"/>
    </row>
    <row r="182" spans="1:9" ht="12" customHeight="1" x14ac:dyDescent="0.15">
      <c r="A182" s="1">
        <v>11</v>
      </c>
      <c r="B182" s="1" t="s">
        <v>36</v>
      </c>
      <c r="C182" s="13" t="s">
        <v>113</v>
      </c>
      <c r="D182" s="13">
        <f t="shared" si="65"/>
        <v>1</v>
      </c>
      <c r="E182" s="13">
        <f t="shared" si="66"/>
        <v>0</v>
      </c>
      <c r="G182" s="34"/>
      <c r="H182" s="34"/>
      <c r="I182" s="34"/>
    </row>
    <row r="183" spans="1:9" ht="12" customHeight="1" x14ac:dyDescent="0.15">
      <c r="A183" s="1">
        <v>12</v>
      </c>
      <c r="B183" s="1" t="s">
        <v>93</v>
      </c>
      <c r="C183" s="13" t="s">
        <v>113</v>
      </c>
      <c r="D183" s="13">
        <f t="shared" si="65"/>
        <v>1</v>
      </c>
      <c r="E183" s="13">
        <f t="shared" si="66"/>
        <v>0</v>
      </c>
      <c r="G183" s="34"/>
      <c r="H183" s="34"/>
      <c r="I183" s="34"/>
    </row>
    <row r="184" spans="1:9" ht="12" customHeight="1" x14ac:dyDescent="0.15">
      <c r="A184" s="1">
        <v>13</v>
      </c>
      <c r="B184" s="1" t="s">
        <v>309</v>
      </c>
      <c r="C184" s="13" t="s">
        <v>113</v>
      </c>
      <c r="D184" s="13">
        <f t="shared" si="65"/>
        <v>1</v>
      </c>
      <c r="E184" s="13">
        <f t="shared" si="66"/>
        <v>0</v>
      </c>
      <c r="G184" s="34"/>
      <c r="H184" s="34"/>
      <c r="I184" s="34"/>
    </row>
    <row r="185" spans="1:9" ht="12" customHeight="1" x14ac:dyDescent="0.15">
      <c r="A185" s="1">
        <v>14</v>
      </c>
      <c r="B185" s="1" t="s">
        <v>206</v>
      </c>
      <c r="C185" s="13" t="s">
        <v>113</v>
      </c>
      <c r="D185" s="13">
        <f t="shared" si="65"/>
        <v>1</v>
      </c>
      <c r="E185" s="13">
        <f t="shared" si="66"/>
        <v>0</v>
      </c>
      <c r="G185" s="34"/>
      <c r="H185" s="34"/>
      <c r="I185" s="34"/>
    </row>
    <row r="186" spans="1:9" ht="12" customHeight="1" thickBot="1" x14ac:dyDescent="0.2">
      <c r="A186" s="1">
        <v>15</v>
      </c>
      <c r="B186" s="4" t="s">
        <v>164</v>
      </c>
      <c r="C186" s="13" t="s">
        <v>113</v>
      </c>
      <c r="D186" s="13">
        <f t="shared" si="65"/>
        <v>1</v>
      </c>
      <c r="E186" s="13">
        <f t="shared" si="66"/>
        <v>0</v>
      </c>
      <c r="G186" s="34"/>
      <c r="H186" s="34"/>
      <c r="I186" s="34"/>
    </row>
    <row r="187" spans="1:9" ht="14" thickBot="1" x14ac:dyDescent="0.2">
      <c r="B187" s="21" t="s">
        <v>16</v>
      </c>
      <c r="C187" s="9">
        <f>SUM(D172:D186)</f>
        <v>15</v>
      </c>
      <c r="D187" s="9">
        <f>SUM(D172:E186)</f>
        <v>15</v>
      </c>
      <c r="E187" s="10">
        <f>IFERROR(C187/D187,0)</f>
        <v>1</v>
      </c>
      <c r="G187" s="8"/>
      <c r="H187" s="8"/>
      <c r="I187" s="8"/>
    </row>
    <row r="188" spans="1:9" x14ac:dyDescent="0.2">
      <c r="B188" s="3" t="s">
        <v>73</v>
      </c>
      <c r="C188" s="6" t="s">
        <v>12</v>
      </c>
      <c r="D188" s="6" t="s">
        <v>15</v>
      </c>
      <c r="E188" s="6" t="s">
        <v>13</v>
      </c>
      <c r="F188" s="6"/>
      <c r="G188" s="32" t="s">
        <v>14</v>
      </c>
      <c r="H188" s="32"/>
      <c r="I188" s="32"/>
    </row>
    <row r="189" spans="1:9" ht="12" customHeight="1" x14ac:dyDescent="0.15">
      <c r="A189" s="1">
        <v>1</v>
      </c>
      <c r="B189" s="4" t="s">
        <v>233</v>
      </c>
      <c r="C189" s="13" t="s">
        <v>113</v>
      </c>
      <c r="D189" s="13">
        <f t="shared" ref="D189:D204" si="69">IF(C189="E",1,0)</f>
        <v>1</v>
      </c>
      <c r="E189" s="13">
        <f t="shared" ref="E189:E204" si="70">IF(C189="H",1,0)</f>
        <v>0</v>
      </c>
      <c r="G189" s="34"/>
      <c r="H189" s="34"/>
      <c r="I189" s="34"/>
    </row>
    <row r="190" spans="1:9" ht="12" customHeight="1" x14ac:dyDescent="0.15">
      <c r="A190" s="1">
        <v>2</v>
      </c>
      <c r="B190" s="4" t="s">
        <v>234</v>
      </c>
      <c r="C190" s="13" t="s">
        <v>113</v>
      </c>
      <c r="D190" s="13">
        <f t="shared" si="69"/>
        <v>1</v>
      </c>
      <c r="E190" s="13">
        <f t="shared" si="70"/>
        <v>0</v>
      </c>
      <c r="G190" s="34"/>
      <c r="H190" s="34"/>
      <c r="I190" s="34"/>
    </row>
    <row r="191" spans="1:9" ht="12" customHeight="1" x14ac:dyDescent="0.15">
      <c r="A191" s="1">
        <v>3</v>
      </c>
      <c r="B191" s="4" t="s">
        <v>235</v>
      </c>
      <c r="C191" s="13" t="s">
        <v>113</v>
      </c>
      <c r="D191" s="13">
        <f t="shared" si="69"/>
        <v>1</v>
      </c>
      <c r="E191" s="13">
        <f t="shared" si="70"/>
        <v>0</v>
      </c>
      <c r="G191" s="34"/>
      <c r="H191" s="34"/>
      <c r="I191" s="34"/>
    </row>
    <row r="192" spans="1:9" ht="12" customHeight="1" x14ac:dyDescent="0.15">
      <c r="A192" s="1">
        <v>4</v>
      </c>
      <c r="B192" s="4" t="s">
        <v>96</v>
      </c>
      <c r="C192" s="13" t="s">
        <v>113</v>
      </c>
      <c r="D192" s="13">
        <f t="shared" si="69"/>
        <v>1</v>
      </c>
      <c r="E192" s="13">
        <f t="shared" si="70"/>
        <v>0</v>
      </c>
      <c r="G192" s="34"/>
      <c r="H192" s="34"/>
      <c r="I192" s="34"/>
    </row>
    <row r="193" spans="1:9" ht="12" customHeight="1" x14ac:dyDescent="0.15">
      <c r="A193" s="1">
        <v>5</v>
      </c>
      <c r="B193" s="1" t="s">
        <v>97</v>
      </c>
      <c r="C193" s="13" t="s">
        <v>113</v>
      </c>
      <c r="D193" s="13">
        <f t="shared" si="69"/>
        <v>1</v>
      </c>
      <c r="E193" s="13">
        <f t="shared" si="70"/>
        <v>0</v>
      </c>
      <c r="G193" s="34"/>
      <c r="H193" s="34"/>
      <c r="I193" s="34"/>
    </row>
    <row r="194" spans="1:9" ht="12" customHeight="1" x14ac:dyDescent="0.15">
      <c r="A194" s="1">
        <v>6</v>
      </c>
      <c r="B194" s="1" t="s">
        <v>236</v>
      </c>
      <c r="C194" s="13" t="s">
        <v>113</v>
      </c>
      <c r="D194" s="13">
        <f t="shared" si="69"/>
        <v>1</v>
      </c>
      <c r="E194" s="13">
        <f t="shared" si="70"/>
        <v>0</v>
      </c>
      <c r="G194" s="34"/>
      <c r="H194" s="34"/>
      <c r="I194" s="34"/>
    </row>
    <row r="195" spans="1:9" ht="12" customHeight="1" x14ac:dyDescent="0.15">
      <c r="A195" s="1">
        <v>7</v>
      </c>
      <c r="B195" s="1" t="s">
        <v>237</v>
      </c>
      <c r="C195" s="13" t="s">
        <v>113</v>
      </c>
      <c r="D195" s="13">
        <f t="shared" si="69"/>
        <v>1</v>
      </c>
      <c r="E195" s="13">
        <f t="shared" si="70"/>
        <v>0</v>
      </c>
      <c r="G195" s="34"/>
      <c r="H195" s="34"/>
      <c r="I195" s="34"/>
    </row>
    <row r="196" spans="1:9" ht="12" customHeight="1" x14ac:dyDescent="0.15">
      <c r="A196" s="1">
        <v>8</v>
      </c>
      <c r="B196" s="1" t="s">
        <v>92</v>
      </c>
      <c r="C196" s="13" t="s">
        <v>113</v>
      </c>
      <c r="D196" s="13">
        <f t="shared" si="69"/>
        <v>1</v>
      </c>
      <c r="E196" s="13">
        <f t="shared" si="70"/>
        <v>0</v>
      </c>
      <c r="G196" s="34"/>
      <c r="H196" s="34"/>
      <c r="I196" s="34"/>
    </row>
    <row r="197" spans="1:9" ht="12" customHeight="1" x14ac:dyDescent="0.15">
      <c r="A197" s="1">
        <v>9</v>
      </c>
      <c r="B197" s="1" t="s">
        <v>238</v>
      </c>
      <c r="C197" s="13" t="s">
        <v>113</v>
      </c>
      <c r="D197" s="13">
        <f t="shared" si="69"/>
        <v>1</v>
      </c>
      <c r="E197" s="13">
        <f t="shared" si="70"/>
        <v>0</v>
      </c>
      <c r="G197" s="34"/>
      <c r="H197" s="34"/>
      <c r="I197" s="34"/>
    </row>
    <row r="198" spans="1:9" ht="12" customHeight="1" x14ac:dyDescent="0.15">
      <c r="A198" s="1">
        <v>10</v>
      </c>
      <c r="B198" s="25" t="s">
        <v>239</v>
      </c>
      <c r="C198" s="13" t="s">
        <v>113</v>
      </c>
      <c r="D198" s="13">
        <f t="shared" ref="D198" si="71">IF(C198="E",1,0)</f>
        <v>1</v>
      </c>
      <c r="E198" s="13">
        <f t="shared" ref="E198" si="72">IF(C198="H",1,0)</f>
        <v>0</v>
      </c>
      <c r="G198" s="26"/>
      <c r="H198" s="26"/>
      <c r="I198" s="26"/>
    </row>
    <row r="199" spans="1:9" ht="12" customHeight="1" x14ac:dyDescent="0.15">
      <c r="A199" s="1">
        <v>11</v>
      </c>
      <c r="B199" s="1" t="s">
        <v>98</v>
      </c>
      <c r="C199" s="13" t="s">
        <v>113</v>
      </c>
      <c r="D199" s="13">
        <f t="shared" si="69"/>
        <v>1</v>
      </c>
      <c r="E199" s="13">
        <f t="shared" si="70"/>
        <v>0</v>
      </c>
      <c r="G199" s="34"/>
      <c r="H199" s="34"/>
      <c r="I199" s="34"/>
    </row>
    <row r="200" spans="1:9" ht="12" customHeight="1" x14ac:dyDescent="0.15">
      <c r="A200" s="1">
        <v>12</v>
      </c>
      <c r="B200" s="1" t="s">
        <v>99</v>
      </c>
      <c r="C200" s="13" t="s">
        <v>113</v>
      </c>
      <c r="D200" s="13">
        <f t="shared" si="69"/>
        <v>1</v>
      </c>
      <c r="E200" s="13">
        <f t="shared" si="70"/>
        <v>0</v>
      </c>
      <c r="G200" s="34"/>
      <c r="H200" s="34"/>
      <c r="I200" s="34"/>
    </row>
    <row r="201" spans="1:9" ht="12" customHeight="1" x14ac:dyDescent="0.15">
      <c r="A201" s="1">
        <v>13</v>
      </c>
      <c r="B201" s="1" t="s">
        <v>100</v>
      </c>
      <c r="C201" s="13" t="s">
        <v>113</v>
      </c>
      <c r="D201" s="13">
        <f t="shared" si="69"/>
        <v>1</v>
      </c>
      <c r="E201" s="13">
        <f t="shared" si="70"/>
        <v>0</v>
      </c>
      <c r="G201" s="34"/>
      <c r="H201" s="34"/>
      <c r="I201" s="34"/>
    </row>
    <row r="202" spans="1:9" ht="12" customHeight="1" x14ac:dyDescent="0.15">
      <c r="A202" s="1">
        <v>14</v>
      </c>
      <c r="B202" s="1" t="s">
        <v>102</v>
      </c>
      <c r="C202" s="13" t="s">
        <v>113</v>
      </c>
      <c r="D202" s="13">
        <f t="shared" si="69"/>
        <v>1</v>
      </c>
      <c r="E202" s="13">
        <f t="shared" si="70"/>
        <v>0</v>
      </c>
      <c r="G202" s="34"/>
      <c r="H202" s="34"/>
      <c r="I202" s="34"/>
    </row>
    <row r="203" spans="1:9" ht="12" customHeight="1" x14ac:dyDescent="0.15">
      <c r="A203" s="1">
        <v>15</v>
      </c>
      <c r="B203" s="1" t="s">
        <v>206</v>
      </c>
      <c r="C203" s="13" t="s">
        <v>113</v>
      </c>
      <c r="D203" s="13">
        <f t="shared" si="69"/>
        <v>1</v>
      </c>
      <c r="E203" s="13">
        <f t="shared" si="70"/>
        <v>0</v>
      </c>
      <c r="G203" s="34"/>
      <c r="H203" s="34"/>
      <c r="I203" s="34"/>
    </row>
    <row r="204" spans="1:9" ht="12" customHeight="1" thickBot="1" x14ac:dyDescent="0.2">
      <c r="A204" s="1">
        <v>16</v>
      </c>
      <c r="B204" s="4" t="s">
        <v>164</v>
      </c>
      <c r="C204" s="13" t="s">
        <v>113</v>
      </c>
      <c r="D204" s="13">
        <f t="shared" si="69"/>
        <v>1</v>
      </c>
      <c r="E204" s="13">
        <f t="shared" si="70"/>
        <v>0</v>
      </c>
      <c r="G204" s="34"/>
      <c r="H204" s="34"/>
      <c r="I204" s="34"/>
    </row>
    <row r="205" spans="1:9" ht="14" thickBot="1" x14ac:dyDescent="0.2">
      <c r="B205" s="21" t="s">
        <v>16</v>
      </c>
      <c r="C205" s="9">
        <f>SUM(D189:D204)</f>
        <v>16</v>
      </c>
      <c r="D205" s="9">
        <f>SUM(D189:E204)</f>
        <v>16</v>
      </c>
      <c r="E205" s="10">
        <f>IFERROR(C205/D205,0)</f>
        <v>1</v>
      </c>
      <c r="G205" s="8"/>
      <c r="H205" s="8"/>
      <c r="I205" s="8"/>
    </row>
    <row r="206" spans="1:9" x14ac:dyDescent="0.2">
      <c r="B206" s="3" t="s">
        <v>74</v>
      </c>
      <c r="C206" s="6" t="s">
        <v>12</v>
      </c>
      <c r="D206" s="6" t="s">
        <v>15</v>
      </c>
      <c r="E206" s="6" t="s">
        <v>13</v>
      </c>
      <c r="F206" s="6"/>
      <c r="G206" s="32" t="s">
        <v>14</v>
      </c>
      <c r="H206" s="32"/>
      <c r="I206" s="32"/>
    </row>
    <row r="207" spans="1:9" ht="12" customHeight="1" x14ac:dyDescent="0.15">
      <c r="A207" s="1">
        <v>1</v>
      </c>
      <c r="B207" s="25" t="s">
        <v>240</v>
      </c>
      <c r="C207" s="13" t="s">
        <v>113</v>
      </c>
      <c r="D207" s="13">
        <f t="shared" ref="D207:D224" si="73">IF(C207="E",1,0)</f>
        <v>1</v>
      </c>
      <c r="E207" s="13">
        <f t="shared" ref="E207:E224" si="74">IF(C207="H",1,0)</f>
        <v>0</v>
      </c>
      <c r="G207" s="34"/>
      <c r="H207" s="34"/>
      <c r="I207" s="34"/>
    </row>
    <row r="208" spans="1:9" ht="12" customHeight="1" x14ac:dyDescent="0.15">
      <c r="A208" s="1">
        <v>2</v>
      </c>
      <c r="B208" s="25" t="s">
        <v>241</v>
      </c>
      <c r="C208" s="13" t="s">
        <v>113</v>
      </c>
      <c r="D208" s="13">
        <f t="shared" si="73"/>
        <v>1</v>
      </c>
      <c r="E208" s="13">
        <f t="shared" si="74"/>
        <v>0</v>
      </c>
      <c r="G208" s="34"/>
      <c r="H208" s="34"/>
      <c r="I208" s="34"/>
    </row>
    <row r="209" spans="1:9" ht="12" customHeight="1" x14ac:dyDescent="0.15">
      <c r="A209" s="1">
        <v>3</v>
      </c>
      <c r="B209" s="25" t="s">
        <v>242</v>
      </c>
      <c r="C209" s="13" t="s">
        <v>113</v>
      </c>
      <c r="D209" s="13">
        <f t="shared" si="73"/>
        <v>1</v>
      </c>
      <c r="E209" s="13">
        <f t="shared" si="74"/>
        <v>0</v>
      </c>
      <c r="G209" s="34"/>
      <c r="H209" s="34"/>
      <c r="I209" s="34"/>
    </row>
    <row r="210" spans="1:9" ht="12" customHeight="1" x14ac:dyDescent="0.15">
      <c r="A210" s="1">
        <v>4</v>
      </c>
      <c r="B210" s="25" t="s">
        <v>243</v>
      </c>
      <c r="C210" s="13" t="s">
        <v>113</v>
      </c>
      <c r="D210" s="13">
        <f t="shared" si="73"/>
        <v>1</v>
      </c>
      <c r="E210" s="13">
        <f t="shared" si="74"/>
        <v>0</v>
      </c>
      <c r="G210" s="34"/>
      <c r="H210" s="34"/>
      <c r="I210" s="34"/>
    </row>
    <row r="211" spans="1:9" ht="12" customHeight="1" x14ac:dyDescent="0.15">
      <c r="A211" s="1">
        <v>5</v>
      </c>
      <c r="B211" s="11" t="s">
        <v>244</v>
      </c>
      <c r="C211" s="13" t="s">
        <v>113</v>
      </c>
      <c r="D211" s="13">
        <f t="shared" si="73"/>
        <v>1</v>
      </c>
      <c r="E211" s="13">
        <f t="shared" si="74"/>
        <v>0</v>
      </c>
      <c r="G211" s="34"/>
      <c r="H211" s="34"/>
      <c r="I211" s="34"/>
    </row>
    <row r="212" spans="1:9" ht="12" customHeight="1" x14ac:dyDescent="0.15">
      <c r="A212" s="1">
        <v>6</v>
      </c>
      <c r="B212" s="25" t="s">
        <v>101</v>
      </c>
      <c r="C212" s="13" t="s">
        <v>113</v>
      </c>
      <c r="D212" s="13">
        <f t="shared" si="73"/>
        <v>1</v>
      </c>
      <c r="E212" s="13">
        <f t="shared" si="74"/>
        <v>0</v>
      </c>
      <c r="G212" s="34"/>
      <c r="H212" s="34"/>
      <c r="I212" s="34"/>
    </row>
    <row r="213" spans="1:9" ht="12" customHeight="1" x14ac:dyDescent="0.15">
      <c r="A213" s="1">
        <v>7</v>
      </c>
      <c r="B213" s="25" t="s">
        <v>245</v>
      </c>
      <c r="C213" s="13" t="s">
        <v>113</v>
      </c>
      <c r="D213" s="13">
        <f t="shared" si="73"/>
        <v>1</v>
      </c>
      <c r="E213" s="13">
        <f t="shared" si="74"/>
        <v>0</v>
      </c>
      <c r="G213" s="34"/>
      <c r="H213" s="34"/>
      <c r="I213" s="34"/>
    </row>
    <row r="214" spans="1:9" ht="12" customHeight="1" x14ac:dyDescent="0.15">
      <c r="A214" s="1">
        <v>8</v>
      </c>
      <c r="B214" s="25" t="s">
        <v>246</v>
      </c>
      <c r="C214" s="13" t="s">
        <v>113</v>
      </c>
      <c r="D214" s="13">
        <f t="shared" si="73"/>
        <v>1</v>
      </c>
      <c r="E214" s="13">
        <f t="shared" si="74"/>
        <v>0</v>
      </c>
      <c r="G214" s="34"/>
      <c r="H214" s="34"/>
      <c r="I214" s="34"/>
    </row>
    <row r="215" spans="1:9" ht="12" customHeight="1" x14ac:dyDescent="0.15">
      <c r="A215" s="1">
        <v>9</v>
      </c>
      <c r="B215" s="25" t="s">
        <v>247</v>
      </c>
      <c r="C215" s="13" t="s">
        <v>113</v>
      </c>
      <c r="D215" s="13">
        <f t="shared" si="73"/>
        <v>1</v>
      </c>
      <c r="E215" s="13">
        <f t="shared" si="74"/>
        <v>0</v>
      </c>
      <c r="G215" s="34"/>
      <c r="H215" s="34"/>
      <c r="I215" s="34"/>
    </row>
    <row r="216" spans="1:9" ht="12" customHeight="1" x14ac:dyDescent="0.15">
      <c r="A216" s="1">
        <v>10</v>
      </c>
      <c r="B216" s="25" t="s">
        <v>248</v>
      </c>
      <c r="C216" s="13" t="s">
        <v>113</v>
      </c>
      <c r="D216" s="13">
        <f t="shared" si="73"/>
        <v>1</v>
      </c>
      <c r="E216" s="13">
        <f t="shared" si="74"/>
        <v>0</v>
      </c>
      <c r="G216" s="34"/>
      <c r="H216" s="34"/>
      <c r="I216" s="34"/>
    </row>
    <row r="217" spans="1:9" ht="12" customHeight="1" x14ac:dyDescent="0.15">
      <c r="A217" s="1">
        <v>11</v>
      </c>
      <c r="B217" s="1" t="s">
        <v>92</v>
      </c>
      <c r="C217" s="13" t="s">
        <v>113</v>
      </c>
      <c r="D217" s="13">
        <f t="shared" si="73"/>
        <v>1</v>
      </c>
      <c r="E217" s="13">
        <f t="shared" si="74"/>
        <v>0</v>
      </c>
      <c r="G217" s="34"/>
      <c r="H217" s="34"/>
      <c r="I217" s="34"/>
    </row>
    <row r="218" spans="1:9" ht="12" customHeight="1" x14ac:dyDescent="0.15">
      <c r="A218" s="1">
        <v>12</v>
      </c>
      <c r="B218" s="1" t="s">
        <v>249</v>
      </c>
      <c r="C218" s="13" t="s">
        <v>113</v>
      </c>
      <c r="D218" s="13">
        <f t="shared" si="73"/>
        <v>1</v>
      </c>
      <c r="E218" s="13">
        <f t="shared" si="74"/>
        <v>0</v>
      </c>
      <c r="G218" s="34"/>
      <c r="H218" s="34"/>
      <c r="I218" s="34"/>
    </row>
    <row r="219" spans="1:9" ht="12" customHeight="1" x14ac:dyDescent="0.15">
      <c r="A219" s="1">
        <v>13</v>
      </c>
      <c r="B219" s="1" t="s">
        <v>99</v>
      </c>
      <c r="C219" s="13" t="s">
        <v>113</v>
      </c>
      <c r="D219" s="13">
        <f t="shared" si="73"/>
        <v>1</v>
      </c>
      <c r="E219" s="13">
        <f t="shared" si="74"/>
        <v>0</v>
      </c>
      <c r="G219" s="34"/>
      <c r="H219" s="34"/>
      <c r="I219" s="34"/>
    </row>
    <row r="220" spans="1:9" ht="12" customHeight="1" x14ac:dyDescent="0.15">
      <c r="A220" s="1">
        <v>14</v>
      </c>
      <c r="B220" s="1" t="s">
        <v>100</v>
      </c>
      <c r="C220" s="13" t="s">
        <v>113</v>
      </c>
      <c r="D220" s="13">
        <f t="shared" si="73"/>
        <v>1</v>
      </c>
      <c r="E220" s="13">
        <f t="shared" si="74"/>
        <v>0</v>
      </c>
      <c r="G220" s="34"/>
      <c r="H220" s="34"/>
      <c r="I220" s="34"/>
    </row>
    <row r="221" spans="1:9" ht="12" customHeight="1" x14ac:dyDescent="0.15">
      <c r="A221" s="1">
        <v>15</v>
      </c>
      <c r="B221" s="1" t="s">
        <v>103</v>
      </c>
      <c r="C221" s="13" t="s">
        <v>113</v>
      </c>
      <c r="D221" s="13">
        <f t="shared" si="73"/>
        <v>1</v>
      </c>
      <c r="E221" s="13">
        <f t="shared" si="74"/>
        <v>0</v>
      </c>
      <c r="G221" s="34"/>
      <c r="H221" s="34"/>
      <c r="I221" s="34"/>
    </row>
    <row r="222" spans="1:9" ht="12" customHeight="1" x14ac:dyDescent="0.15">
      <c r="A222" s="1">
        <v>16</v>
      </c>
      <c r="B222" s="1" t="s">
        <v>104</v>
      </c>
      <c r="C222" s="13" t="s">
        <v>113</v>
      </c>
      <c r="D222" s="13">
        <f t="shared" si="73"/>
        <v>1</v>
      </c>
      <c r="E222" s="13">
        <f t="shared" si="74"/>
        <v>0</v>
      </c>
      <c r="G222" s="34"/>
      <c r="H222" s="34"/>
      <c r="I222" s="34"/>
    </row>
    <row r="223" spans="1:9" ht="12" customHeight="1" x14ac:dyDescent="0.15">
      <c r="A223" s="1">
        <v>17</v>
      </c>
      <c r="B223" s="1" t="s">
        <v>206</v>
      </c>
      <c r="C223" s="13" t="s">
        <v>113</v>
      </c>
      <c r="D223" s="13">
        <f t="shared" si="73"/>
        <v>1</v>
      </c>
      <c r="E223" s="13">
        <f t="shared" si="74"/>
        <v>0</v>
      </c>
      <c r="G223" s="34"/>
      <c r="H223" s="34"/>
      <c r="I223" s="34"/>
    </row>
    <row r="224" spans="1:9" ht="12" customHeight="1" thickBot="1" x14ac:dyDescent="0.2">
      <c r="A224" s="1">
        <v>18</v>
      </c>
      <c r="B224" s="4" t="s">
        <v>164</v>
      </c>
      <c r="C224" s="13" t="s">
        <v>113</v>
      </c>
      <c r="D224" s="13">
        <f t="shared" si="73"/>
        <v>1</v>
      </c>
      <c r="E224" s="13">
        <f t="shared" si="74"/>
        <v>0</v>
      </c>
      <c r="G224" s="34"/>
      <c r="H224" s="34"/>
      <c r="I224" s="34"/>
    </row>
    <row r="225" spans="1:9" ht="14" thickBot="1" x14ac:dyDescent="0.2">
      <c r="B225" s="21" t="s">
        <v>16</v>
      </c>
      <c r="C225" s="9">
        <f>SUM(D207:D224)</f>
        <v>18</v>
      </c>
      <c r="D225" s="9">
        <f>SUM(D207:E224)</f>
        <v>18</v>
      </c>
      <c r="E225" s="10">
        <f>IFERROR(C225/D225,0)</f>
        <v>1</v>
      </c>
      <c r="G225" s="8"/>
      <c r="H225" s="8"/>
      <c r="I225" s="8"/>
    </row>
    <row r="226" spans="1:9" x14ac:dyDescent="0.2">
      <c r="B226" s="3" t="s">
        <v>116</v>
      </c>
      <c r="C226" s="6" t="s">
        <v>12</v>
      </c>
      <c r="D226" s="6" t="s">
        <v>15</v>
      </c>
      <c r="E226" s="6" t="s">
        <v>13</v>
      </c>
      <c r="F226" s="6"/>
      <c r="G226" s="32" t="s">
        <v>14</v>
      </c>
      <c r="H226" s="32"/>
      <c r="I226" s="32"/>
    </row>
    <row r="227" spans="1:9" ht="12" customHeight="1" x14ac:dyDescent="0.15">
      <c r="A227" s="1">
        <v>1</v>
      </c>
      <c r="B227" s="25" t="s">
        <v>105</v>
      </c>
      <c r="C227" s="13" t="s">
        <v>113</v>
      </c>
      <c r="D227" s="13">
        <f t="shared" ref="D227:D240" si="75">IF(C227="E",1,0)</f>
        <v>1</v>
      </c>
      <c r="E227" s="13">
        <f t="shared" ref="E227:E240" si="76">IF(C227="H",1,0)</f>
        <v>0</v>
      </c>
      <c r="G227" s="34"/>
      <c r="H227" s="34"/>
      <c r="I227" s="34"/>
    </row>
    <row r="228" spans="1:9" ht="12" customHeight="1" x14ac:dyDescent="0.15">
      <c r="A228" s="1">
        <v>2</v>
      </c>
      <c r="B228" s="25" t="s">
        <v>169</v>
      </c>
      <c r="C228" s="13" t="s">
        <v>113</v>
      </c>
      <c r="D228" s="13">
        <f t="shared" si="75"/>
        <v>1</v>
      </c>
      <c r="E228" s="13">
        <f t="shared" si="76"/>
        <v>0</v>
      </c>
      <c r="G228" s="34"/>
      <c r="H228" s="34"/>
      <c r="I228" s="34"/>
    </row>
    <row r="229" spans="1:9" ht="12" customHeight="1" x14ac:dyDescent="0.15">
      <c r="A229" s="1">
        <v>3</v>
      </c>
      <c r="B229" s="11" t="s">
        <v>91</v>
      </c>
      <c r="C229" s="13" t="s">
        <v>113</v>
      </c>
      <c r="D229" s="13">
        <f t="shared" si="75"/>
        <v>1</v>
      </c>
      <c r="E229" s="13">
        <f t="shared" si="76"/>
        <v>0</v>
      </c>
      <c r="G229" s="34"/>
      <c r="H229" s="34"/>
      <c r="I229" s="34"/>
    </row>
    <row r="230" spans="1:9" ht="12" customHeight="1" x14ac:dyDescent="0.15">
      <c r="A230" s="1">
        <v>4</v>
      </c>
      <c r="B230" s="25" t="s">
        <v>248</v>
      </c>
      <c r="C230" s="13" t="s">
        <v>113</v>
      </c>
      <c r="D230" s="13">
        <f t="shared" si="75"/>
        <v>1</v>
      </c>
      <c r="E230" s="13">
        <f t="shared" si="76"/>
        <v>0</v>
      </c>
      <c r="G230" s="34"/>
      <c r="H230" s="34"/>
      <c r="I230" s="34"/>
    </row>
    <row r="231" spans="1:9" ht="12" customHeight="1" x14ac:dyDescent="0.15">
      <c r="A231" s="1">
        <v>5</v>
      </c>
      <c r="B231" s="11" t="s">
        <v>92</v>
      </c>
      <c r="C231" s="13" t="s">
        <v>113</v>
      </c>
      <c r="D231" s="13">
        <f t="shared" si="75"/>
        <v>1</v>
      </c>
      <c r="E231" s="13">
        <f t="shared" si="76"/>
        <v>0</v>
      </c>
      <c r="G231" s="34"/>
      <c r="H231" s="34"/>
      <c r="I231" s="34"/>
    </row>
    <row r="232" spans="1:9" ht="12" customHeight="1" x14ac:dyDescent="0.15">
      <c r="A232" s="1">
        <v>6</v>
      </c>
      <c r="B232" s="25" t="s">
        <v>106</v>
      </c>
      <c r="C232" s="13" t="s">
        <v>113</v>
      </c>
      <c r="D232" s="13">
        <f t="shared" si="75"/>
        <v>1</v>
      </c>
      <c r="E232" s="13">
        <f t="shared" si="76"/>
        <v>0</v>
      </c>
      <c r="G232" s="34"/>
      <c r="H232" s="34"/>
      <c r="I232" s="34"/>
    </row>
    <row r="233" spans="1:9" ht="12" customHeight="1" x14ac:dyDescent="0.15">
      <c r="A233" s="1">
        <v>7</v>
      </c>
      <c r="B233" s="11" t="s">
        <v>250</v>
      </c>
      <c r="C233" s="13" t="s">
        <v>113</v>
      </c>
      <c r="D233" s="13">
        <f t="shared" si="75"/>
        <v>1</v>
      </c>
      <c r="E233" s="13">
        <f t="shared" si="76"/>
        <v>0</v>
      </c>
      <c r="G233" s="34"/>
      <c r="H233" s="34"/>
      <c r="I233" s="34"/>
    </row>
    <row r="234" spans="1:9" ht="12" customHeight="1" x14ac:dyDescent="0.15">
      <c r="A234" s="1">
        <v>8</v>
      </c>
      <c r="B234" s="1" t="s">
        <v>249</v>
      </c>
      <c r="C234" s="13" t="s">
        <v>113</v>
      </c>
      <c r="D234" s="13">
        <f t="shared" si="75"/>
        <v>1</v>
      </c>
      <c r="E234" s="13">
        <f t="shared" si="76"/>
        <v>0</v>
      </c>
      <c r="G234" s="34"/>
      <c r="H234" s="34"/>
      <c r="I234" s="34"/>
    </row>
    <row r="235" spans="1:9" ht="12" customHeight="1" x14ac:dyDescent="0.15">
      <c r="A235" s="1">
        <v>9</v>
      </c>
      <c r="B235" s="25" t="s">
        <v>107</v>
      </c>
      <c r="C235" s="13" t="s">
        <v>113</v>
      </c>
      <c r="D235" s="13">
        <f t="shared" si="75"/>
        <v>1</v>
      </c>
      <c r="E235" s="13">
        <f t="shared" si="76"/>
        <v>0</v>
      </c>
      <c r="G235" s="34"/>
      <c r="H235" s="34"/>
      <c r="I235" s="34"/>
    </row>
    <row r="236" spans="1:9" ht="12" customHeight="1" x14ac:dyDescent="0.15">
      <c r="A236" s="1">
        <v>10</v>
      </c>
      <c r="B236" s="25" t="s">
        <v>152</v>
      </c>
      <c r="C236" s="13" t="s">
        <v>113</v>
      </c>
      <c r="D236" s="13">
        <f t="shared" si="75"/>
        <v>1</v>
      </c>
      <c r="E236" s="13">
        <f t="shared" si="76"/>
        <v>0</v>
      </c>
      <c r="G236" s="34"/>
      <c r="H236" s="34"/>
      <c r="I236" s="34"/>
    </row>
    <row r="237" spans="1:9" ht="12" customHeight="1" x14ac:dyDescent="0.15">
      <c r="A237" s="1">
        <v>11</v>
      </c>
      <c r="B237" s="25" t="s">
        <v>108</v>
      </c>
      <c r="C237" s="13" t="s">
        <v>113</v>
      </c>
      <c r="D237" s="13">
        <f t="shared" si="75"/>
        <v>1</v>
      </c>
      <c r="E237" s="13">
        <f t="shared" si="76"/>
        <v>0</v>
      </c>
      <c r="G237" s="34"/>
      <c r="H237" s="34"/>
      <c r="I237" s="34"/>
    </row>
    <row r="238" spans="1:9" ht="12" customHeight="1" x14ac:dyDescent="0.15">
      <c r="A238" s="1">
        <v>12</v>
      </c>
      <c r="B238" s="11" t="s">
        <v>251</v>
      </c>
      <c r="C238" s="13" t="s">
        <v>113</v>
      </c>
      <c r="D238" s="13">
        <f t="shared" si="75"/>
        <v>1</v>
      </c>
      <c r="E238" s="13">
        <f t="shared" si="76"/>
        <v>0</v>
      </c>
      <c r="G238" s="34"/>
      <c r="H238" s="34"/>
      <c r="I238" s="34"/>
    </row>
    <row r="239" spans="1:9" ht="12" customHeight="1" x14ac:dyDescent="0.15">
      <c r="A239" s="1">
        <v>13</v>
      </c>
      <c r="B239" s="1" t="s">
        <v>206</v>
      </c>
      <c r="C239" s="13" t="s">
        <v>113</v>
      </c>
      <c r="D239" s="13">
        <f t="shared" si="75"/>
        <v>1</v>
      </c>
      <c r="E239" s="13">
        <f t="shared" si="76"/>
        <v>0</v>
      </c>
      <c r="G239" s="34"/>
      <c r="H239" s="34"/>
      <c r="I239" s="34"/>
    </row>
    <row r="240" spans="1:9" ht="12" customHeight="1" thickBot="1" x14ac:dyDescent="0.2">
      <c r="A240" s="1">
        <v>14</v>
      </c>
      <c r="B240" s="28" t="s">
        <v>164</v>
      </c>
      <c r="C240" s="13" t="s">
        <v>113</v>
      </c>
      <c r="D240" s="13">
        <f t="shared" si="75"/>
        <v>1</v>
      </c>
      <c r="E240" s="13">
        <f t="shared" si="76"/>
        <v>0</v>
      </c>
      <c r="G240" s="34"/>
      <c r="H240" s="34"/>
      <c r="I240" s="34"/>
    </row>
    <row r="241" spans="1:9" ht="14" thickBot="1" x14ac:dyDescent="0.2">
      <c r="B241" s="21" t="s">
        <v>16</v>
      </c>
      <c r="C241" s="9">
        <f>SUM(D227:D240)</f>
        <v>14</v>
      </c>
      <c r="D241" s="9">
        <f>SUM(D227:E240)</f>
        <v>14</v>
      </c>
      <c r="E241" s="10">
        <f>IFERROR(C241/D241,0)</f>
        <v>1</v>
      </c>
      <c r="G241" s="8"/>
      <c r="H241" s="8"/>
      <c r="I241" s="8"/>
    </row>
    <row r="242" spans="1:9" x14ac:dyDescent="0.2">
      <c r="B242" s="3" t="s">
        <v>109</v>
      </c>
      <c r="C242" s="6" t="s">
        <v>12</v>
      </c>
      <c r="D242" s="6" t="s">
        <v>15</v>
      </c>
      <c r="E242" s="6" t="s">
        <v>13</v>
      </c>
      <c r="F242" s="6"/>
      <c r="G242" s="32" t="s">
        <v>14</v>
      </c>
      <c r="H242" s="32"/>
      <c r="I242" s="32"/>
    </row>
    <row r="243" spans="1:9" ht="12" customHeight="1" x14ac:dyDescent="0.15">
      <c r="A243" s="1">
        <v>1</v>
      </c>
      <c r="B243" s="25" t="s">
        <v>253</v>
      </c>
      <c r="C243" s="13" t="s">
        <v>113</v>
      </c>
      <c r="D243" s="13">
        <f t="shared" ref="D243:D250" si="77">IF(C243="E",1,0)</f>
        <v>1</v>
      </c>
      <c r="E243" s="13">
        <f t="shared" ref="E243:E250" si="78">IF(C243="H",1,0)</f>
        <v>0</v>
      </c>
      <c r="G243" s="34"/>
      <c r="H243" s="34"/>
      <c r="I243" s="34"/>
    </row>
    <row r="244" spans="1:9" ht="12" customHeight="1" x14ac:dyDescent="0.15">
      <c r="A244" s="1">
        <v>2</v>
      </c>
      <c r="B244" s="25" t="s">
        <v>110</v>
      </c>
      <c r="C244" s="13" t="s">
        <v>113</v>
      </c>
      <c r="D244" s="13">
        <f t="shared" si="77"/>
        <v>1</v>
      </c>
      <c r="E244" s="13">
        <f t="shared" si="78"/>
        <v>0</v>
      </c>
      <c r="G244" s="34"/>
      <c r="H244" s="34"/>
      <c r="I244" s="34"/>
    </row>
    <row r="245" spans="1:9" ht="12" customHeight="1" x14ac:dyDescent="0.15">
      <c r="A245" s="1">
        <v>3</v>
      </c>
      <c r="B245" s="25" t="s">
        <v>153</v>
      </c>
      <c r="C245" s="13" t="s">
        <v>113</v>
      </c>
      <c r="D245" s="13">
        <f t="shared" si="77"/>
        <v>1</v>
      </c>
      <c r="E245" s="13">
        <f t="shared" si="78"/>
        <v>0</v>
      </c>
      <c r="G245" s="34"/>
      <c r="H245" s="34"/>
      <c r="I245" s="34"/>
    </row>
    <row r="246" spans="1:9" ht="12" customHeight="1" x14ac:dyDescent="0.15">
      <c r="A246" s="1">
        <v>4</v>
      </c>
      <c r="B246" s="11" t="s">
        <v>92</v>
      </c>
      <c r="C246" s="13" t="s">
        <v>113</v>
      </c>
      <c r="D246" s="13">
        <f t="shared" si="77"/>
        <v>1</v>
      </c>
      <c r="E246" s="13">
        <f t="shared" si="78"/>
        <v>0</v>
      </c>
      <c r="G246" s="34"/>
      <c r="H246" s="34"/>
      <c r="I246" s="34"/>
    </row>
    <row r="247" spans="1:9" ht="12" customHeight="1" x14ac:dyDescent="0.15">
      <c r="A247" s="1">
        <v>5</v>
      </c>
      <c r="B247" s="25" t="s">
        <v>154</v>
      </c>
      <c r="C247" s="13" t="s">
        <v>113</v>
      </c>
      <c r="D247" s="13">
        <f t="shared" si="77"/>
        <v>1</v>
      </c>
      <c r="E247" s="13">
        <f t="shared" si="78"/>
        <v>0</v>
      </c>
      <c r="G247" s="34"/>
      <c r="H247" s="34"/>
      <c r="I247" s="34"/>
    </row>
    <row r="248" spans="1:9" ht="12" customHeight="1" x14ac:dyDescent="0.15">
      <c r="A248" s="1">
        <v>6</v>
      </c>
      <c r="B248" s="25" t="s">
        <v>252</v>
      </c>
      <c r="C248" s="13" t="s">
        <v>113</v>
      </c>
      <c r="D248" s="13">
        <f t="shared" si="77"/>
        <v>1</v>
      </c>
      <c r="E248" s="13">
        <f t="shared" si="78"/>
        <v>0</v>
      </c>
      <c r="G248" s="34"/>
      <c r="H248" s="34"/>
      <c r="I248" s="34"/>
    </row>
    <row r="249" spans="1:9" ht="12" customHeight="1" x14ac:dyDescent="0.15">
      <c r="A249" s="1">
        <v>7</v>
      </c>
      <c r="B249" s="1" t="s">
        <v>206</v>
      </c>
      <c r="C249" s="13" t="s">
        <v>113</v>
      </c>
      <c r="D249" s="13">
        <f t="shared" si="77"/>
        <v>1</v>
      </c>
      <c r="E249" s="13">
        <f t="shared" si="78"/>
        <v>0</v>
      </c>
      <c r="G249" s="34"/>
      <c r="H249" s="34"/>
      <c r="I249" s="34"/>
    </row>
    <row r="250" spans="1:9" ht="12" customHeight="1" thickBot="1" x14ac:dyDescent="0.2">
      <c r="A250" s="1">
        <v>8</v>
      </c>
      <c r="B250" s="28" t="s">
        <v>164</v>
      </c>
      <c r="C250" s="13" t="s">
        <v>113</v>
      </c>
      <c r="D250" s="13">
        <f t="shared" si="77"/>
        <v>1</v>
      </c>
      <c r="E250" s="13">
        <f t="shared" si="78"/>
        <v>0</v>
      </c>
      <c r="G250" s="34"/>
      <c r="H250" s="34"/>
      <c r="I250" s="34"/>
    </row>
    <row r="251" spans="1:9" ht="14" thickBot="1" x14ac:dyDescent="0.2">
      <c r="B251" s="21" t="s">
        <v>16</v>
      </c>
      <c r="C251" s="9">
        <f>SUM(D243:D250)</f>
        <v>8</v>
      </c>
      <c r="D251" s="9">
        <f>SUM(D243:E250)</f>
        <v>8</v>
      </c>
      <c r="E251" s="10">
        <f>IFERROR(C251/D251,0)</f>
        <v>1</v>
      </c>
      <c r="G251" s="8"/>
      <c r="H251" s="8"/>
      <c r="I251" s="8"/>
    </row>
    <row r="252" spans="1:9" x14ac:dyDescent="0.2">
      <c r="B252" s="3" t="s">
        <v>117</v>
      </c>
      <c r="C252" s="6" t="s">
        <v>12</v>
      </c>
      <c r="D252" s="6" t="s">
        <v>15</v>
      </c>
      <c r="E252" s="6" t="s">
        <v>13</v>
      </c>
      <c r="F252" s="6"/>
      <c r="G252" s="32" t="s">
        <v>14</v>
      </c>
      <c r="H252" s="32"/>
      <c r="I252" s="32"/>
    </row>
    <row r="253" spans="1:9" ht="12" customHeight="1" x14ac:dyDescent="0.15">
      <c r="A253" s="1">
        <v>1</v>
      </c>
      <c r="B253" s="25" t="s">
        <v>111</v>
      </c>
      <c r="C253" s="13" t="s">
        <v>113</v>
      </c>
      <c r="D253" s="13">
        <f t="shared" ref="D253" si="79">IF(C253="E",1,0)</f>
        <v>1</v>
      </c>
      <c r="E253" s="13">
        <f t="shared" ref="E253" si="80">IF(C253="H",1,0)</f>
        <v>0</v>
      </c>
      <c r="G253" s="34"/>
      <c r="H253" s="34"/>
      <c r="I253" s="34"/>
    </row>
    <row r="254" spans="1:9" ht="12" customHeight="1" x14ac:dyDescent="0.15">
      <c r="A254" s="1">
        <v>2</v>
      </c>
      <c r="B254" s="1" t="s">
        <v>191</v>
      </c>
      <c r="C254" s="13" t="s">
        <v>113</v>
      </c>
      <c r="D254" s="13">
        <f t="shared" ref="D254:D260" si="81">IF(C254="E",1,0)</f>
        <v>1</v>
      </c>
      <c r="E254" s="13">
        <f t="shared" ref="E254:E260" si="82">IF(C254="H",1,0)</f>
        <v>0</v>
      </c>
      <c r="G254" s="26"/>
      <c r="H254" s="26"/>
      <c r="I254" s="26"/>
    </row>
    <row r="255" spans="1:9" ht="12" customHeight="1" x14ac:dyDescent="0.15">
      <c r="A255" s="1">
        <v>3</v>
      </c>
      <c r="B255" s="25" t="s">
        <v>155</v>
      </c>
      <c r="C255" s="13" t="s">
        <v>113</v>
      </c>
      <c r="D255" s="13">
        <f t="shared" si="81"/>
        <v>1</v>
      </c>
      <c r="E255" s="13">
        <f t="shared" si="82"/>
        <v>0</v>
      </c>
      <c r="G255" s="34"/>
      <c r="H255" s="34"/>
      <c r="I255" s="34"/>
    </row>
    <row r="256" spans="1:9" ht="12" customHeight="1" x14ac:dyDescent="0.15">
      <c r="A256" s="1">
        <v>4</v>
      </c>
      <c r="B256" s="11" t="s">
        <v>156</v>
      </c>
      <c r="C256" s="13" t="s">
        <v>113</v>
      </c>
      <c r="D256" s="13">
        <f t="shared" si="81"/>
        <v>1</v>
      </c>
      <c r="E256" s="13">
        <f t="shared" si="82"/>
        <v>0</v>
      </c>
      <c r="G256" s="34"/>
      <c r="H256" s="34"/>
      <c r="I256" s="34"/>
    </row>
    <row r="257" spans="1:9" ht="12" customHeight="1" x14ac:dyDescent="0.15">
      <c r="A257" s="1">
        <v>5</v>
      </c>
      <c r="B257" s="25" t="s">
        <v>284</v>
      </c>
      <c r="C257" s="13" t="s">
        <v>113</v>
      </c>
      <c r="D257" s="13">
        <f t="shared" si="81"/>
        <v>1</v>
      </c>
      <c r="E257" s="13">
        <f t="shared" si="82"/>
        <v>0</v>
      </c>
      <c r="G257" s="34"/>
      <c r="H257" s="34"/>
      <c r="I257" s="34"/>
    </row>
    <row r="258" spans="1:9" ht="12" customHeight="1" x14ac:dyDescent="0.15">
      <c r="A258" s="1">
        <v>6</v>
      </c>
      <c r="B258" s="11" t="s">
        <v>285</v>
      </c>
      <c r="C258" s="13" t="s">
        <v>113</v>
      </c>
      <c r="D258" s="13">
        <f t="shared" si="81"/>
        <v>1</v>
      </c>
      <c r="E258" s="13">
        <f t="shared" si="82"/>
        <v>0</v>
      </c>
      <c r="G258" s="34"/>
      <c r="H258" s="34"/>
      <c r="I258" s="34"/>
    </row>
    <row r="259" spans="1:9" ht="12" customHeight="1" x14ac:dyDescent="0.15">
      <c r="A259" s="1">
        <v>7</v>
      </c>
      <c r="B259" s="1" t="s">
        <v>206</v>
      </c>
      <c r="C259" s="13" t="s">
        <v>113</v>
      </c>
      <c r="D259" s="13">
        <f t="shared" si="81"/>
        <v>1</v>
      </c>
      <c r="E259" s="13">
        <f t="shared" si="82"/>
        <v>0</v>
      </c>
      <c r="G259" s="34"/>
      <c r="H259" s="34"/>
      <c r="I259" s="34"/>
    </row>
    <row r="260" spans="1:9" ht="12" customHeight="1" thickBot="1" x14ac:dyDescent="0.2">
      <c r="A260" s="1">
        <v>8</v>
      </c>
      <c r="B260" s="28" t="s">
        <v>164</v>
      </c>
      <c r="C260" s="13" t="s">
        <v>113</v>
      </c>
      <c r="D260" s="13">
        <f t="shared" si="81"/>
        <v>1</v>
      </c>
      <c r="E260" s="13">
        <f t="shared" si="82"/>
        <v>0</v>
      </c>
      <c r="G260" s="34"/>
      <c r="H260" s="34"/>
      <c r="I260" s="34"/>
    </row>
    <row r="261" spans="1:9" ht="14" thickBot="1" x14ac:dyDescent="0.2">
      <c r="B261" s="21" t="s">
        <v>16</v>
      </c>
      <c r="C261" s="9">
        <f>SUM(D253:D260)</f>
        <v>8</v>
      </c>
      <c r="D261" s="9">
        <f>SUM(D253:E260)</f>
        <v>8</v>
      </c>
      <c r="E261" s="10">
        <f>IFERROR(C261/D261,0)</f>
        <v>1</v>
      </c>
      <c r="G261" s="8"/>
      <c r="H261" s="8"/>
      <c r="I261" s="8"/>
    </row>
    <row r="262" spans="1:9" x14ac:dyDescent="0.2">
      <c r="B262" s="19" t="s">
        <v>131</v>
      </c>
      <c r="C262" s="6" t="s">
        <v>12</v>
      </c>
      <c r="D262" s="6" t="s">
        <v>15</v>
      </c>
      <c r="E262" s="6" t="s">
        <v>13</v>
      </c>
      <c r="F262" s="6"/>
      <c r="G262" s="32" t="s">
        <v>14</v>
      </c>
      <c r="H262" s="32"/>
      <c r="I262" s="32"/>
    </row>
    <row r="263" spans="1:9" ht="12" customHeight="1" x14ac:dyDescent="0.15">
      <c r="A263" s="1">
        <v>1</v>
      </c>
      <c r="B263" s="15" t="s">
        <v>40</v>
      </c>
      <c r="C263" s="13" t="s">
        <v>113</v>
      </c>
      <c r="D263" s="13">
        <f t="shared" ref="D263:D268" si="83">IF(C263="E",1,0)</f>
        <v>1</v>
      </c>
      <c r="E263" s="13">
        <f t="shared" ref="E263:E268" si="84">IF(C263="H",1,0)</f>
        <v>0</v>
      </c>
      <c r="G263" s="34"/>
      <c r="H263" s="34"/>
      <c r="I263" s="34"/>
    </row>
    <row r="264" spans="1:9" ht="12" customHeight="1" x14ac:dyDescent="0.15">
      <c r="A264" s="13">
        <v>2</v>
      </c>
      <c r="B264" s="15" t="s">
        <v>254</v>
      </c>
      <c r="C264" s="13" t="s">
        <v>113</v>
      </c>
      <c r="D264" s="13">
        <f t="shared" si="83"/>
        <v>1</v>
      </c>
      <c r="E264" s="13">
        <f t="shared" si="84"/>
        <v>0</v>
      </c>
      <c r="G264" s="34"/>
      <c r="H264" s="34"/>
      <c r="I264" s="34"/>
    </row>
    <row r="265" spans="1:9" ht="12" customHeight="1" x14ac:dyDescent="0.15">
      <c r="A265" s="1">
        <v>3</v>
      </c>
      <c r="B265" s="25" t="s">
        <v>255</v>
      </c>
      <c r="C265" s="13" t="s">
        <v>113</v>
      </c>
      <c r="D265" s="13">
        <f t="shared" si="83"/>
        <v>1</v>
      </c>
      <c r="E265" s="13">
        <f t="shared" si="84"/>
        <v>0</v>
      </c>
      <c r="G265" s="34"/>
      <c r="H265" s="34"/>
      <c r="I265" s="34"/>
    </row>
    <row r="266" spans="1:9" ht="12" customHeight="1" x14ac:dyDescent="0.15">
      <c r="A266" s="13">
        <v>4</v>
      </c>
      <c r="B266" s="1" t="s">
        <v>132</v>
      </c>
      <c r="C266" s="13" t="s">
        <v>113</v>
      </c>
      <c r="D266" s="13">
        <f t="shared" si="83"/>
        <v>1</v>
      </c>
      <c r="E266" s="13">
        <f t="shared" si="84"/>
        <v>0</v>
      </c>
      <c r="G266" s="34"/>
      <c r="H266" s="34"/>
      <c r="I266" s="34"/>
    </row>
    <row r="267" spans="1:9" ht="12" customHeight="1" x14ac:dyDescent="0.15">
      <c r="A267" s="1">
        <v>5</v>
      </c>
      <c r="B267" s="1" t="s">
        <v>157</v>
      </c>
      <c r="C267" s="13" t="s">
        <v>113</v>
      </c>
      <c r="D267" s="13">
        <f t="shared" si="83"/>
        <v>1</v>
      </c>
      <c r="E267" s="13">
        <f t="shared" si="84"/>
        <v>0</v>
      </c>
      <c r="G267" s="34"/>
      <c r="H267" s="34"/>
      <c r="I267" s="34"/>
    </row>
    <row r="268" spans="1:9" ht="12" customHeight="1" thickBot="1" x14ac:dyDescent="0.2">
      <c r="A268" s="13">
        <v>6</v>
      </c>
      <c r="B268" s="28" t="s">
        <v>164</v>
      </c>
      <c r="C268" s="13" t="s">
        <v>113</v>
      </c>
      <c r="D268" s="13">
        <f t="shared" si="83"/>
        <v>1</v>
      </c>
      <c r="E268" s="13">
        <f t="shared" si="84"/>
        <v>0</v>
      </c>
      <c r="G268" s="34"/>
      <c r="H268" s="34"/>
      <c r="I268" s="34"/>
    </row>
    <row r="269" spans="1:9" ht="14" thickBot="1" x14ac:dyDescent="0.2">
      <c r="B269" s="21" t="s">
        <v>16</v>
      </c>
      <c r="C269" s="9">
        <f>SUM(D263:D268)</f>
        <v>6</v>
      </c>
      <c r="D269" s="9">
        <f>SUM(D263:E268)</f>
        <v>6</v>
      </c>
      <c r="E269" s="10">
        <f>IFERROR(C269/D269,0)</f>
        <v>1</v>
      </c>
      <c r="G269" s="8"/>
      <c r="H269" s="8"/>
      <c r="I269" s="8"/>
    </row>
    <row r="270" spans="1:9" x14ac:dyDescent="0.2">
      <c r="B270" s="17" t="s">
        <v>119</v>
      </c>
      <c r="C270" s="6" t="s">
        <v>12</v>
      </c>
      <c r="D270" s="6" t="s">
        <v>15</v>
      </c>
      <c r="E270" s="6" t="s">
        <v>13</v>
      </c>
      <c r="F270" s="6"/>
      <c r="G270" s="32" t="s">
        <v>14</v>
      </c>
      <c r="H270" s="32"/>
      <c r="I270" s="32"/>
    </row>
    <row r="271" spans="1:9" ht="12" customHeight="1" x14ac:dyDescent="0.15">
      <c r="A271" s="1">
        <v>1</v>
      </c>
      <c r="B271" s="1" t="s">
        <v>35</v>
      </c>
      <c r="C271" s="13" t="s">
        <v>113</v>
      </c>
      <c r="D271" s="13">
        <f t="shared" ref="D271:D275" si="85">IF(C271="E",1,0)</f>
        <v>1</v>
      </c>
      <c r="E271" s="13">
        <f t="shared" ref="E271:E274" si="86">IF(C271="H",1,0)</f>
        <v>0</v>
      </c>
      <c r="G271" s="34"/>
      <c r="H271" s="34"/>
      <c r="I271" s="34"/>
    </row>
    <row r="272" spans="1:9" ht="12" customHeight="1" x14ac:dyDescent="0.15">
      <c r="A272" s="1">
        <v>2</v>
      </c>
      <c r="B272" s="1" t="s">
        <v>120</v>
      </c>
      <c r="C272" s="13" t="s">
        <v>113</v>
      </c>
      <c r="D272" s="13">
        <f t="shared" si="85"/>
        <v>1</v>
      </c>
      <c r="E272" s="13">
        <f t="shared" si="86"/>
        <v>0</v>
      </c>
      <c r="G272" s="34"/>
      <c r="H272" s="34"/>
      <c r="I272" s="34"/>
    </row>
    <row r="273" spans="1:9" ht="12" customHeight="1" x14ac:dyDescent="0.15">
      <c r="A273" s="1">
        <v>3</v>
      </c>
      <c r="B273" s="1" t="s">
        <v>52</v>
      </c>
      <c r="C273" s="13" t="s">
        <v>113</v>
      </c>
      <c r="D273" s="13">
        <f t="shared" si="85"/>
        <v>1</v>
      </c>
      <c r="E273" s="13">
        <f t="shared" si="86"/>
        <v>0</v>
      </c>
      <c r="G273" s="34"/>
      <c r="H273" s="34"/>
      <c r="I273" s="34"/>
    </row>
    <row r="274" spans="1:9" ht="12" customHeight="1" x14ac:dyDescent="0.15">
      <c r="A274" s="1">
        <v>4</v>
      </c>
      <c r="B274" s="1" t="s">
        <v>112</v>
      </c>
      <c r="C274" s="13" t="s">
        <v>113</v>
      </c>
      <c r="D274" s="13">
        <f t="shared" si="85"/>
        <v>1</v>
      </c>
      <c r="E274" s="13">
        <f t="shared" si="86"/>
        <v>0</v>
      </c>
      <c r="G274" s="34"/>
      <c r="H274" s="34"/>
      <c r="I274" s="34"/>
    </row>
    <row r="275" spans="1:9" ht="12" customHeight="1" x14ac:dyDescent="0.15">
      <c r="A275" s="1">
        <v>5</v>
      </c>
      <c r="B275" s="1" t="s">
        <v>121</v>
      </c>
      <c r="C275" s="13" t="s">
        <v>113</v>
      </c>
      <c r="D275" s="13">
        <f t="shared" si="85"/>
        <v>1</v>
      </c>
      <c r="E275" s="13">
        <f t="shared" ref="E275" si="87">IF(C275="H",1,0)</f>
        <v>0</v>
      </c>
      <c r="G275" s="34"/>
      <c r="H275" s="34"/>
      <c r="I275" s="34"/>
    </row>
    <row r="276" spans="1:9" ht="12" customHeight="1" thickBot="1" x14ac:dyDescent="0.2">
      <c r="A276" s="1">
        <v>6</v>
      </c>
      <c r="B276" s="4" t="s">
        <v>176</v>
      </c>
      <c r="C276" s="13" t="s">
        <v>113</v>
      </c>
      <c r="D276" s="13">
        <f t="shared" ref="D276" si="88">IF(C276="E",1,0)</f>
        <v>1</v>
      </c>
      <c r="E276" s="13">
        <f t="shared" ref="E276" si="89">IF(C276="H",1,0)</f>
        <v>0</v>
      </c>
      <c r="G276" s="34"/>
      <c r="H276" s="34"/>
      <c r="I276" s="34"/>
    </row>
    <row r="277" spans="1:9" ht="14" thickBot="1" x14ac:dyDescent="0.2">
      <c r="B277" s="21" t="s">
        <v>16</v>
      </c>
      <c r="C277" s="9">
        <f>SUM(D271:D276)</f>
        <v>6</v>
      </c>
      <c r="D277" s="9">
        <f>SUM(D271:E276)</f>
        <v>6</v>
      </c>
      <c r="E277" s="10">
        <f>IFERROR(C277/D277,0)</f>
        <v>1</v>
      </c>
      <c r="G277" s="8"/>
      <c r="H277" s="8"/>
      <c r="I277" s="8"/>
    </row>
    <row r="278" spans="1:9" x14ac:dyDescent="0.2">
      <c r="B278" s="3" t="s">
        <v>118</v>
      </c>
      <c r="C278" s="6" t="s">
        <v>12</v>
      </c>
      <c r="D278" s="6" t="s">
        <v>15</v>
      </c>
      <c r="E278" s="6" t="s">
        <v>13</v>
      </c>
      <c r="F278" s="6"/>
      <c r="G278" s="32" t="s">
        <v>14</v>
      </c>
      <c r="H278" s="32"/>
      <c r="I278" s="32"/>
    </row>
    <row r="279" spans="1:9" ht="12" customHeight="1" x14ac:dyDescent="0.15">
      <c r="A279" s="1">
        <v>1</v>
      </c>
      <c r="B279" s="4" t="s">
        <v>170</v>
      </c>
      <c r="C279" s="13" t="s">
        <v>113</v>
      </c>
      <c r="D279" s="13">
        <f t="shared" ref="D279:D292" si="90">IF(C279="E",1,0)</f>
        <v>1</v>
      </c>
      <c r="E279" s="13">
        <f t="shared" ref="E279:E292" si="91">IF(C279="H",1,0)</f>
        <v>0</v>
      </c>
      <c r="G279" s="34"/>
      <c r="H279" s="34"/>
      <c r="I279" s="34"/>
    </row>
    <row r="280" spans="1:9" ht="12" customHeight="1" x14ac:dyDescent="0.15">
      <c r="A280" s="1">
        <v>2</v>
      </c>
      <c r="B280" s="4" t="s">
        <v>122</v>
      </c>
      <c r="C280" s="13" t="s">
        <v>113</v>
      </c>
      <c r="D280" s="13">
        <f t="shared" si="90"/>
        <v>1</v>
      </c>
      <c r="E280" s="13">
        <f t="shared" si="91"/>
        <v>0</v>
      </c>
      <c r="G280" s="34"/>
      <c r="H280" s="34"/>
      <c r="I280" s="34"/>
    </row>
    <row r="281" spans="1:9" ht="12" customHeight="1" x14ac:dyDescent="0.15">
      <c r="A281" s="1">
        <v>3</v>
      </c>
      <c r="B281" s="4" t="s">
        <v>123</v>
      </c>
      <c r="C281" s="13" t="s">
        <v>113</v>
      </c>
      <c r="D281" s="13">
        <f t="shared" si="90"/>
        <v>1</v>
      </c>
      <c r="E281" s="13">
        <f t="shared" si="91"/>
        <v>0</v>
      </c>
      <c r="G281" s="34"/>
      <c r="H281" s="34"/>
      <c r="I281" s="34"/>
    </row>
    <row r="282" spans="1:9" ht="12" customHeight="1" x14ac:dyDescent="0.15">
      <c r="A282" s="1">
        <v>4</v>
      </c>
      <c r="B282" s="4" t="s">
        <v>37</v>
      </c>
      <c r="C282" s="13" t="s">
        <v>113</v>
      </c>
      <c r="D282" s="13">
        <f t="shared" si="90"/>
        <v>1</v>
      </c>
      <c r="E282" s="13">
        <f t="shared" si="91"/>
        <v>0</v>
      </c>
      <c r="G282" s="34"/>
      <c r="H282" s="34"/>
      <c r="I282" s="34"/>
    </row>
    <row r="283" spans="1:9" ht="12" customHeight="1" x14ac:dyDescent="0.15">
      <c r="A283" s="1">
        <v>5</v>
      </c>
      <c r="B283" s="1" t="s">
        <v>256</v>
      </c>
      <c r="C283" s="13" t="s">
        <v>113</v>
      </c>
      <c r="D283" s="13">
        <f t="shared" si="90"/>
        <v>1</v>
      </c>
      <c r="E283" s="13">
        <f t="shared" si="91"/>
        <v>0</v>
      </c>
      <c r="G283" s="34"/>
      <c r="H283" s="34"/>
      <c r="I283" s="34"/>
    </row>
    <row r="284" spans="1:9" ht="12" customHeight="1" x14ac:dyDescent="0.15">
      <c r="A284" s="1">
        <v>6</v>
      </c>
      <c r="B284" s="4" t="s">
        <v>39</v>
      </c>
      <c r="C284" s="13" t="s">
        <v>113</v>
      </c>
      <c r="D284" s="13">
        <f t="shared" si="90"/>
        <v>1</v>
      </c>
      <c r="E284" s="13">
        <f t="shared" si="91"/>
        <v>0</v>
      </c>
      <c r="G284" s="34"/>
      <c r="H284" s="34"/>
      <c r="I284" s="34"/>
    </row>
    <row r="285" spans="1:9" ht="12" customHeight="1" x14ac:dyDescent="0.15">
      <c r="A285" s="1">
        <v>7</v>
      </c>
      <c r="B285" s="4" t="s">
        <v>176</v>
      </c>
      <c r="C285" s="13" t="s">
        <v>113</v>
      </c>
      <c r="D285" s="13">
        <f t="shared" si="90"/>
        <v>1</v>
      </c>
      <c r="E285" s="13">
        <f t="shared" si="91"/>
        <v>0</v>
      </c>
      <c r="G285" s="34"/>
      <c r="H285" s="34"/>
      <c r="I285" s="34"/>
    </row>
    <row r="286" spans="1:9" ht="12" customHeight="1" x14ac:dyDescent="0.15">
      <c r="A286" s="1">
        <v>8</v>
      </c>
      <c r="B286" s="4" t="s">
        <v>257</v>
      </c>
      <c r="C286" s="13" t="s">
        <v>113</v>
      </c>
      <c r="D286" s="13">
        <f t="shared" si="90"/>
        <v>1</v>
      </c>
      <c r="E286" s="13">
        <f t="shared" si="91"/>
        <v>0</v>
      </c>
      <c r="G286" s="34"/>
      <c r="H286" s="34"/>
      <c r="I286" s="34"/>
    </row>
    <row r="287" spans="1:9" ht="12" customHeight="1" x14ac:dyDescent="0.15">
      <c r="A287" s="1">
        <v>9</v>
      </c>
      <c r="B287" s="4" t="s">
        <v>258</v>
      </c>
      <c r="C287" s="13" t="s">
        <v>113</v>
      </c>
      <c r="D287" s="13">
        <f t="shared" si="90"/>
        <v>1</v>
      </c>
      <c r="E287" s="13">
        <f t="shared" si="91"/>
        <v>0</v>
      </c>
      <c r="G287" s="34"/>
      <c r="H287" s="34"/>
      <c r="I287" s="34"/>
    </row>
    <row r="288" spans="1:9" ht="12" customHeight="1" x14ac:dyDescent="0.15">
      <c r="A288" s="1">
        <v>10</v>
      </c>
      <c r="B288" s="4" t="s">
        <v>38</v>
      </c>
      <c r="C288" s="13" t="s">
        <v>113</v>
      </c>
      <c r="D288" s="13">
        <f t="shared" si="90"/>
        <v>1</v>
      </c>
      <c r="E288" s="13">
        <f t="shared" si="91"/>
        <v>0</v>
      </c>
      <c r="G288" s="34"/>
      <c r="H288" s="34"/>
      <c r="I288" s="34"/>
    </row>
    <row r="289" spans="1:9" ht="12" customHeight="1" x14ac:dyDescent="0.15">
      <c r="A289" s="1">
        <v>11</v>
      </c>
      <c r="B289" s="4" t="s">
        <v>307</v>
      </c>
      <c r="C289" s="13" t="s">
        <v>113</v>
      </c>
      <c r="D289" s="13">
        <f t="shared" si="90"/>
        <v>1</v>
      </c>
      <c r="E289" s="13">
        <f t="shared" si="91"/>
        <v>0</v>
      </c>
      <c r="G289" s="34"/>
      <c r="H289" s="34"/>
      <c r="I289" s="34"/>
    </row>
    <row r="290" spans="1:9" ht="12" customHeight="1" x14ac:dyDescent="0.15">
      <c r="A290" s="1">
        <v>12</v>
      </c>
      <c r="B290" s="4" t="s">
        <v>44</v>
      </c>
      <c r="C290" s="13" t="s">
        <v>113</v>
      </c>
      <c r="D290" s="13">
        <f t="shared" si="90"/>
        <v>1</v>
      </c>
      <c r="E290" s="13">
        <f t="shared" si="91"/>
        <v>0</v>
      </c>
      <c r="G290" s="34"/>
      <c r="H290" s="34"/>
      <c r="I290" s="34"/>
    </row>
    <row r="291" spans="1:9" ht="12" customHeight="1" x14ac:dyDescent="0.15">
      <c r="A291" s="1">
        <v>13</v>
      </c>
      <c r="B291" s="1" t="s">
        <v>259</v>
      </c>
      <c r="C291" s="13" t="s">
        <v>113</v>
      </c>
      <c r="D291" s="13">
        <f t="shared" si="90"/>
        <v>1</v>
      </c>
      <c r="E291" s="13">
        <f t="shared" ref="E291" si="92">IF(C291="H",1,0)</f>
        <v>0</v>
      </c>
      <c r="G291" s="34"/>
      <c r="H291" s="34"/>
      <c r="I291" s="34"/>
    </row>
    <row r="292" spans="1:9" ht="12" customHeight="1" thickBot="1" x14ac:dyDescent="0.2">
      <c r="A292" s="1">
        <v>14</v>
      </c>
      <c r="B292" s="1" t="s">
        <v>171</v>
      </c>
      <c r="C292" s="13" t="s">
        <v>113</v>
      </c>
      <c r="D292" s="13">
        <f t="shared" si="90"/>
        <v>1</v>
      </c>
      <c r="E292" s="13">
        <f t="shared" si="91"/>
        <v>0</v>
      </c>
      <c r="G292" s="34"/>
      <c r="H292" s="34"/>
      <c r="I292" s="34"/>
    </row>
    <row r="293" spans="1:9" ht="14" thickBot="1" x14ac:dyDescent="0.2">
      <c r="B293" s="21" t="s">
        <v>16</v>
      </c>
      <c r="C293" s="9">
        <f>SUM(D279:D292)</f>
        <v>14</v>
      </c>
      <c r="D293" s="9">
        <f>SUM(D279:E292)</f>
        <v>14</v>
      </c>
      <c r="E293" s="10">
        <f>IFERROR(C293/D293,0)</f>
        <v>1</v>
      </c>
      <c r="G293" s="8"/>
      <c r="H293" s="8"/>
      <c r="I293" s="8"/>
    </row>
    <row r="294" spans="1:9" x14ac:dyDescent="0.2">
      <c r="B294" s="3" t="s">
        <v>41</v>
      </c>
      <c r="C294" s="6" t="s">
        <v>12</v>
      </c>
      <c r="D294" s="6" t="s">
        <v>15</v>
      </c>
      <c r="E294" s="6" t="s">
        <v>13</v>
      </c>
      <c r="F294" s="6"/>
      <c r="G294" s="32" t="s">
        <v>14</v>
      </c>
      <c r="H294" s="32"/>
      <c r="I294" s="32"/>
    </row>
    <row r="295" spans="1:9" ht="12" customHeight="1" x14ac:dyDescent="0.15">
      <c r="A295" s="1">
        <v>1</v>
      </c>
      <c r="B295" s="4" t="s">
        <v>53</v>
      </c>
      <c r="C295" s="13" t="s">
        <v>113</v>
      </c>
      <c r="D295" s="13">
        <f t="shared" ref="D295:D299" si="93">IF(C295="E",1,0)</f>
        <v>1</v>
      </c>
      <c r="E295" s="13">
        <f t="shared" ref="E295:E299" si="94">IF(C295="H",1,0)</f>
        <v>0</v>
      </c>
      <c r="G295" s="34"/>
      <c r="H295" s="34"/>
      <c r="I295" s="34"/>
    </row>
    <row r="296" spans="1:9" ht="12" customHeight="1" x14ac:dyDescent="0.15">
      <c r="A296" s="1">
        <v>2</v>
      </c>
      <c r="B296" s="4" t="s">
        <v>281</v>
      </c>
      <c r="C296" s="13" t="s">
        <v>113</v>
      </c>
      <c r="D296" s="13">
        <f t="shared" si="93"/>
        <v>1</v>
      </c>
      <c r="E296" s="13">
        <f t="shared" si="94"/>
        <v>0</v>
      </c>
      <c r="G296" s="34"/>
      <c r="H296" s="34"/>
      <c r="I296" s="34"/>
    </row>
    <row r="297" spans="1:9" ht="12" customHeight="1" x14ac:dyDescent="0.15">
      <c r="A297" s="1">
        <v>3</v>
      </c>
      <c r="B297" s="4" t="s">
        <v>54</v>
      </c>
      <c r="C297" s="13" t="s">
        <v>113</v>
      </c>
      <c r="D297" s="13">
        <f t="shared" si="93"/>
        <v>1</v>
      </c>
      <c r="E297" s="13">
        <f t="shared" si="94"/>
        <v>0</v>
      </c>
      <c r="G297" s="34"/>
      <c r="H297" s="34"/>
      <c r="I297" s="34"/>
    </row>
    <row r="298" spans="1:9" ht="12" customHeight="1" x14ac:dyDescent="0.15">
      <c r="A298" s="1">
        <v>4</v>
      </c>
      <c r="B298" s="4" t="s">
        <v>55</v>
      </c>
      <c r="C298" s="13" t="s">
        <v>113</v>
      </c>
      <c r="D298" s="13">
        <f t="shared" si="93"/>
        <v>1</v>
      </c>
      <c r="E298" s="13">
        <f t="shared" si="94"/>
        <v>0</v>
      </c>
      <c r="G298" s="34"/>
      <c r="H298" s="34"/>
      <c r="I298" s="34"/>
    </row>
    <row r="299" spans="1:9" ht="12" customHeight="1" thickBot="1" x14ac:dyDescent="0.2">
      <c r="A299" s="1">
        <v>5</v>
      </c>
      <c r="B299" s="1" t="s">
        <v>260</v>
      </c>
      <c r="C299" s="13" t="s">
        <v>113</v>
      </c>
      <c r="D299" s="13">
        <f t="shared" si="93"/>
        <v>1</v>
      </c>
      <c r="E299" s="13">
        <f t="shared" si="94"/>
        <v>0</v>
      </c>
      <c r="G299" s="34"/>
      <c r="H299" s="34"/>
      <c r="I299" s="34"/>
    </row>
    <row r="300" spans="1:9" ht="14" thickBot="1" x14ac:dyDescent="0.2">
      <c r="B300" s="21" t="s">
        <v>16</v>
      </c>
      <c r="C300" s="9">
        <f>SUM(D295:D299)</f>
        <v>5</v>
      </c>
      <c r="D300" s="9">
        <f>SUM(D295:E299)</f>
        <v>5</v>
      </c>
      <c r="E300" s="10">
        <f>IFERROR(C300/D300,0)</f>
        <v>1</v>
      </c>
      <c r="G300" s="8"/>
      <c r="H300" s="8"/>
      <c r="I300" s="8"/>
    </row>
    <row r="301" spans="1:9" x14ac:dyDescent="0.2">
      <c r="B301" s="3" t="s">
        <v>42</v>
      </c>
      <c r="C301" s="6" t="s">
        <v>12</v>
      </c>
      <c r="D301" s="6" t="s">
        <v>15</v>
      </c>
      <c r="E301" s="6" t="s">
        <v>13</v>
      </c>
      <c r="F301" s="6"/>
      <c r="G301" s="32" t="s">
        <v>14</v>
      </c>
      <c r="H301" s="32"/>
      <c r="I301" s="32"/>
    </row>
    <row r="302" spans="1:9" ht="12" customHeight="1" x14ac:dyDescent="0.15">
      <c r="A302" s="1">
        <v>1</v>
      </c>
      <c r="B302" s="4" t="s">
        <v>261</v>
      </c>
      <c r="C302" s="13" t="s">
        <v>113</v>
      </c>
      <c r="D302" s="13">
        <f t="shared" ref="D302:D309" si="95">IF(C302="E",1,0)</f>
        <v>1</v>
      </c>
      <c r="E302" s="13">
        <f t="shared" ref="E302:E309" si="96">IF(C302="H",1,0)</f>
        <v>0</v>
      </c>
      <c r="G302" s="34"/>
      <c r="H302" s="34"/>
      <c r="I302" s="34"/>
    </row>
    <row r="303" spans="1:9" ht="12" customHeight="1" x14ac:dyDescent="0.15">
      <c r="A303" s="1">
        <v>2</v>
      </c>
      <c r="B303" s="4" t="s">
        <v>43</v>
      </c>
      <c r="C303" s="13" t="s">
        <v>113</v>
      </c>
      <c r="D303" s="13">
        <f t="shared" si="95"/>
        <v>1</v>
      </c>
      <c r="E303" s="13">
        <f t="shared" si="96"/>
        <v>0</v>
      </c>
      <c r="G303" s="34"/>
      <c r="H303" s="34"/>
      <c r="I303" s="34"/>
    </row>
    <row r="304" spans="1:9" ht="12" customHeight="1" x14ac:dyDescent="0.15">
      <c r="A304" s="1">
        <v>3</v>
      </c>
      <c r="B304" s="4" t="s">
        <v>262</v>
      </c>
      <c r="C304" s="13" t="s">
        <v>113</v>
      </c>
      <c r="D304" s="13">
        <f t="shared" si="95"/>
        <v>1</v>
      </c>
      <c r="E304" s="13">
        <f t="shared" si="96"/>
        <v>0</v>
      </c>
      <c r="G304" s="34"/>
      <c r="H304" s="34"/>
      <c r="I304" s="34"/>
    </row>
    <row r="305" spans="1:9" ht="12" customHeight="1" x14ac:dyDescent="0.15">
      <c r="A305" s="1">
        <v>4</v>
      </c>
      <c r="B305" s="4" t="s">
        <v>263</v>
      </c>
      <c r="C305" s="13" t="s">
        <v>113</v>
      </c>
      <c r="D305" s="13">
        <f t="shared" si="95"/>
        <v>1</v>
      </c>
      <c r="E305" s="13">
        <f t="shared" si="96"/>
        <v>0</v>
      </c>
      <c r="G305" s="34"/>
      <c r="H305" s="34"/>
      <c r="I305" s="34"/>
    </row>
    <row r="306" spans="1:9" ht="12" customHeight="1" x14ac:dyDescent="0.15">
      <c r="A306" s="1">
        <v>5</v>
      </c>
      <c r="B306" s="1" t="s">
        <v>259</v>
      </c>
      <c r="C306" s="13" t="s">
        <v>113</v>
      </c>
      <c r="D306" s="13">
        <f t="shared" si="95"/>
        <v>1</v>
      </c>
      <c r="E306" s="13">
        <f t="shared" ref="E306" si="97">IF(C306="H",1,0)</f>
        <v>0</v>
      </c>
      <c r="G306" s="34"/>
      <c r="H306" s="34"/>
      <c r="I306" s="34"/>
    </row>
    <row r="307" spans="1:9" ht="12" customHeight="1" x14ac:dyDescent="0.15">
      <c r="A307" s="1">
        <v>6</v>
      </c>
      <c r="B307" s="4" t="s">
        <v>56</v>
      </c>
      <c r="C307" s="13" t="s">
        <v>113</v>
      </c>
      <c r="D307" s="13">
        <f t="shared" si="95"/>
        <v>1</v>
      </c>
      <c r="E307" s="13">
        <f t="shared" si="96"/>
        <v>0</v>
      </c>
      <c r="G307" s="34"/>
      <c r="H307" s="34"/>
      <c r="I307" s="34"/>
    </row>
    <row r="308" spans="1:9" ht="12" customHeight="1" x14ac:dyDescent="0.15">
      <c r="A308" s="1">
        <v>7</v>
      </c>
      <c r="B308" s="4" t="s">
        <v>44</v>
      </c>
      <c r="C308" s="13" t="s">
        <v>113</v>
      </c>
      <c r="D308" s="13">
        <f t="shared" si="95"/>
        <v>1</v>
      </c>
      <c r="E308" s="13">
        <f t="shared" si="96"/>
        <v>0</v>
      </c>
      <c r="G308" s="34"/>
      <c r="H308" s="34"/>
      <c r="I308" s="34"/>
    </row>
    <row r="309" spans="1:9" ht="12" customHeight="1" thickBot="1" x14ac:dyDescent="0.2">
      <c r="A309" s="1">
        <v>8</v>
      </c>
      <c r="B309" s="4" t="s">
        <v>264</v>
      </c>
      <c r="C309" s="13" t="s">
        <v>113</v>
      </c>
      <c r="D309" s="13">
        <f t="shared" si="95"/>
        <v>1</v>
      </c>
      <c r="E309" s="13">
        <f t="shared" si="96"/>
        <v>0</v>
      </c>
      <c r="G309" s="34"/>
      <c r="H309" s="34"/>
      <c r="I309" s="34"/>
    </row>
    <row r="310" spans="1:9" ht="14" thickBot="1" x14ac:dyDescent="0.2">
      <c r="B310" s="21" t="s">
        <v>16</v>
      </c>
      <c r="C310" s="9">
        <f>SUM(D302:D309)</f>
        <v>8</v>
      </c>
      <c r="D310" s="9">
        <f>SUM(D302:E309)</f>
        <v>8</v>
      </c>
      <c r="E310" s="10">
        <f>IFERROR(C310/D310,0)</f>
        <v>1</v>
      </c>
      <c r="G310" s="8"/>
      <c r="H310" s="8"/>
      <c r="I310" s="8"/>
    </row>
    <row r="311" spans="1:9" x14ac:dyDescent="0.2">
      <c r="B311" s="3" t="s">
        <v>45</v>
      </c>
      <c r="C311" s="6" t="s">
        <v>12</v>
      </c>
      <c r="D311" s="6" t="s">
        <v>15</v>
      </c>
      <c r="E311" s="6" t="s">
        <v>13</v>
      </c>
      <c r="F311" s="6"/>
      <c r="G311" s="32" t="s">
        <v>14</v>
      </c>
      <c r="H311" s="32"/>
      <c r="I311" s="32"/>
    </row>
    <row r="312" spans="1:9" ht="12" customHeight="1" x14ac:dyDescent="0.15">
      <c r="A312" s="1">
        <v>1</v>
      </c>
      <c r="B312" s="4" t="s">
        <v>265</v>
      </c>
      <c r="C312" s="13" t="s">
        <v>113</v>
      </c>
      <c r="D312" s="13">
        <f t="shared" ref="D312:D319" si="98">IF(C312="E",1,0)</f>
        <v>1</v>
      </c>
      <c r="E312" s="13">
        <f t="shared" ref="E312:E319" si="99">IF(C312="H",1,0)</f>
        <v>0</v>
      </c>
      <c r="G312" s="34"/>
      <c r="H312" s="34"/>
      <c r="I312" s="34"/>
    </row>
    <row r="313" spans="1:9" ht="12" customHeight="1" x14ac:dyDescent="0.15">
      <c r="A313" s="1">
        <v>2</v>
      </c>
      <c r="B313" s="4" t="s">
        <v>266</v>
      </c>
      <c r="C313" s="13" t="s">
        <v>113</v>
      </c>
      <c r="D313" s="13">
        <f t="shared" si="98"/>
        <v>1</v>
      </c>
      <c r="E313" s="13">
        <f t="shared" si="99"/>
        <v>0</v>
      </c>
      <c r="G313" s="34"/>
      <c r="H313" s="34"/>
      <c r="I313" s="34"/>
    </row>
    <row r="314" spans="1:9" ht="12" customHeight="1" x14ac:dyDescent="0.15">
      <c r="A314" s="1">
        <v>3</v>
      </c>
      <c r="B314" s="4" t="s">
        <v>267</v>
      </c>
      <c r="C314" s="13" t="s">
        <v>113</v>
      </c>
      <c r="D314" s="13">
        <f t="shared" si="98"/>
        <v>1</v>
      </c>
      <c r="E314" s="13">
        <f t="shared" si="99"/>
        <v>0</v>
      </c>
      <c r="G314" s="34"/>
      <c r="H314" s="34"/>
      <c r="I314" s="34"/>
    </row>
    <row r="315" spans="1:9" ht="12" customHeight="1" x14ac:dyDescent="0.15">
      <c r="A315" s="1">
        <v>4</v>
      </c>
      <c r="B315" s="4" t="s">
        <v>57</v>
      </c>
      <c r="C315" s="13" t="s">
        <v>113</v>
      </c>
      <c r="D315" s="13">
        <f t="shared" si="98"/>
        <v>1</v>
      </c>
      <c r="E315" s="13">
        <f t="shared" si="99"/>
        <v>0</v>
      </c>
      <c r="G315" s="34"/>
      <c r="H315" s="34"/>
      <c r="I315" s="34"/>
    </row>
    <row r="316" spans="1:9" ht="12" customHeight="1" x14ac:dyDescent="0.15">
      <c r="A316" s="1">
        <v>5</v>
      </c>
      <c r="B316" s="4" t="s">
        <v>172</v>
      </c>
      <c r="C316" s="13" t="s">
        <v>113</v>
      </c>
      <c r="D316" s="13">
        <f t="shared" si="98"/>
        <v>1</v>
      </c>
      <c r="E316" s="13">
        <f t="shared" si="99"/>
        <v>0</v>
      </c>
      <c r="G316" s="34"/>
      <c r="H316" s="34"/>
      <c r="I316" s="34"/>
    </row>
    <row r="317" spans="1:9" ht="12" customHeight="1" x14ac:dyDescent="0.15">
      <c r="A317" s="13">
        <v>6</v>
      </c>
      <c r="B317" s="4" t="s">
        <v>58</v>
      </c>
      <c r="C317" s="13" t="s">
        <v>113</v>
      </c>
      <c r="D317" s="13">
        <f t="shared" si="98"/>
        <v>1</v>
      </c>
      <c r="E317" s="13">
        <f t="shared" si="99"/>
        <v>0</v>
      </c>
      <c r="G317" s="34"/>
      <c r="H317" s="34"/>
      <c r="I317" s="34"/>
    </row>
    <row r="318" spans="1:9" ht="12" customHeight="1" x14ac:dyDescent="0.15">
      <c r="A318" s="13">
        <v>7</v>
      </c>
      <c r="B318" s="4" t="s">
        <v>46</v>
      </c>
      <c r="C318" s="13" t="s">
        <v>113</v>
      </c>
      <c r="D318" s="13">
        <f t="shared" si="98"/>
        <v>1</v>
      </c>
      <c r="E318" s="13">
        <f t="shared" si="99"/>
        <v>0</v>
      </c>
      <c r="G318" s="34"/>
      <c r="H318" s="34"/>
      <c r="I318" s="34"/>
    </row>
    <row r="319" spans="1:9" ht="12" customHeight="1" thickBot="1" x14ac:dyDescent="0.2">
      <c r="A319" s="1">
        <v>8</v>
      </c>
      <c r="B319" s="4" t="s">
        <v>47</v>
      </c>
      <c r="C319" s="13" t="s">
        <v>113</v>
      </c>
      <c r="D319" s="13">
        <f t="shared" si="98"/>
        <v>1</v>
      </c>
      <c r="E319" s="13">
        <f t="shared" si="99"/>
        <v>0</v>
      </c>
      <c r="G319" s="34"/>
      <c r="H319" s="34"/>
      <c r="I319" s="34"/>
    </row>
    <row r="320" spans="1:9" ht="14" thickBot="1" x14ac:dyDescent="0.2">
      <c r="B320" s="21" t="s">
        <v>16</v>
      </c>
      <c r="C320" s="9">
        <f>SUM(D312:D319)</f>
        <v>8</v>
      </c>
      <c r="D320" s="9">
        <f>SUM(D312:E319)</f>
        <v>8</v>
      </c>
      <c r="E320" s="10">
        <f>IFERROR(C320/D320,0)</f>
        <v>1</v>
      </c>
      <c r="G320" s="8"/>
      <c r="H320" s="8"/>
      <c r="I320" s="8"/>
    </row>
    <row r="321" spans="1:9" x14ac:dyDescent="0.2">
      <c r="B321" s="18" t="s">
        <v>126</v>
      </c>
      <c r="C321" s="6" t="s">
        <v>12</v>
      </c>
      <c r="D321" s="6" t="s">
        <v>15</v>
      </c>
      <c r="E321" s="6" t="s">
        <v>13</v>
      </c>
      <c r="F321" s="6"/>
      <c r="G321" s="32" t="s">
        <v>14</v>
      </c>
      <c r="H321" s="32"/>
      <c r="I321" s="32"/>
    </row>
    <row r="322" spans="1:9" ht="12" customHeight="1" x14ac:dyDescent="0.15">
      <c r="A322" s="1">
        <v>1</v>
      </c>
      <c r="B322" s="1" t="s">
        <v>59</v>
      </c>
      <c r="C322" s="13" t="s">
        <v>113</v>
      </c>
      <c r="D322" s="13">
        <f t="shared" ref="D322:D328" si="100">IF(C322="E",1,0)</f>
        <v>1</v>
      </c>
      <c r="E322" s="13">
        <f t="shared" ref="E322:E328" si="101">IF(C322="H",1,0)</f>
        <v>0</v>
      </c>
      <c r="G322" s="34"/>
      <c r="H322" s="34"/>
      <c r="I322" s="34"/>
    </row>
    <row r="323" spans="1:9" ht="12" customHeight="1" x14ac:dyDescent="0.15">
      <c r="A323" s="1">
        <v>2</v>
      </c>
      <c r="B323" s="1" t="s">
        <v>60</v>
      </c>
      <c r="C323" s="13" t="s">
        <v>113</v>
      </c>
      <c r="D323" s="13">
        <f t="shared" si="100"/>
        <v>1</v>
      </c>
      <c r="E323" s="13">
        <f t="shared" si="101"/>
        <v>0</v>
      </c>
      <c r="G323" s="34"/>
      <c r="H323" s="34"/>
      <c r="I323" s="34"/>
    </row>
    <row r="324" spans="1:9" ht="12" customHeight="1" x14ac:dyDescent="0.15">
      <c r="A324" s="1">
        <v>3</v>
      </c>
      <c r="B324" s="1" t="s">
        <v>61</v>
      </c>
      <c r="C324" s="13" t="s">
        <v>113</v>
      </c>
      <c r="D324" s="13">
        <f t="shared" si="100"/>
        <v>1</v>
      </c>
      <c r="E324" s="13">
        <f t="shared" si="101"/>
        <v>0</v>
      </c>
      <c r="G324" s="34"/>
      <c r="H324" s="34"/>
      <c r="I324" s="34"/>
    </row>
    <row r="325" spans="1:9" ht="12" customHeight="1" x14ac:dyDescent="0.15">
      <c r="A325" s="1">
        <v>4</v>
      </c>
      <c r="B325" s="1" t="s">
        <v>62</v>
      </c>
      <c r="C325" s="13" t="s">
        <v>113</v>
      </c>
      <c r="D325" s="13">
        <f t="shared" si="100"/>
        <v>1</v>
      </c>
      <c r="E325" s="13">
        <f t="shared" si="101"/>
        <v>0</v>
      </c>
      <c r="G325" s="34"/>
      <c r="H325" s="34"/>
      <c r="I325" s="34"/>
    </row>
    <row r="326" spans="1:9" ht="12" customHeight="1" x14ac:dyDescent="0.15">
      <c r="A326" s="1">
        <v>5</v>
      </c>
      <c r="B326" s="1" t="s">
        <v>63</v>
      </c>
      <c r="C326" s="13" t="s">
        <v>113</v>
      </c>
      <c r="D326" s="13">
        <f t="shared" si="100"/>
        <v>1</v>
      </c>
      <c r="E326" s="13">
        <f t="shared" si="101"/>
        <v>0</v>
      </c>
      <c r="G326" s="34"/>
      <c r="H326" s="34"/>
      <c r="I326" s="34"/>
    </row>
    <row r="327" spans="1:9" ht="12" customHeight="1" x14ac:dyDescent="0.15">
      <c r="A327" s="1">
        <v>6</v>
      </c>
      <c r="B327" s="1" t="s">
        <v>124</v>
      </c>
      <c r="C327" s="13" t="s">
        <v>113</v>
      </c>
      <c r="D327" s="13">
        <f t="shared" si="100"/>
        <v>1</v>
      </c>
      <c r="E327" s="13">
        <f t="shared" si="101"/>
        <v>0</v>
      </c>
      <c r="G327" s="34"/>
      <c r="H327" s="34"/>
      <c r="I327" s="34"/>
    </row>
    <row r="328" spans="1:9" ht="12" customHeight="1" x14ac:dyDescent="0.15">
      <c r="A328" s="1">
        <v>7</v>
      </c>
      <c r="B328" s="1" t="s">
        <v>268</v>
      </c>
      <c r="C328" s="13" t="s">
        <v>113</v>
      </c>
      <c r="D328" s="13">
        <f t="shared" si="100"/>
        <v>1</v>
      </c>
      <c r="E328" s="13">
        <f t="shared" si="101"/>
        <v>0</v>
      </c>
      <c r="G328" s="34"/>
      <c r="H328" s="34"/>
      <c r="I328" s="34"/>
    </row>
    <row r="329" spans="1:9" ht="12" customHeight="1" thickBot="1" x14ac:dyDescent="0.2">
      <c r="A329" s="1">
        <v>8</v>
      </c>
      <c r="B329" s="28" t="s">
        <v>164</v>
      </c>
      <c r="C329" s="13" t="s">
        <v>113</v>
      </c>
      <c r="D329" s="13">
        <f t="shared" ref="D329" si="102">IF(C329="E",1,0)</f>
        <v>1</v>
      </c>
      <c r="E329" s="13">
        <f t="shared" ref="E329" si="103">IF(C329="H",1,0)</f>
        <v>0</v>
      </c>
      <c r="G329" s="34"/>
      <c r="H329" s="34"/>
      <c r="I329" s="34"/>
    </row>
    <row r="330" spans="1:9" ht="14" thickBot="1" x14ac:dyDescent="0.25">
      <c r="B330" s="21" t="s">
        <v>16</v>
      </c>
      <c r="C330" s="9">
        <f>SUM(D322:D329)</f>
        <v>8</v>
      </c>
      <c r="D330" s="9">
        <f>SUM(D322:E329)</f>
        <v>8</v>
      </c>
      <c r="E330" s="10">
        <f>IFERROR(C330/D330,0)</f>
        <v>1</v>
      </c>
      <c r="G330" s="11"/>
      <c r="H330" s="11"/>
      <c r="I330" s="11"/>
    </row>
    <row r="331" spans="1:9" x14ac:dyDescent="0.2">
      <c r="B331" s="18" t="s">
        <v>292</v>
      </c>
      <c r="C331" s="6" t="s">
        <v>12</v>
      </c>
      <c r="D331" s="6" t="s">
        <v>15</v>
      </c>
      <c r="E331" s="6" t="s">
        <v>13</v>
      </c>
      <c r="F331" s="6"/>
      <c r="G331" s="32" t="s">
        <v>14</v>
      </c>
      <c r="H331" s="32"/>
      <c r="I331" s="32"/>
    </row>
    <row r="332" spans="1:9" ht="12" customHeight="1" x14ac:dyDescent="0.15">
      <c r="A332" s="1">
        <v>1</v>
      </c>
      <c r="B332" s="1" t="s">
        <v>59</v>
      </c>
      <c r="C332" s="13" t="s">
        <v>113</v>
      </c>
      <c r="D332" s="13">
        <f t="shared" ref="D332:D340" si="104">IF(C332="E",1,0)</f>
        <v>1</v>
      </c>
      <c r="E332" s="13">
        <f t="shared" ref="E332:E340" si="105">IF(C332="H",1,0)</f>
        <v>0</v>
      </c>
      <c r="G332" s="34"/>
      <c r="H332" s="34"/>
      <c r="I332" s="34"/>
    </row>
    <row r="333" spans="1:9" ht="12" customHeight="1" x14ac:dyDescent="0.15">
      <c r="A333" s="1">
        <v>2</v>
      </c>
      <c r="B333" s="1" t="s">
        <v>60</v>
      </c>
      <c r="C333" s="13" t="s">
        <v>113</v>
      </c>
      <c r="D333" s="13">
        <f t="shared" si="104"/>
        <v>1</v>
      </c>
      <c r="E333" s="13">
        <f t="shared" si="105"/>
        <v>0</v>
      </c>
      <c r="G333" s="34"/>
      <c r="H333" s="34"/>
      <c r="I333" s="34"/>
    </row>
    <row r="334" spans="1:9" ht="12" customHeight="1" x14ac:dyDescent="0.15">
      <c r="A334" s="1">
        <v>3</v>
      </c>
      <c r="B334" s="1" t="s">
        <v>61</v>
      </c>
      <c r="C334" s="13" t="s">
        <v>113</v>
      </c>
      <c r="D334" s="13">
        <f t="shared" si="104"/>
        <v>1</v>
      </c>
      <c r="E334" s="13">
        <f t="shared" si="105"/>
        <v>0</v>
      </c>
      <c r="G334" s="34"/>
      <c r="H334" s="34"/>
      <c r="I334" s="34"/>
    </row>
    <row r="335" spans="1:9" ht="12" customHeight="1" x14ac:dyDescent="0.15">
      <c r="A335" s="1">
        <v>4</v>
      </c>
      <c r="B335" s="1" t="s">
        <v>62</v>
      </c>
      <c r="C335" s="13" t="s">
        <v>113</v>
      </c>
      <c r="D335" s="13">
        <f t="shared" si="104"/>
        <v>1</v>
      </c>
      <c r="E335" s="13">
        <f t="shared" si="105"/>
        <v>0</v>
      </c>
      <c r="G335" s="34"/>
      <c r="H335" s="34"/>
      <c r="I335" s="34"/>
    </row>
    <row r="336" spans="1:9" ht="12" customHeight="1" x14ac:dyDescent="0.15">
      <c r="A336" s="1">
        <v>5</v>
      </c>
      <c r="B336" s="1" t="s">
        <v>63</v>
      </c>
      <c r="C336" s="13" t="s">
        <v>113</v>
      </c>
      <c r="D336" s="13">
        <f t="shared" si="104"/>
        <v>1</v>
      </c>
      <c r="E336" s="13">
        <f t="shared" si="105"/>
        <v>0</v>
      </c>
      <c r="G336" s="34"/>
      <c r="H336" s="34"/>
      <c r="I336" s="34"/>
    </row>
    <row r="337" spans="1:9" ht="12" customHeight="1" x14ac:dyDescent="0.15">
      <c r="A337" s="1">
        <v>6</v>
      </c>
      <c r="B337" s="1" t="s">
        <v>124</v>
      </c>
      <c r="C337" s="13" t="s">
        <v>113</v>
      </c>
      <c r="D337" s="13">
        <f t="shared" si="104"/>
        <v>1</v>
      </c>
      <c r="E337" s="13">
        <f t="shared" si="105"/>
        <v>0</v>
      </c>
      <c r="G337" s="34"/>
      <c r="H337" s="34"/>
      <c r="I337" s="34"/>
    </row>
    <row r="338" spans="1:9" ht="12" customHeight="1" x14ac:dyDescent="0.15">
      <c r="A338" s="1">
        <v>7</v>
      </c>
      <c r="B338" s="1" t="s">
        <v>293</v>
      </c>
      <c r="C338" s="13" t="s">
        <v>113</v>
      </c>
      <c r="D338" s="13">
        <f t="shared" si="104"/>
        <v>1</v>
      </c>
      <c r="E338" s="13">
        <f t="shared" si="105"/>
        <v>0</v>
      </c>
      <c r="G338" s="34"/>
      <c r="H338" s="34"/>
      <c r="I338" s="34"/>
    </row>
    <row r="339" spans="1:9" ht="12" customHeight="1" x14ac:dyDescent="0.15">
      <c r="A339" s="1">
        <v>8</v>
      </c>
      <c r="B339" s="1" t="s">
        <v>294</v>
      </c>
      <c r="C339" s="13" t="s">
        <v>113</v>
      </c>
      <c r="D339" s="13">
        <f t="shared" ref="D339" si="106">IF(C339="E",1,0)</f>
        <v>1</v>
      </c>
      <c r="E339" s="13">
        <f t="shared" ref="E339" si="107">IF(C339="H",1,0)</f>
        <v>0</v>
      </c>
      <c r="G339" s="26"/>
      <c r="H339" s="26"/>
      <c r="I339" s="26"/>
    </row>
    <row r="340" spans="1:9" ht="12" customHeight="1" thickBot="1" x14ac:dyDescent="0.2">
      <c r="A340" s="1">
        <v>9</v>
      </c>
      <c r="B340" s="28" t="s">
        <v>164</v>
      </c>
      <c r="C340" s="13" t="s">
        <v>113</v>
      </c>
      <c r="D340" s="13">
        <f t="shared" si="104"/>
        <v>1</v>
      </c>
      <c r="E340" s="13">
        <f t="shared" si="105"/>
        <v>0</v>
      </c>
      <c r="G340" s="34"/>
      <c r="H340" s="34"/>
      <c r="I340" s="34"/>
    </row>
    <row r="341" spans="1:9" ht="14" thickBot="1" x14ac:dyDescent="0.25">
      <c r="B341" s="21" t="s">
        <v>16</v>
      </c>
      <c r="C341" s="9">
        <f>SUM(D332:D340)</f>
        <v>9</v>
      </c>
      <c r="D341" s="9">
        <f>SUM(D332:E340)</f>
        <v>9</v>
      </c>
      <c r="E341" s="10">
        <f>IFERROR(C341/D341,0)</f>
        <v>1</v>
      </c>
      <c r="G341" s="11"/>
      <c r="H341" s="11"/>
      <c r="I341" s="11"/>
    </row>
    <row r="342" spans="1:9" x14ac:dyDescent="0.2">
      <c r="B342" s="18" t="s">
        <v>133</v>
      </c>
      <c r="C342" s="6" t="s">
        <v>12</v>
      </c>
      <c r="D342" s="6" t="s">
        <v>15</v>
      </c>
      <c r="E342" s="6" t="s">
        <v>13</v>
      </c>
      <c r="F342" s="6"/>
      <c r="G342" s="32" t="s">
        <v>14</v>
      </c>
      <c r="H342" s="32"/>
      <c r="I342" s="32"/>
    </row>
    <row r="343" spans="1:9" ht="12" customHeight="1" x14ac:dyDescent="0.15">
      <c r="A343" s="1">
        <v>1</v>
      </c>
      <c r="B343" s="25" t="s">
        <v>269</v>
      </c>
      <c r="C343" s="13" t="s">
        <v>113</v>
      </c>
      <c r="D343" s="13">
        <f t="shared" ref="D343:D347" si="108">IF(C343="E",1,0)</f>
        <v>1</v>
      </c>
      <c r="E343" s="13">
        <f t="shared" ref="E343:E347" si="109">IF(C343="H",1,0)</f>
        <v>0</v>
      </c>
      <c r="G343" s="34"/>
      <c r="H343" s="34"/>
      <c r="I343" s="34"/>
    </row>
    <row r="344" spans="1:9" ht="12" customHeight="1" x14ac:dyDescent="0.15">
      <c r="A344" s="1">
        <v>2</v>
      </c>
      <c r="B344" s="25" t="s">
        <v>134</v>
      </c>
      <c r="C344" s="13" t="s">
        <v>113</v>
      </c>
      <c r="D344" s="13">
        <f t="shared" si="108"/>
        <v>1</v>
      </c>
      <c r="E344" s="13">
        <f t="shared" si="109"/>
        <v>0</v>
      </c>
      <c r="G344" s="34"/>
      <c r="H344" s="34"/>
      <c r="I344" s="34"/>
    </row>
    <row r="345" spans="1:9" ht="12" customHeight="1" x14ac:dyDescent="0.15">
      <c r="A345" s="1">
        <v>3</v>
      </c>
      <c r="B345" s="25" t="s">
        <v>270</v>
      </c>
      <c r="C345" s="13" t="s">
        <v>113</v>
      </c>
      <c r="D345" s="13">
        <f t="shared" si="108"/>
        <v>1</v>
      </c>
      <c r="E345" s="13">
        <f t="shared" si="109"/>
        <v>0</v>
      </c>
      <c r="G345" s="34"/>
      <c r="H345" s="34"/>
      <c r="I345" s="34"/>
    </row>
    <row r="346" spans="1:9" ht="12" customHeight="1" x14ac:dyDescent="0.15">
      <c r="A346" s="1">
        <v>4</v>
      </c>
      <c r="B346" s="25" t="s">
        <v>135</v>
      </c>
      <c r="C346" s="13" t="s">
        <v>113</v>
      </c>
      <c r="D346" s="13">
        <f t="shared" si="108"/>
        <v>1</v>
      </c>
      <c r="E346" s="13">
        <f t="shared" si="109"/>
        <v>0</v>
      </c>
      <c r="G346" s="34"/>
      <c r="H346" s="34"/>
      <c r="I346" s="34"/>
    </row>
    <row r="347" spans="1:9" ht="12" customHeight="1" thickBot="1" x14ac:dyDescent="0.2">
      <c r="A347" s="1">
        <v>5</v>
      </c>
      <c r="B347" s="4" t="s">
        <v>56</v>
      </c>
      <c r="C347" s="13" t="s">
        <v>113</v>
      </c>
      <c r="D347" s="13">
        <f t="shared" si="108"/>
        <v>1</v>
      </c>
      <c r="E347" s="13">
        <f t="shared" si="109"/>
        <v>0</v>
      </c>
      <c r="G347" s="34"/>
      <c r="H347" s="34"/>
      <c r="I347" s="34"/>
    </row>
    <row r="348" spans="1:9" ht="14" thickBot="1" x14ac:dyDescent="0.25">
      <c r="B348" s="21" t="s">
        <v>16</v>
      </c>
      <c r="C348" s="9">
        <f>SUM(D343:D347)</f>
        <v>5</v>
      </c>
      <c r="D348" s="9">
        <f>SUM(D343:E347)</f>
        <v>5</v>
      </c>
      <c r="E348" s="10">
        <f>IFERROR(C348/D348,0)</f>
        <v>1</v>
      </c>
      <c r="G348" s="11"/>
      <c r="H348" s="11"/>
      <c r="I348" s="11"/>
    </row>
    <row r="349" spans="1:9" x14ac:dyDescent="0.2">
      <c r="B349" s="18" t="s">
        <v>127</v>
      </c>
      <c r="C349" s="6" t="s">
        <v>12</v>
      </c>
      <c r="D349" s="6" t="s">
        <v>15</v>
      </c>
      <c r="E349" s="6" t="s">
        <v>13</v>
      </c>
      <c r="F349" s="6"/>
      <c r="G349" s="32" t="s">
        <v>14</v>
      </c>
      <c r="H349" s="32"/>
      <c r="I349" s="32"/>
    </row>
    <row r="350" spans="1:9" ht="12" customHeight="1" x14ac:dyDescent="0.15">
      <c r="A350" s="1">
        <v>1</v>
      </c>
      <c r="B350" s="11" t="s">
        <v>35</v>
      </c>
      <c r="C350" s="13" t="s">
        <v>113</v>
      </c>
      <c r="D350" s="13">
        <f t="shared" ref="D350:D355" si="110">IF(C350="E",1,0)</f>
        <v>1</v>
      </c>
      <c r="E350" s="13">
        <f t="shared" ref="E350:E355" si="111">IF(C350="H",1,0)</f>
        <v>0</v>
      </c>
      <c r="G350" s="34"/>
      <c r="H350" s="34"/>
      <c r="I350" s="34"/>
    </row>
    <row r="351" spans="1:9" ht="12" customHeight="1" x14ac:dyDescent="0.15">
      <c r="A351" s="1">
        <v>2</v>
      </c>
      <c r="B351" s="11" t="s">
        <v>121</v>
      </c>
      <c r="C351" s="13" t="s">
        <v>113</v>
      </c>
      <c r="D351" s="13">
        <f t="shared" si="110"/>
        <v>1</v>
      </c>
      <c r="E351" s="13">
        <f t="shared" si="111"/>
        <v>0</v>
      </c>
      <c r="G351" s="34"/>
      <c r="H351" s="34"/>
      <c r="I351" s="34"/>
    </row>
    <row r="352" spans="1:9" ht="12" customHeight="1" x14ac:dyDescent="0.15">
      <c r="A352" s="1">
        <v>3</v>
      </c>
      <c r="B352" s="11" t="s">
        <v>129</v>
      </c>
      <c r="C352" s="13" t="s">
        <v>113</v>
      </c>
      <c r="D352" s="13">
        <f t="shared" si="110"/>
        <v>1</v>
      </c>
      <c r="E352" s="13">
        <f t="shared" si="111"/>
        <v>0</v>
      </c>
      <c r="G352" s="34"/>
      <c r="H352" s="34"/>
      <c r="I352" s="34"/>
    </row>
    <row r="353" spans="1:9" ht="12" customHeight="1" x14ac:dyDescent="0.15">
      <c r="A353" s="1">
        <v>4</v>
      </c>
      <c r="B353" s="25" t="s">
        <v>138</v>
      </c>
      <c r="C353" s="13" t="s">
        <v>113</v>
      </c>
      <c r="D353" s="13">
        <f t="shared" si="110"/>
        <v>1</v>
      </c>
      <c r="E353" s="13">
        <f t="shared" si="111"/>
        <v>0</v>
      </c>
      <c r="G353" s="34"/>
      <c r="H353" s="34"/>
      <c r="I353" s="34"/>
    </row>
    <row r="354" spans="1:9" ht="12" customHeight="1" x14ac:dyDescent="0.15">
      <c r="A354" s="1">
        <v>5</v>
      </c>
      <c r="B354" s="25" t="s">
        <v>128</v>
      </c>
      <c r="C354" s="13" t="s">
        <v>113</v>
      </c>
      <c r="D354" s="13">
        <f t="shared" si="110"/>
        <v>1</v>
      </c>
      <c r="E354" s="13">
        <f t="shared" si="111"/>
        <v>0</v>
      </c>
      <c r="G354" s="34"/>
      <c r="H354" s="34"/>
      <c r="I354" s="34"/>
    </row>
    <row r="355" spans="1:9" ht="12" customHeight="1" thickBot="1" x14ac:dyDescent="0.2">
      <c r="A355" s="1">
        <v>6</v>
      </c>
      <c r="B355" s="28" t="s">
        <v>164</v>
      </c>
      <c r="C355" s="13" t="s">
        <v>113</v>
      </c>
      <c r="D355" s="13">
        <f t="shared" si="110"/>
        <v>1</v>
      </c>
      <c r="E355" s="13">
        <f t="shared" si="111"/>
        <v>0</v>
      </c>
      <c r="G355" s="34"/>
      <c r="H355" s="34"/>
      <c r="I355" s="34"/>
    </row>
    <row r="356" spans="1:9" ht="14" thickBot="1" x14ac:dyDescent="0.25">
      <c r="B356" s="21" t="s">
        <v>16</v>
      </c>
      <c r="C356" s="9">
        <f>SUM(D350:D355)</f>
        <v>6</v>
      </c>
      <c r="D356" s="9">
        <f>SUM(D350:E355)</f>
        <v>6</v>
      </c>
      <c r="E356" s="10">
        <f>IFERROR(C356/D356,0)</f>
        <v>1</v>
      </c>
      <c r="G356" s="11"/>
      <c r="H356" s="11"/>
      <c r="I356" s="11"/>
    </row>
    <row r="357" spans="1:9" x14ac:dyDescent="0.2">
      <c r="B357" s="18" t="s">
        <v>130</v>
      </c>
      <c r="C357" s="6" t="s">
        <v>12</v>
      </c>
      <c r="D357" s="6" t="s">
        <v>15</v>
      </c>
      <c r="E357" s="6" t="s">
        <v>13</v>
      </c>
      <c r="F357" s="6"/>
      <c r="G357" s="32" t="s">
        <v>14</v>
      </c>
      <c r="H357" s="32"/>
      <c r="I357" s="32"/>
    </row>
    <row r="358" spans="1:9" ht="12" customHeight="1" x14ac:dyDescent="0.15">
      <c r="A358" s="1">
        <v>1</v>
      </c>
      <c r="B358" s="11" t="s">
        <v>35</v>
      </c>
      <c r="C358" s="13" t="s">
        <v>113</v>
      </c>
      <c r="D358" s="13">
        <f t="shared" ref="D358:D367" si="112">IF(C358="E",1,0)</f>
        <v>1</v>
      </c>
      <c r="E358" s="13">
        <f t="shared" ref="E358:E367" si="113">IF(C358="H",1,0)</f>
        <v>0</v>
      </c>
      <c r="G358" s="34"/>
      <c r="H358" s="34"/>
      <c r="I358" s="34"/>
    </row>
    <row r="359" spans="1:9" ht="12" customHeight="1" x14ac:dyDescent="0.15">
      <c r="A359" s="1">
        <v>2</v>
      </c>
      <c r="B359" s="25" t="s">
        <v>155</v>
      </c>
      <c r="C359" s="13" t="s">
        <v>113</v>
      </c>
      <c r="D359" s="13">
        <f t="shared" si="112"/>
        <v>1</v>
      </c>
      <c r="E359" s="13">
        <f t="shared" si="113"/>
        <v>0</v>
      </c>
      <c r="G359" s="34"/>
      <c r="H359" s="34"/>
      <c r="I359" s="34"/>
    </row>
    <row r="360" spans="1:9" ht="12" customHeight="1" x14ac:dyDescent="0.15">
      <c r="A360" s="1">
        <v>3</v>
      </c>
      <c r="B360" s="25" t="s">
        <v>137</v>
      </c>
      <c r="C360" s="13" t="s">
        <v>113</v>
      </c>
      <c r="D360" s="13">
        <f t="shared" si="112"/>
        <v>1</v>
      </c>
      <c r="E360" s="13">
        <f t="shared" si="113"/>
        <v>0</v>
      </c>
      <c r="G360" s="34"/>
      <c r="H360" s="34"/>
      <c r="I360" s="34"/>
    </row>
    <row r="361" spans="1:9" ht="12" customHeight="1" x14ac:dyDescent="0.15">
      <c r="A361" s="1">
        <v>4</v>
      </c>
      <c r="B361" s="25" t="s">
        <v>136</v>
      </c>
      <c r="C361" s="13" t="s">
        <v>113</v>
      </c>
      <c r="D361" s="13">
        <f t="shared" si="112"/>
        <v>1</v>
      </c>
      <c r="E361" s="13">
        <f t="shared" si="113"/>
        <v>0</v>
      </c>
      <c r="G361" s="34"/>
      <c r="H361" s="34"/>
      <c r="I361" s="34"/>
    </row>
    <row r="362" spans="1:9" ht="12" customHeight="1" x14ac:dyDescent="0.15">
      <c r="A362" s="1">
        <v>5</v>
      </c>
      <c r="B362" s="25" t="s">
        <v>173</v>
      </c>
      <c r="C362" s="13" t="s">
        <v>113</v>
      </c>
      <c r="D362" s="13">
        <f t="shared" ref="D362" si="114">IF(C362="E",1,0)</f>
        <v>1</v>
      </c>
      <c r="E362" s="13">
        <f t="shared" ref="E362" si="115">IF(C362="H",1,0)</f>
        <v>0</v>
      </c>
      <c r="G362" s="34"/>
      <c r="H362" s="34"/>
      <c r="I362" s="34"/>
    </row>
    <row r="363" spans="1:9" ht="12" customHeight="1" x14ac:dyDescent="0.15">
      <c r="A363" s="1">
        <v>6</v>
      </c>
      <c r="B363" s="11" t="s">
        <v>62</v>
      </c>
      <c r="C363" s="13" t="s">
        <v>113</v>
      </c>
      <c r="D363" s="13">
        <f t="shared" si="112"/>
        <v>1</v>
      </c>
      <c r="E363" s="13">
        <f t="shared" si="113"/>
        <v>0</v>
      </c>
      <c r="G363" s="34"/>
      <c r="H363" s="34"/>
      <c r="I363" s="34"/>
    </row>
    <row r="364" spans="1:9" ht="12" customHeight="1" x14ac:dyDescent="0.15">
      <c r="A364" s="1">
        <v>7</v>
      </c>
      <c r="B364" s="11" t="s">
        <v>63</v>
      </c>
      <c r="C364" s="13" t="s">
        <v>113</v>
      </c>
      <c r="D364" s="13">
        <f t="shared" si="112"/>
        <v>1</v>
      </c>
      <c r="E364" s="13">
        <f t="shared" si="113"/>
        <v>0</v>
      </c>
      <c r="G364" s="34"/>
      <c r="H364" s="34"/>
      <c r="I364" s="34"/>
    </row>
    <row r="365" spans="1:9" ht="12" customHeight="1" x14ac:dyDescent="0.15">
      <c r="A365" s="1">
        <v>8</v>
      </c>
      <c r="B365" s="11" t="s">
        <v>271</v>
      </c>
      <c r="C365" s="13" t="s">
        <v>113</v>
      </c>
      <c r="D365" s="13">
        <f t="shared" si="112"/>
        <v>1</v>
      </c>
      <c r="E365" s="13">
        <f t="shared" si="113"/>
        <v>0</v>
      </c>
      <c r="G365" s="34"/>
      <c r="H365" s="34"/>
      <c r="I365" s="34"/>
    </row>
    <row r="366" spans="1:9" ht="12" customHeight="1" x14ac:dyDescent="0.15">
      <c r="A366" s="1">
        <v>9</v>
      </c>
      <c r="B366" s="11" t="s">
        <v>174</v>
      </c>
      <c r="C366" s="13" t="s">
        <v>113</v>
      </c>
      <c r="D366" s="13">
        <f t="shared" si="112"/>
        <v>1</v>
      </c>
      <c r="E366" s="13">
        <f t="shared" si="113"/>
        <v>0</v>
      </c>
      <c r="G366" s="34"/>
      <c r="H366" s="34"/>
      <c r="I366" s="34"/>
    </row>
    <row r="367" spans="1:9" ht="12" customHeight="1" thickBot="1" x14ac:dyDescent="0.2">
      <c r="A367" s="1">
        <v>10</v>
      </c>
      <c r="B367" s="28" t="s">
        <v>164</v>
      </c>
      <c r="C367" s="13" t="s">
        <v>113</v>
      </c>
      <c r="D367" s="13">
        <f t="shared" si="112"/>
        <v>1</v>
      </c>
      <c r="E367" s="13">
        <f t="shared" si="113"/>
        <v>0</v>
      </c>
      <c r="G367" s="34"/>
      <c r="H367" s="34"/>
      <c r="I367" s="34"/>
    </row>
    <row r="368" spans="1:9" ht="14" thickBot="1" x14ac:dyDescent="0.25">
      <c r="B368" s="21" t="s">
        <v>16</v>
      </c>
      <c r="C368" s="9">
        <f>SUM(D358:D367)</f>
        <v>10</v>
      </c>
      <c r="D368" s="9">
        <f>SUM(D358:E367)</f>
        <v>10</v>
      </c>
      <c r="E368" s="10">
        <f>IFERROR(C368/D368,0)</f>
        <v>1</v>
      </c>
      <c r="G368" s="11"/>
      <c r="H368" s="11"/>
      <c r="I368" s="11"/>
    </row>
    <row r="369" spans="1:9" x14ac:dyDescent="0.2">
      <c r="B369" s="3" t="s">
        <v>125</v>
      </c>
      <c r="C369" s="6" t="s">
        <v>12</v>
      </c>
      <c r="D369" s="6" t="s">
        <v>15</v>
      </c>
      <c r="E369" s="6" t="s">
        <v>13</v>
      </c>
      <c r="F369" s="6"/>
      <c r="G369" s="32" t="s">
        <v>14</v>
      </c>
      <c r="H369" s="32"/>
      <c r="I369" s="32"/>
    </row>
    <row r="370" spans="1:9" ht="12" customHeight="1" x14ac:dyDescent="0.15">
      <c r="A370" s="1">
        <v>1</v>
      </c>
      <c r="B370" s="12" t="s">
        <v>139</v>
      </c>
      <c r="C370" s="13" t="s">
        <v>318</v>
      </c>
      <c r="D370" s="13">
        <f t="shared" ref="D370" si="116">IF(C370="E",1,0)</f>
        <v>0</v>
      </c>
      <c r="E370" s="13">
        <f t="shared" ref="E370" si="117">IF(C370="H",1,0)</f>
        <v>1</v>
      </c>
      <c r="G370" s="34"/>
      <c r="H370" s="34"/>
      <c r="I370" s="34"/>
    </row>
    <row r="371" spans="1:9" ht="12" customHeight="1" x14ac:dyDescent="0.15">
      <c r="A371" s="1">
        <v>2</v>
      </c>
      <c r="B371" s="12" t="s">
        <v>18</v>
      </c>
      <c r="C371" s="13" t="s">
        <v>318</v>
      </c>
      <c r="D371" s="13">
        <f t="shared" ref="D371:D387" si="118">IF(C371="E",1,0)</f>
        <v>0</v>
      </c>
      <c r="E371" s="13">
        <f t="shared" ref="E371:E387" si="119">IF(C371="H",1,0)</f>
        <v>1</v>
      </c>
      <c r="G371" s="34"/>
      <c r="H371" s="34"/>
      <c r="I371" s="34"/>
    </row>
    <row r="372" spans="1:9" ht="12" customHeight="1" x14ac:dyDescent="0.15">
      <c r="A372" s="1">
        <v>3</v>
      </c>
      <c r="B372" s="12" t="s">
        <v>19</v>
      </c>
      <c r="C372" s="13" t="s">
        <v>318</v>
      </c>
      <c r="D372" s="13">
        <f t="shared" si="118"/>
        <v>0</v>
      </c>
      <c r="E372" s="13">
        <f t="shared" si="119"/>
        <v>1</v>
      </c>
      <c r="G372" s="34"/>
      <c r="H372" s="34"/>
      <c r="I372" s="34"/>
    </row>
    <row r="373" spans="1:9" ht="12" customHeight="1" x14ac:dyDescent="0.15">
      <c r="A373" s="1">
        <v>4</v>
      </c>
      <c r="B373" s="25" t="s">
        <v>175</v>
      </c>
      <c r="C373" s="13" t="s">
        <v>318</v>
      </c>
      <c r="D373" s="13">
        <f t="shared" si="118"/>
        <v>0</v>
      </c>
      <c r="E373" s="13">
        <f t="shared" si="119"/>
        <v>1</v>
      </c>
      <c r="G373" s="34"/>
      <c r="H373" s="34"/>
      <c r="I373" s="34"/>
    </row>
    <row r="374" spans="1:9" ht="12" customHeight="1" x14ac:dyDescent="0.15">
      <c r="A374" s="1">
        <v>5</v>
      </c>
      <c r="B374" s="4" t="s">
        <v>50</v>
      </c>
      <c r="C374" s="13" t="s">
        <v>113</v>
      </c>
      <c r="D374" s="13">
        <f t="shared" si="118"/>
        <v>1</v>
      </c>
      <c r="E374" s="13">
        <f t="shared" si="119"/>
        <v>0</v>
      </c>
      <c r="G374" s="34"/>
      <c r="H374" s="34"/>
      <c r="I374" s="34"/>
    </row>
    <row r="375" spans="1:9" ht="12" customHeight="1" x14ac:dyDescent="0.15">
      <c r="A375" s="1">
        <v>6</v>
      </c>
      <c r="B375" s="12" t="s">
        <v>140</v>
      </c>
      <c r="C375" s="13" t="s">
        <v>113</v>
      </c>
      <c r="D375" s="13">
        <f t="shared" si="118"/>
        <v>1</v>
      </c>
      <c r="E375" s="13">
        <f t="shared" si="119"/>
        <v>0</v>
      </c>
      <c r="G375" s="34"/>
      <c r="H375" s="34"/>
      <c r="I375" s="34"/>
    </row>
    <row r="376" spans="1:9" ht="12" customHeight="1" x14ac:dyDescent="0.15">
      <c r="A376" s="1">
        <v>7</v>
      </c>
      <c r="B376" s="12" t="s">
        <v>144</v>
      </c>
      <c r="C376" s="13" t="s">
        <v>113</v>
      </c>
      <c r="D376" s="13">
        <f t="shared" si="118"/>
        <v>1</v>
      </c>
      <c r="E376" s="13">
        <f t="shared" si="119"/>
        <v>0</v>
      </c>
      <c r="G376" s="34"/>
      <c r="H376" s="34"/>
      <c r="I376" s="34"/>
    </row>
    <row r="377" spans="1:9" ht="12" customHeight="1" x14ac:dyDescent="0.15">
      <c r="A377" s="1">
        <v>8</v>
      </c>
      <c r="B377" s="11" t="s">
        <v>62</v>
      </c>
      <c r="C377" s="13" t="s">
        <v>113</v>
      </c>
      <c r="D377" s="13">
        <f t="shared" si="118"/>
        <v>1</v>
      </c>
      <c r="E377" s="13">
        <f t="shared" si="119"/>
        <v>0</v>
      </c>
      <c r="G377" s="34"/>
      <c r="H377" s="34"/>
      <c r="I377" s="34"/>
    </row>
    <row r="378" spans="1:9" ht="12" customHeight="1" x14ac:dyDescent="0.15">
      <c r="A378" s="1">
        <v>9</v>
      </c>
      <c r="B378" s="12" t="s">
        <v>272</v>
      </c>
      <c r="C378" s="13" t="s">
        <v>113</v>
      </c>
      <c r="D378" s="13">
        <f t="shared" si="118"/>
        <v>1</v>
      </c>
      <c r="E378" s="13">
        <f t="shared" si="119"/>
        <v>0</v>
      </c>
      <c r="G378" s="34"/>
      <c r="H378" s="34"/>
      <c r="I378" s="34"/>
    </row>
    <row r="379" spans="1:9" ht="12" customHeight="1" x14ac:dyDescent="0.15">
      <c r="A379" s="1">
        <v>10</v>
      </c>
      <c r="B379" s="4" t="s">
        <v>159</v>
      </c>
      <c r="C379" s="13" t="s">
        <v>113</v>
      </c>
      <c r="D379" s="13">
        <f t="shared" si="118"/>
        <v>1</v>
      </c>
      <c r="E379" s="13">
        <f t="shared" si="119"/>
        <v>0</v>
      </c>
      <c r="G379" s="34"/>
      <c r="H379" s="34"/>
      <c r="I379" s="34"/>
    </row>
    <row r="380" spans="1:9" ht="12" customHeight="1" x14ac:dyDescent="0.15">
      <c r="A380" s="1">
        <v>11</v>
      </c>
      <c r="B380" s="16" t="s">
        <v>160</v>
      </c>
      <c r="C380" s="13" t="s">
        <v>113</v>
      </c>
      <c r="D380" s="13">
        <f t="shared" si="118"/>
        <v>1</v>
      </c>
      <c r="E380" s="13">
        <f t="shared" si="119"/>
        <v>0</v>
      </c>
      <c r="G380" s="34"/>
      <c r="H380" s="34"/>
      <c r="I380" s="34"/>
    </row>
    <row r="381" spans="1:9" ht="12" customHeight="1" x14ac:dyDescent="0.15">
      <c r="A381" s="1">
        <v>12</v>
      </c>
      <c r="B381" s="16" t="s">
        <v>141</v>
      </c>
      <c r="C381" s="13" t="s">
        <v>113</v>
      </c>
      <c r="D381" s="13">
        <f t="shared" si="118"/>
        <v>1</v>
      </c>
      <c r="E381" s="13">
        <f t="shared" si="119"/>
        <v>0</v>
      </c>
      <c r="G381" s="34"/>
      <c r="H381" s="34"/>
      <c r="I381" s="34"/>
    </row>
    <row r="382" spans="1:9" ht="12" customHeight="1" x14ac:dyDescent="0.15">
      <c r="A382" s="1">
        <v>13</v>
      </c>
      <c r="B382" s="16" t="s">
        <v>142</v>
      </c>
      <c r="C382" s="13" t="s">
        <v>113</v>
      </c>
      <c r="D382" s="13">
        <f t="shared" si="118"/>
        <v>1</v>
      </c>
      <c r="E382" s="13">
        <f t="shared" si="119"/>
        <v>0</v>
      </c>
      <c r="G382" s="34"/>
      <c r="H382" s="34"/>
      <c r="I382" s="34"/>
    </row>
    <row r="383" spans="1:9" ht="12" customHeight="1" x14ac:dyDescent="0.15">
      <c r="A383" s="1">
        <v>14</v>
      </c>
      <c r="B383" s="13" t="s">
        <v>20</v>
      </c>
      <c r="C383" s="13" t="s">
        <v>113</v>
      </c>
      <c r="D383" s="13">
        <f t="shared" si="118"/>
        <v>1</v>
      </c>
      <c r="E383" s="13">
        <f t="shared" si="119"/>
        <v>0</v>
      </c>
      <c r="G383" s="34"/>
      <c r="H383" s="34"/>
      <c r="I383" s="34"/>
    </row>
    <row r="384" spans="1:9" ht="12" customHeight="1" x14ac:dyDescent="0.15">
      <c r="A384" s="1">
        <v>15</v>
      </c>
      <c r="B384" s="16" t="s">
        <v>273</v>
      </c>
      <c r="C384" s="13" t="s">
        <v>113</v>
      </c>
      <c r="D384" s="13">
        <f t="shared" si="118"/>
        <v>1</v>
      </c>
      <c r="E384" s="13">
        <f t="shared" si="119"/>
        <v>0</v>
      </c>
      <c r="G384" s="34"/>
      <c r="H384" s="34"/>
      <c r="I384" s="34"/>
    </row>
    <row r="385" spans="1:9" ht="12" customHeight="1" x14ac:dyDescent="0.15">
      <c r="A385" s="1">
        <v>16</v>
      </c>
      <c r="B385" s="16" t="s">
        <v>274</v>
      </c>
      <c r="C385" s="13" t="s">
        <v>113</v>
      </c>
      <c r="D385" s="13">
        <f t="shared" si="118"/>
        <v>1</v>
      </c>
      <c r="E385" s="13">
        <f t="shared" si="119"/>
        <v>0</v>
      </c>
      <c r="G385" s="34"/>
      <c r="H385" s="34"/>
      <c r="I385" s="34"/>
    </row>
    <row r="386" spans="1:9" ht="12" customHeight="1" x14ac:dyDescent="0.15">
      <c r="A386" s="1">
        <v>17</v>
      </c>
      <c r="B386" s="16" t="s">
        <v>158</v>
      </c>
      <c r="C386" s="13" t="s">
        <v>113</v>
      </c>
      <c r="D386" s="13">
        <f t="shared" si="118"/>
        <v>1</v>
      </c>
      <c r="E386" s="13">
        <f t="shared" si="119"/>
        <v>0</v>
      </c>
      <c r="G386" s="34"/>
      <c r="H386" s="34"/>
      <c r="I386" s="34"/>
    </row>
    <row r="387" spans="1:9" ht="12" customHeight="1" x14ac:dyDescent="0.15">
      <c r="A387" s="1">
        <v>18</v>
      </c>
      <c r="B387" s="16" t="s">
        <v>143</v>
      </c>
      <c r="C387" s="13" t="s">
        <v>113</v>
      </c>
      <c r="D387" s="13">
        <f t="shared" si="118"/>
        <v>1</v>
      </c>
      <c r="E387" s="13">
        <f t="shared" si="119"/>
        <v>0</v>
      </c>
      <c r="G387" s="34"/>
      <c r="H387" s="34"/>
      <c r="I387" s="34"/>
    </row>
    <row r="388" spans="1:9" ht="12" customHeight="1" x14ac:dyDescent="0.15">
      <c r="A388" s="1">
        <v>19</v>
      </c>
      <c r="B388" s="16" t="s">
        <v>316</v>
      </c>
      <c r="C388" s="13" t="s">
        <v>113</v>
      </c>
      <c r="D388" s="13">
        <f t="shared" ref="D388" si="120">IF(C388="E",1,0)</f>
        <v>1</v>
      </c>
      <c r="E388" s="13">
        <f t="shared" ref="E388" si="121">IF(C388="H",1,0)</f>
        <v>0</v>
      </c>
      <c r="G388" s="26"/>
      <c r="H388" s="26"/>
      <c r="I388" s="26"/>
    </row>
    <row r="389" spans="1:9" ht="12" customHeight="1" thickBot="1" x14ac:dyDescent="0.2">
      <c r="A389" s="1">
        <v>20</v>
      </c>
      <c r="B389" s="28" t="s">
        <v>164</v>
      </c>
      <c r="C389" s="13" t="s">
        <v>113</v>
      </c>
      <c r="D389" s="13">
        <f t="shared" ref="D389" si="122">IF(C389="E",1,0)</f>
        <v>1</v>
      </c>
      <c r="E389" s="13">
        <f t="shared" ref="E389" si="123">IF(C389="H",1,0)</f>
        <v>0</v>
      </c>
      <c r="G389" s="34"/>
      <c r="H389" s="34"/>
      <c r="I389" s="34"/>
    </row>
    <row r="390" spans="1:9" ht="14" thickBot="1" x14ac:dyDescent="0.2">
      <c r="B390" s="21" t="s">
        <v>16</v>
      </c>
      <c r="C390" s="9">
        <f>SUM(D370:D389)</f>
        <v>16</v>
      </c>
      <c r="D390" s="9">
        <f>SUM(D370:E389)</f>
        <v>20</v>
      </c>
      <c r="E390" s="10">
        <f>IFERROR(C390/D390,0)</f>
        <v>0.8</v>
      </c>
      <c r="G390" s="8"/>
      <c r="H390" s="8"/>
      <c r="I390" s="8"/>
    </row>
    <row r="391" spans="1:9" x14ac:dyDescent="0.2">
      <c r="B391" s="3" t="s">
        <v>64</v>
      </c>
      <c r="C391" s="6" t="s">
        <v>12</v>
      </c>
      <c r="D391" s="6" t="s">
        <v>15</v>
      </c>
      <c r="E391" s="6" t="s">
        <v>13</v>
      </c>
      <c r="F391" s="6"/>
      <c r="G391" s="32" t="s">
        <v>14</v>
      </c>
      <c r="H391" s="32"/>
      <c r="I391" s="32"/>
    </row>
    <row r="392" spans="1:9" ht="12" customHeight="1" x14ac:dyDescent="0.15">
      <c r="A392" s="1">
        <v>1</v>
      </c>
      <c r="B392" s="12" t="s">
        <v>275</v>
      </c>
      <c r="C392" s="13" t="s">
        <v>113</v>
      </c>
      <c r="D392" s="13">
        <f t="shared" ref="D392:D412" si="124">IF(C392="E",1,0)</f>
        <v>1</v>
      </c>
      <c r="E392" s="13">
        <f t="shared" ref="E392:E412" si="125">IF(C392="H",1,0)</f>
        <v>0</v>
      </c>
      <c r="G392" s="34"/>
      <c r="H392" s="34"/>
      <c r="I392" s="34"/>
    </row>
    <row r="393" spans="1:9" ht="12" customHeight="1" x14ac:dyDescent="0.15">
      <c r="A393" s="1">
        <v>2</v>
      </c>
      <c r="B393" s="13" t="s">
        <v>65</v>
      </c>
      <c r="C393" s="13" t="s">
        <v>113</v>
      </c>
      <c r="D393" s="13">
        <f t="shared" si="124"/>
        <v>1</v>
      </c>
      <c r="E393" s="13">
        <f t="shared" si="125"/>
        <v>0</v>
      </c>
      <c r="G393" s="34"/>
      <c r="H393" s="34"/>
      <c r="I393" s="34"/>
    </row>
    <row r="394" spans="1:9" ht="12" customHeight="1" x14ac:dyDescent="0.15">
      <c r="A394" s="1">
        <v>3</v>
      </c>
      <c r="B394" s="13" t="s">
        <v>310</v>
      </c>
      <c r="C394" s="13" t="s">
        <v>113</v>
      </c>
      <c r="D394" s="13">
        <f t="shared" ref="D394:D397" si="126">IF(C394="E",1,0)</f>
        <v>1</v>
      </c>
      <c r="E394" s="13">
        <f t="shared" ref="E394:E397" si="127">IF(C394="H",1,0)</f>
        <v>0</v>
      </c>
      <c r="G394" s="34"/>
      <c r="H394" s="34"/>
      <c r="I394" s="34"/>
    </row>
    <row r="395" spans="1:9" ht="12" customHeight="1" x14ac:dyDescent="0.15">
      <c r="A395" s="1">
        <v>4</v>
      </c>
      <c r="B395" s="13" t="s">
        <v>311</v>
      </c>
      <c r="C395" s="13" t="s">
        <v>113</v>
      </c>
      <c r="D395" s="13">
        <f t="shared" ref="D395" si="128">IF(C395="E",1,0)</f>
        <v>1</v>
      </c>
      <c r="E395" s="13">
        <f t="shared" ref="E395" si="129">IF(C395="H",1,0)</f>
        <v>0</v>
      </c>
      <c r="G395" s="26"/>
      <c r="H395" s="26"/>
      <c r="I395" s="26"/>
    </row>
    <row r="396" spans="1:9" ht="12" customHeight="1" x14ac:dyDescent="0.15">
      <c r="A396" s="1">
        <v>5</v>
      </c>
      <c r="B396" s="13" t="s">
        <v>66</v>
      </c>
      <c r="C396" s="13" t="s">
        <v>113</v>
      </c>
      <c r="D396" s="13">
        <f t="shared" si="126"/>
        <v>1</v>
      </c>
      <c r="E396" s="13">
        <f t="shared" si="127"/>
        <v>0</v>
      </c>
      <c r="G396" s="34"/>
      <c r="H396" s="34"/>
      <c r="I396" s="34"/>
    </row>
    <row r="397" spans="1:9" ht="12" customHeight="1" x14ac:dyDescent="0.15">
      <c r="A397" s="1">
        <v>6</v>
      </c>
      <c r="B397" s="13" t="s">
        <v>67</v>
      </c>
      <c r="C397" s="13" t="s">
        <v>113</v>
      </c>
      <c r="D397" s="13">
        <f t="shared" si="126"/>
        <v>1</v>
      </c>
      <c r="E397" s="13">
        <f t="shared" si="127"/>
        <v>0</v>
      </c>
      <c r="G397" s="34"/>
      <c r="H397" s="34"/>
      <c r="I397" s="34"/>
    </row>
    <row r="398" spans="1:9" ht="12" customHeight="1" x14ac:dyDescent="0.15">
      <c r="A398" s="1">
        <v>7</v>
      </c>
      <c r="B398" s="13" t="s">
        <v>298</v>
      </c>
      <c r="C398" s="13" t="s">
        <v>113</v>
      </c>
      <c r="D398" s="13">
        <f t="shared" si="124"/>
        <v>1</v>
      </c>
      <c r="E398" s="13">
        <f t="shared" si="125"/>
        <v>0</v>
      </c>
      <c r="G398" s="36"/>
      <c r="H398" s="36"/>
      <c r="I398" s="36"/>
    </row>
    <row r="399" spans="1:9" ht="12" customHeight="1" x14ac:dyDescent="0.15">
      <c r="A399" s="1">
        <v>8</v>
      </c>
      <c r="B399" s="13" t="s">
        <v>295</v>
      </c>
      <c r="C399" s="13" t="s">
        <v>113</v>
      </c>
      <c r="D399" s="13">
        <f t="shared" ref="D399" si="130">IF(C399="E",1,0)</f>
        <v>1</v>
      </c>
      <c r="E399" s="13">
        <f t="shared" ref="E399" si="131">IF(C399="H",1,0)</f>
        <v>0</v>
      </c>
      <c r="G399" s="26"/>
      <c r="H399" s="26"/>
      <c r="I399" s="26"/>
    </row>
    <row r="400" spans="1:9" ht="12" customHeight="1" x14ac:dyDescent="0.15">
      <c r="A400" s="1">
        <v>9</v>
      </c>
      <c r="B400" s="13" t="s">
        <v>296</v>
      </c>
      <c r="C400" s="13" t="s">
        <v>113</v>
      </c>
      <c r="D400" s="13">
        <f t="shared" ref="D400:D401" si="132">IF(C400="E",1,0)</f>
        <v>1</v>
      </c>
      <c r="E400" s="13">
        <f t="shared" ref="E400:E401" si="133">IF(C400="H",1,0)</f>
        <v>0</v>
      </c>
      <c r="G400" s="26"/>
      <c r="H400" s="26"/>
      <c r="I400" s="26"/>
    </row>
    <row r="401" spans="1:9" ht="12" customHeight="1" x14ac:dyDescent="0.15">
      <c r="A401" s="1">
        <v>10</v>
      </c>
      <c r="B401" s="13" t="s">
        <v>297</v>
      </c>
      <c r="C401" s="13" t="s">
        <v>113</v>
      </c>
      <c r="D401" s="13">
        <f t="shared" si="132"/>
        <v>1</v>
      </c>
      <c r="E401" s="13">
        <f t="shared" si="133"/>
        <v>0</v>
      </c>
      <c r="G401" s="26"/>
      <c r="H401" s="26"/>
      <c r="I401" s="26"/>
    </row>
    <row r="402" spans="1:9" ht="12" customHeight="1" x14ac:dyDescent="0.15">
      <c r="A402" s="1">
        <v>11</v>
      </c>
      <c r="B402" s="13" t="s">
        <v>299</v>
      </c>
      <c r="C402" s="13" t="s">
        <v>113</v>
      </c>
      <c r="D402" s="13">
        <f t="shared" ref="D402" si="134">IF(C402="E",1,0)</f>
        <v>1</v>
      </c>
      <c r="E402" s="13">
        <f t="shared" ref="E402" si="135">IF(C402="H",1,0)</f>
        <v>0</v>
      </c>
      <c r="G402" s="26"/>
      <c r="H402" s="26"/>
      <c r="I402" s="26"/>
    </row>
    <row r="403" spans="1:9" ht="12" customHeight="1" x14ac:dyDescent="0.15">
      <c r="A403" s="1">
        <v>12</v>
      </c>
      <c r="B403" s="13" t="s">
        <v>317</v>
      </c>
      <c r="C403" s="13" t="s">
        <v>113</v>
      </c>
      <c r="D403" s="13">
        <f t="shared" ref="D403" si="136">IF(C403="E",1,0)</f>
        <v>1</v>
      </c>
      <c r="E403" s="13">
        <f t="shared" ref="E403" si="137">IF(C403="H",1,0)</f>
        <v>0</v>
      </c>
      <c r="G403" s="26"/>
      <c r="H403" s="26"/>
      <c r="I403" s="26"/>
    </row>
    <row r="404" spans="1:9" ht="12" customHeight="1" x14ac:dyDescent="0.15">
      <c r="A404" s="1">
        <v>13</v>
      </c>
      <c r="B404" s="13" t="s">
        <v>301</v>
      </c>
      <c r="C404" s="13" t="s">
        <v>113</v>
      </c>
      <c r="D404" s="13">
        <f t="shared" ref="D404:D405" si="138">IF(C404="E",1,0)</f>
        <v>1</v>
      </c>
      <c r="E404" s="13">
        <f t="shared" ref="E404:E405" si="139">IF(C404="H",1,0)</f>
        <v>0</v>
      </c>
      <c r="G404" s="26"/>
      <c r="H404" s="26"/>
      <c r="I404" s="26"/>
    </row>
    <row r="405" spans="1:9" ht="12" customHeight="1" x14ac:dyDescent="0.15">
      <c r="A405" s="1">
        <v>14</v>
      </c>
      <c r="B405" s="13" t="s">
        <v>302</v>
      </c>
      <c r="C405" s="13" t="s">
        <v>113</v>
      </c>
      <c r="D405" s="13">
        <f t="shared" si="138"/>
        <v>1</v>
      </c>
      <c r="E405" s="13">
        <f t="shared" si="139"/>
        <v>0</v>
      </c>
      <c r="G405" s="26"/>
      <c r="H405" s="26"/>
      <c r="I405" s="26"/>
    </row>
    <row r="406" spans="1:9" ht="12" customHeight="1" x14ac:dyDescent="0.15">
      <c r="A406" s="1">
        <v>15</v>
      </c>
      <c r="B406" s="13" t="s">
        <v>303</v>
      </c>
      <c r="C406" s="13" t="s">
        <v>113</v>
      </c>
      <c r="D406" s="13">
        <f t="shared" ref="D406:D407" si="140">IF(C406="E",1,0)</f>
        <v>1</v>
      </c>
      <c r="E406" s="13">
        <f t="shared" ref="E406:E407" si="141">IF(C406="H",1,0)</f>
        <v>0</v>
      </c>
      <c r="G406" s="26"/>
      <c r="H406" s="26"/>
      <c r="I406" s="26"/>
    </row>
    <row r="407" spans="1:9" ht="12" customHeight="1" x14ac:dyDescent="0.15">
      <c r="A407" s="1">
        <v>16</v>
      </c>
      <c r="B407" s="13" t="s">
        <v>304</v>
      </c>
      <c r="C407" s="13" t="s">
        <v>113</v>
      </c>
      <c r="D407" s="13">
        <f t="shared" si="140"/>
        <v>1</v>
      </c>
      <c r="E407" s="13">
        <f t="shared" si="141"/>
        <v>0</v>
      </c>
      <c r="G407" s="26"/>
      <c r="H407" s="26"/>
      <c r="I407" s="26"/>
    </row>
    <row r="408" spans="1:9" ht="12" customHeight="1" x14ac:dyDescent="0.15">
      <c r="A408" s="1">
        <v>17</v>
      </c>
      <c r="B408" s="13" t="s">
        <v>305</v>
      </c>
      <c r="C408" s="13" t="s">
        <v>113</v>
      </c>
      <c r="D408" s="13">
        <f t="shared" ref="D408" si="142">IF(C408="E",1,0)</f>
        <v>1</v>
      </c>
      <c r="E408" s="13">
        <f t="shared" ref="E408" si="143">IF(C408="H",1,0)</f>
        <v>0</v>
      </c>
      <c r="G408" s="26"/>
      <c r="H408" s="26"/>
      <c r="I408" s="26"/>
    </row>
    <row r="409" spans="1:9" ht="12" customHeight="1" x14ac:dyDescent="0.15">
      <c r="A409" s="1">
        <v>18</v>
      </c>
      <c r="B409" s="13" t="s">
        <v>306</v>
      </c>
      <c r="C409" s="13" t="s">
        <v>113</v>
      </c>
      <c r="D409" s="13">
        <f t="shared" ref="D409" si="144">IF(C409="E",1,0)</f>
        <v>1</v>
      </c>
      <c r="E409" s="13">
        <f t="shared" ref="E409" si="145">IF(C409="H",1,0)</f>
        <v>0</v>
      </c>
      <c r="G409" s="26"/>
      <c r="H409" s="26"/>
      <c r="I409" s="26"/>
    </row>
    <row r="410" spans="1:9" ht="12" customHeight="1" x14ac:dyDescent="0.15">
      <c r="A410" s="1">
        <v>19</v>
      </c>
      <c r="B410" s="13" t="s">
        <v>312</v>
      </c>
      <c r="C410" s="13" t="s">
        <v>113</v>
      </c>
      <c r="D410" s="13">
        <f t="shared" ref="D410:D411" si="146">IF(C410="E",1,0)</f>
        <v>1</v>
      </c>
      <c r="E410" s="13">
        <f t="shared" ref="E410:E411" si="147">IF(C410="H",1,0)</f>
        <v>0</v>
      </c>
      <c r="G410" s="26"/>
      <c r="H410" s="26"/>
      <c r="I410" s="26"/>
    </row>
    <row r="411" spans="1:9" ht="12" customHeight="1" x14ac:dyDescent="0.15">
      <c r="A411" s="1">
        <v>20</v>
      </c>
      <c r="B411" s="13" t="s">
        <v>315</v>
      </c>
      <c r="C411" s="13" t="s">
        <v>113</v>
      </c>
      <c r="D411" s="13">
        <f t="shared" si="146"/>
        <v>1</v>
      </c>
      <c r="E411" s="13">
        <f t="shared" si="147"/>
        <v>0</v>
      </c>
      <c r="G411" s="34"/>
      <c r="H411" s="34"/>
      <c r="I411" s="34"/>
    </row>
    <row r="412" spans="1:9" ht="12" customHeight="1" thickBot="1" x14ac:dyDescent="0.2">
      <c r="A412" s="1">
        <v>21</v>
      </c>
      <c r="B412" s="13" t="s">
        <v>276</v>
      </c>
      <c r="C412" s="13" t="s">
        <v>113</v>
      </c>
      <c r="D412" s="13">
        <f t="shared" si="124"/>
        <v>1</v>
      </c>
      <c r="E412" s="13">
        <f t="shared" si="125"/>
        <v>0</v>
      </c>
      <c r="G412" s="34"/>
      <c r="H412" s="34"/>
      <c r="I412" s="34"/>
    </row>
    <row r="413" spans="1:9" ht="12.75" customHeight="1" thickBot="1" x14ac:dyDescent="0.2">
      <c r="B413" s="21" t="s">
        <v>16</v>
      </c>
      <c r="C413" s="9">
        <f>SUM(D392:D412)</f>
        <v>21</v>
      </c>
      <c r="D413" s="9">
        <f>SUM(D392:E412)</f>
        <v>21</v>
      </c>
      <c r="E413" s="10">
        <f>IFERROR(C413/D413,0)</f>
        <v>1</v>
      </c>
      <c r="G413" s="8"/>
      <c r="H413" s="8"/>
      <c r="I413" s="8"/>
    </row>
    <row r="414" spans="1:9" ht="12.75" customHeight="1" x14ac:dyDescent="0.15">
      <c r="G414" s="8"/>
      <c r="H414" s="8"/>
      <c r="I414" s="8"/>
    </row>
    <row r="415" spans="1:9" ht="13" thickBot="1" x14ac:dyDescent="0.2">
      <c r="G415" s="8"/>
      <c r="H415" s="8"/>
      <c r="I415" s="8"/>
    </row>
    <row r="416" spans="1:9" ht="15.75" customHeight="1" thickBot="1" x14ac:dyDescent="0.25">
      <c r="B416" s="22" t="s">
        <v>17</v>
      </c>
      <c r="C416" s="23">
        <f>SUM(C25+C40+C46+C52+C58+C83+C92+C99+C108+C116+C122+C130+C144+C156+C170+C187+C205+C225+C241+C251+C261+C269+C277+C293+C300+C310+C320+C330+C341+C348+C356+C368+C390+C413)</f>
        <v>330</v>
      </c>
      <c r="D416" s="23">
        <f>SUM(D25+D40+D46+D52+D58+D83+D92+D99+D108+D116+D122+D130+D144+D156+D170+D187+D205+D225+D241+D251+D261+D269+D277+D293+D300+D310+D320+D330+D341+D348+D356+D368+D390+D413)</f>
        <v>334</v>
      </c>
      <c r="E416" s="29">
        <f>IFERROR(C416/D416,0)</f>
        <v>0.9880239520958084</v>
      </c>
      <c r="G416" s="38"/>
      <c r="H416" s="38"/>
      <c r="I416" s="38"/>
    </row>
    <row r="417" ht="13" thickTop="1" x14ac:dyDescent="0.2"/>
  </sheetData>
  <sortState xmlns:xlrd2="http://schemas.microsoft.com/office/spreadsheetml/2017/richdata2" ref="A8:M255">
    <sortCondition ref="A118"/>
  </sortState>
  <mergeCells count="338">
    <mergeCell ref="G358:I358"/>
    <mergeCell ref="G359:I359"/>
    <mergeCell ref="G360:I360"/>
    <mergeCell ref="G411:I411"/>
    <mergeCell ref="A7:B7"/>
    <mergeCell ref="A6:B6"/>
    <mergeCell ref="A8:B8"/>
    <mergeCell ref="G385:I385"/>
    <mergeCell ref="G386:I386"/>
    <mergeCell ref="G387:I387"/>
    <mergeCell ref="G389:I389"/>
    <mergeCell ref="G393:I393"/>
    <mergeCell ref="G394:I394"/>
    <mergeCell ref="G361:I361"/>
    <mergeCell ref="G362:I362"/>
    <mergeCell ref="G363:I363"/>
    <mergeCell ref="G364:I364"/>
    <mergeCell ref="G365:I365"/>
    <mergeCell ref="G366:I366"/>
    <mergeCell ref="G367:I367"/>
    <mergeCell ref="G373:I373"/>
    <mergeCell ref="G374:I374"/>
    <mergeCell ref="G350:I350"/>
    <mergeCell ref="G351:I351"/>
    <mergeCell ref="G396:I396"/>
    <mergeCell ref="G375:I375"/>
    <mergeCell ref="G376:I376"/>
    <mergeCell ref="G377:I377"/>
    <mergeCell ref="G379:I379"/>
    <mergeCell ref="G380:I380"/>
    <mergeCell ref="G381:I381"/>
    <mergeCell ref="G382:I382"/>
    <mergeCell ref="G383:I383"/>
    <mergeCell ref="G384:I384"/>
    <mergeCell ref="G326:I326"/>
    <mergeCell ref="G327:I327"/>
    <mergeCell ref="G328:I328"/>
    <mergeCell ref="G329:I329"/>
    <mergeCell ref="G343:I343"/>
    <mergeCell ref="G344:I344"/>
    <mergeCell ref="G345:I345"/>
    <mergeCell ref="G346:I346"/>
    <mergeCell ref="G347:I347"/>
    <mergeCell ref="G349:I349"/>
    <mergeCell ref="G357:I357"/>
    <mergeCell ref="G342:I342"/>
    <mergeCell ref="G331:I331"/>
    <mergeCell ref="G332:I332"/>
    <mergeCell ref="G333:I333"/>
    <mergeCell ref="G334:I334"/>
    <mergeCell ref="G335:I335"/>
    <mergeCell ref="G336:I336"/>
    <mergeCell ref="G337:I337"/>
    <mergeCell ref="G338:I338"/>
    <mergeCell ref="G340:I340"/>
    <mergeCell ref="G355:I355"/>
    <mergeCell ref="G352:I352"/>
    <mergeCell ref="G353:I353"/>
    <mergeCell ref="G354:I354"/>
    <mergeCell ref="G280:I280"/>
    <mergeCell ref="G281:I281"/>
    <mergeCell ref="G287:I287"/>
    <mergeCell ref="G288:I288"/>
    <mergeCell ref="G290:I290"/>
    <mergeCell ref="G291:I291"/>
    <mergeCell ref="G295:I295"/>
    <mergeCell ref="G278:I278"/>
    <mergeCell ref="G282:I282"/>
    <mergeCell ref="G279:I279"/>
    <mergeCell ref="G284:I284"/>
    <mergeCell ref="G285:I285"/>
    <mergeCell ref="G266:I266"/>
    <mergeCell ref="G267:I267"/>
    <mergeCell ref="G268:I268"/>
    <mergeCell ref="G271:I271"/>
    <mergeCell ref="G272:I272"/>
    <mergeCell ref="G273:I273"/>
    <mergeCell ref="G274:I274"/>
    <mergeCell ref="G275:I275"/>
    <mergeCell ref="G276:I276"/>
    <mergeCell ref="G256:I256"/>
    <mergeCell ref="G257:I257"/>
    <mergeCell ref="G258:I258"/>
    <mergeCell ref="G259:I259"/>
    <mergeCell ref="G260:I260"/>
    <mergeCell ref="G263:I263"/>
    <mergeCell ref="G262:I262"/>
    <mergeCell ref="G264:I264"/>
    <mergeCell ref="G265:I265"/>
    <mergeCell ref="G244:I244"/>
    <mergeCell ref="G245:I245"/>
    <mergeCell ref="G246:I246"/>
    <mergeCell ref="G247:I247"/>
    <mergeCell ref="G248:I248"/>
    <mergeCell ref="G249:I249"/>
    <mergeCell ref="G250:I250"/>
    <mergeCell ref="G253:I253"/>
    <mergeCell ref="G255:I255"/>
    <mergeCell ref="G233:I233"/>
    <mergeCell ref="G234:I234"/>
    <mergeCell ref="G235:I235"/>
    <mergeCell ref="G236:I236"/>
    <mergeCell ref="G237:I237"/>
    <mergeCell ref="G238:I238"/>
    <mergeCell ref="G239:I239"/>
    <mergeCell ref="G240:I240"/>
    <mergeCell ref="G243:I243"/>
    <mergeCell ref="G222:I222"/>
    <mergeCell ref="G223:I223"/>
    <mergeCell ref="G224:I224"/>
    <mergeCell ref="G227:I227"/>
    <mergeCell ref="G228:I228"/>
    <mergeCell ref="G229:I229"/>
    <mergeCell ref="G230:I230"/>
    <mergeCell ref="G231:I231"/>
    <mergeCell ref="G232:I232"/>
    <mergeCell ref="G213:I213"/>
    <mergeCell ref="G214:I214"/>
    <mergeCell ref="G215:I215"/>
    <mergeCell ref="G216:I216"/>
    <mergeCell ref="G217:I217"/>
    <mergeCell ref="G218:I218"/>
    <mergeCell ref="G219:I219"/>
    <mergeCell ref="G220:I220"/>
    <mergeCell ref="G221:I221"/>
    <mergeCell ref="G203:I203"/>
    <mergeCell ref="G204:I204"/>
    <mergeCell ref="G207:I207"/>
    <mergeCell ref="G208:I208"/>
    <mergeCell ref="G209:I209"/>
    <mergeCell ref="G206:I206"/>
    <mergeCell ref="G210:I210"/>
    <mergeCell ref="G211:I211"/>
    <mergeCell ref="G212:I212"/>
    <mergeCell ref="G194:I194"/>
    <mergeCell ref="G195:I195"/>
    <mergeCell ref="G196:I196"/>
    <mergeCell ref="G197:I197"/>
    <mergeCell ref="G188:I188"/>
    <mergeCell ref="G199:I199"/>
    <mergeCell ref="G200:I200"/>
    <mergeCell ref="G201:I201"/>
    <mergeCell ref="G202:I202"/>
    <mergeCell ref="G180:I180"/>
    <mergeCell ref="G183:I183"/>
    <mergeCell ref="G184:I184"/>
    <mergeCell ref="G171:I171"/>
    <mergeCell ref="G182:I182"/>
    <mergeCell ref="G185:I185"/>
    <mergeCell ref="G186:I186"/>
    <mergeCell ref="G191:I191"/>
    <mergeCell ref="G192:I192"/>
    <mergeCell ref="G135:I135"/>
    <mergeCell ref="G115:I115"/>
    <mergeCell ref="G168:I168"/>
    <mergeCell ref="G169:I169"/>
    <mergeCell ref="G173:I173"/>
    <mergeCell ref="G174:I174"/>
    <mergeCell ref="G175:I175"/>
    <mergeCell ref="G176:I176"/>
    <mergeCell ref="G178:I178"/>
    <mergeCell ref="G107:I107"/>
    <mergeCell ref="G114:I114"/>
    <mergeCell ref="G118:I118"/>
    <mergeCell ref="G124:I124"/>
    <mergeCell ref="G125:I125"/>
    <mergeCell ref="G126:I126"/>
    <mergeCell ref="G127:I127"/>
    <mergeCell ref="G129:I129"/>
    <mergeCell ref="G132:I132"/>
    <mergeCell ref="G67:I67"/>
    <mergeCell ref="G71:I71"/>
    <mergeCell ref="G74:I74"/>
    <mergeCell ref="G152:I152"/>
    <mergeCell ref="G54:I54"/>
    <mergeCell ref="G53:I53"/>
    <mergeCell ref="G47:I47"/>
    <mergeCell ref="G123:I123"/>
    <mergeCell ref="G34:I34"/>
    <mergeCell ref="G35:I35"/>
    <mergeCell ref="G36:I36"/>
    <mergeCell ref="G37:I37"/>
    <mergeCell ref="G38:I38"/>
    <mergeCell ref="G39:I39"/>
    <mergeCell ref="G42:I42"/>
    <mergeCell ref="G43:I43"/>
    <mergeCell ref="G44:I44"/>
    <mergeCell ref="G41:I41"/>
    <mergeCell ref="G94:I94"/>
    <mergeCell ref="G95:I95"/>
    <mergeCell ref="G96:I96"/>
    <mergeCell ref="G97:I97"/>
    <mergeCell ref="G98:I98"/>
    <mergeCell ref="G103:I103"/>
    <mergeCell ref="D4:E4"/>
    <mergeCell ref="G166:I166"/>
    <mergeCell ref="G167:I167"/>
    <mergeCell ref="G141:I141"/>
    <mergeCell ref="G142:I142"/>
    <mergeCell ref="G143:I143"/>
    <mergeCell ref="G153:I153"/>
    <mergeCell ref="G154:I154"/>
    <mergeCell ref="G155:I155"/>
    <mergeCell ref="G158:I158"/>
    <mergeCell ref="G161:I161"/>
    <mergeCell ref="G164:I164"/>
    <mergeCell ref="G149:I149"/>
    <mergeCell ref="G139:I139"/>
    <mergeCell ref="G140:I140"/>
    <mergeCell ref="G138:I138"/>
    <mergeCell ref="G157:I157"/>
    <mergeCell ref="G159:I159"/>
    <mergeCell ref="G160:I160"/>
    <mergeCell ref="G162:I162"/>
    <mergeCell ref="G163:I163"/>
    <mergeCell ref="G165:I165"/>
    <mergeCell ref="G90:I90"/>
    <mergeCell ref="G91:I91"/>
    <mergeCell ref="G324:I324"/>
    <mergeCell ref="G325:I325"/>
    <mergeCell ref="G314:I314"/>
    <mergeCell ref="G412:I412"/>
    <mergeCell ref="G369:I369"/>
    <mergeCell ref="G370:I370"/>
    <mergeCell ref="G315:I315"/>
    <mergeCell ref="D3:E3"/>
    <mergeCell ref="G110:I110"/>
    <mergeCell ref="G120:I120"/>
    <mergeCell ref="G136:I136"/>
    <mergeCell ref="G128:I128"/>
    <mergeCell ref="G59:I59"/>
    <mergeCell ref="G60:I60"/>
    <mergeCell ref="G65:I65"/>
    <mergeCell ref="G145:I145"/>
    <mergeCell ref="G27:I27"/>
    <mergeCell ref="G28:I28"/>
    <mergeCell ref="G29:I29"/>
    <mergeCell ref="G30:I30"/>
    <mergeCell ref="G75:I75"/>
    <mergeCell ref="G76:I76"/>
    <mergeCell ref="G77:I77"/>
    <mergeCell ref="G78:I78"/>
    <mergeCell ref="G296:I296"/>
    <mergeCell ref="G297:I297"/>
    <mergeCell ref="G298:I298"/>
    <mergeCell ref="G299:I299"/>
    <mergeCell ref="G301:I301"/>
    <mergeCell ref="G302:I302"/>
    <mergeCell ref="G303:I303"/>
    <mergeCell ref="G416:I416"/>
    <mergeCell ref="G397:I397"/>
    <mergeCell ref="G398:I398"/>
    <mergeCell ref="G371:I371"/>
    <mergeCell ref="G391:I391"/>
    <mergeCell ref="G372:I372"/>
    <mergeCell ref="G378:I378"/>
    <mergeCell ref="G392:I392"/>
    <mergeCell ref="G305:I305"/>
    <mergeCell ref="G306:I306"/>
    <mergeCell ref="G309:I309"/>
    <mergeCell ref="G313:I313"/>
    <mergeCell ref="G316:I316"/>
    <mergeCell ref="G317:I317"/>
    <mergeCell ref="G318:I318"/>
    <mergeCell ref="G322:I322"/>
    <mergeCell ref="G323:I323"/>
    <mergeCell ref="A5:I5"/>
    <mergeCell ref="G31:I31"/>
    <mergeCell ref="G109:I109"/>
    <mergeCell ref="G26:I26"/>
    <mergeCell ref="G17:I17"/>
    <mergeCell ref="G32:I32"/>
    <mergeCell ref="G117:I117"/>
    <mergeCell ref="G11:I11"/>
    <mergeCell ref="G112:I112"/>
    <mergeCell ref="G111:I111"/>
    <mergeCell ref="G18:I18"/>
    <mergeCell ref="G19:I19"/>
    <mergeCell ref="G20:I20"/>
    <mergeCell ref="G24:I24"/>
    <mergeCell ref="G55:I55"/>
    <mergeCell ref="G48:I48"/>
    <mergeCell ref="G49:I49"/>
    <mergeCell ref="G85:I85"/>
    <mergeCell ref="G100:I100"/>
    <mergeCell ref="G86:I86"/>
    <mergeCell ref="G92:I92"/>
    <mergeCell ref="G105:I105"/>
    <mergeCell ref="G106:I106"/>
    <mergeCell ref="G79:I79"/>
    <mergeCell ref="G12:I12"/>
    <mergeCell ref="G150:I150"/>
    <mergeCell ref="G147:I147"/>
    <mergeCell ref="G148:I148"/>
    <mergeCell ref="G146:I146"/>
    <mergeCell ref="G137:I137"/>
    <mergeCell ref="G21:I21"/>
    <mergeCell ref="G101:I101"/>
    <mergeCell ref="G102:I102"/>
    <mergeCell ref="G134:I134"/>
    <mergeCell ref="G119:I119"/>
    <mergeCell ref="G133:I133"/>
    <mergeCell ref="G121:I121"/>
    <mergeCell ref="G131:I131"/>
    <mergeCell ref="G80:I80"/>
    <mergeCell ref="G81:I81"/>
    <mergeCell ref="G82:I82"/>
    <mergeCell ref="G88:I88"/>
    <mergeCell ref="G89:I89"/>
    <mergeCell ref="G45:I45"/>
    <mergeCell ref="G50:I50"/>
    <mergeCell ref="G51:I51"/>
    <mergeCell ref="G56:I56"/>
    <mergeCell ref="G57:I57"/>
    <mergeCell ref="G321:I321"/>
    <mergeCell ref="G99:I99"/>
    <mergeCell ref="G189:I189"/>
    <mergeCell ref="G190:I190"/>
    <mergeCell ref="G193:I193"/>
    <mergeCell ref="G270:I270"/>
    <mergeCell ref="G177:I177"/>
    <mergeCell ref="G179:I179"/>
    <mergeCell ref="G172:I172"/>
    <mergeCell ref="G226:I226"/>
    <mergeCell ref="G242:I242"/>
    <mergeCell ref="G252:I252"/>
    <mergeCell ref="G286:I286"/>
    <mergeCell ref="G289:I289"/>
    <mergeCell ref="G292:I292"/>
    <mergeCell ref="G283:I283"/>
    <mergeCell ref="G319:I319"/>
    <mergeCell ref="G307:I307"/>
    <mergeCell ref="G308:I308"/>
    <mergeCell ref="G312:I312"/>
    <mergeCell ref="G311:I311"/>
    <mergeCell ref="G304:I304"/>
    <mergeCell ref="G151:I151"/>
    <mergeCell ref="G294:I294"/>
  </mergeCells>
  <conditionalFormatting sqref="E25">
    <cfRule type="cellIs" dxfId="20" priority="100" operator="between">
      <formula>0.7</formula>
      <formula>0.85</formula>
    </cfRule>
    <cfRule type="cellIs" dxfId="19" priority="101" operator="lessThan">
      <formula>0.7</formula>
    </cfRule>
    <cfRule type="cellIs" dxfId="18" priority="103" operator="greaterThan">
      <formula>0.85</formula>
    </cfRule>
  </conditionalFormatting>
  <conditionalFormatting sqref="E40 E46 E52 E58 E83">
    <cfRule type="cellIs" dxfId="17" priority="16" operator="between">
      <formula>0.7</formula>
      <formula>0.85</formula>
    </cfRule>
    <cfRule type="cellIs" dxfId="16" priority="17" operator="lessThan">
      <formula>0.7</formula>
    </cfRule>
    <cfRule type="cellIs" dxfId="15" priority="18" operator="greaterThan">
      <formula>0.85</formula>
    </cfRule>
  </conditionalFormatting>
  <conditionalFormatting sqref="E92 E99 E108 E116 E122">
    <cfRule type="cellIs" dxfId="14" priority="13" operator="between">
      <formula>0.7</formula>
      <formula>0.85</formula>
    </cfRule>
    <cfRule type="cellIs" dxfId="13" priority="14" operator="lessThan">
      <formula>0.7</formula>
    </cfRule>
    <cfRule type="cellIs" dxfId="12" priority="15" operator="greaterThan">
      <formula>0.85</formula>
    </cfRule>
  </conditionalFormatting>
  <conditionalFormatting sqref="E130 E144 E156 E170 E187 E205 E225 E241 E251 E261 E269 E277">
    <cfRule type="cellIs" dxfId="11" priority="10" operator="between">
      <formula>0.7</formula>
      <formula>0.85</formula>
    </cfRule>
    <cfRule type="cellIs" dxfId="10" priority="11" operator="lessThan">
      <formula>0.7</formula>
    </cfRule>
    <cfRule type="cellIs" dxfId="9" priority="12" operator="greaterThan">
      <formula>0.85</formula>
    </cfRule>
  </conditionalFormatting>
  <conditionalFormatting sqref="E293 E300 E310 E320 E330 E348 E356 E368 E390 E413">
    <cfRule type="cellIs" dxfId="8" priority="7" operator="between">
      <formula>0.7</formula>
      <formula>0.85</formula>
    </cfRule>
    <cfRule type="cellIs" dxfId="7" priority="8" operator="lessThan">
      <formula>0.7</formula>
    </cfRule>
    <cfRule type="cellIs" dxfId="6" priority="9" operator="greaterThan">
      <formula>0.85</formula>
    </cfRule>
  </conditionalFormatting>
  <conditionalFormatting sqref="E341">
    <cfRule type="cellIs" dxfId="5" priority="1" operator="between">
      <formula>0.7</formula>
      <formula>0.85</formula>
    </cfRule>
    <cfRule type="cellIs" dxfId="4" priority="2" operator="lessThan">
      <formula>0.7</formula>
    </cfRule>
    <cfRule type="cellIs" dxfId="3" priority="3" operator="greaterThan">
      <formula>0.85</formula>
    </cfRule>
  </conditionalFormatting>
  <conditionalFormatting sqref="E416">
    <cfRule type="cellIs" dxfId="2" priority="4" operator="between">
      <formula>0.7</formula>
      <formula>0.85</formula>
    </cfRule>
    <cfRule type="cellIs" dxfId="1" priority="5" operator="lessThan">
      <formula>0.7</formula>
    </cfRule>
    <cfRule type="cellIs" dxfId="0" priority="6" operator="greaterThan">
      <formula>0.85</formula>
    </cfRule>
  </conditionalFormatting>
  <dataValidations disablePrompts="1" count="2">
    <dataValidation type="list" allowBlank="1" showInputMessage="1" showErrorMessage="1" sqref="C414:C415" xr:uid="{00000000-0002-0000-0000-000000000000}">
      <formula1>"Y,N, N/A"</formula1>
    </dataValidation>
    <dataValidation type="list" allowBlank="1" showInputMessage="1" showErrorMessage="1" sqref="C332:C340 C189:C204 C60:C82 C48:C51 C54:C57 C42:C45 C343:C347 C86:C91 C94:C98 C101:C107 C118:C121 C110:C115 C124:C129 C132:C143 C146:C155 C158:C169 C172:C186 C207:C224 C227:C240 C243:C250 C312:C319 C302:C309 C279:C292 C271:C276 C295:C299 C370:C389 C350:C355 C253:C260 C322:C329 C358:C367 C263:C268 C27:C39 C12:C24 C392:C412" xr:uid="{00000000-0002-0000-0000-000001000000}">
      <formula1>"E,H,YOK"</formula1>
    </dataValidation>
  </dataValidations>
  <pageMargins left="0.23622047244094491" right="0.31496062992125984" top="0.43307086614173229" bottom="0.35433070866141736" header="0.31496062992125984" footer="0.31496062992125984"/>
  <pageSetup scale="58" fitToHeight="8" orientation="landscape" r:id="rId1"/>
  <rowBreaks count="3" manualBreakCount="3">
    <brk id="130" max="16383" man="1"/>
    <brk id="261" max="16383" man="1"/>
    <brk id="390" max="16383" man="1"/>
  </rowBreaks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V35"/>
  <sheetViews>
    <sheetView workbookViewId="0">
      <selection activeCell="EQ35" sqref="EQ35"/>
    </sheetView>
  </sheetViews>
  <sheetFormatPr baseColWidth="10" defaultColWidth="8.83203125" defaultRowHeight="15" x14ac:dyDescent="0.2"/>
  <sheetData>
    <row r="1" spans="1:256" x14ac:dyDescent="0.2">
      <c r="A1" t="e">
        <f>IF(#REF!,"AAAAAHfbkgA=",0)</f>
        <v>#REF!</v>
      </c>
      <c r="B1" t="e">
        <f>AND(#REF!,"AAAAAHfbkgE=")</f>
        <v>#REF!</v>
      </c>
      <c r="C1" t="e">
        <f>AND(#REF!,"AAAAAHfbkgI=")</f>
        <v>#REF!</v>
      </c>
      <c r="D1" t="e">
        <f>AND(#REF!,"AAAAAHfbkgM=")</f>
        <v>#REF!</v>
      </c>
      <c r="E1" t="e">
        <f>AND(#REF!,"AAAAAHfbkgQ=")</f>
        <v>#REF!</v>
      </c>
      <c r="F1" t="e">
        <f>AND(#REF!,"AAAAAHfbkgU=")</f>
        <v>#REF!</v>
      </c>
      <c r="G1" t="e">
        <f>AND(#REF!,"AAAAAHfbkgY=")</f>
        <v>#REF!</v>
      </c>
      <c r="H1" t="e">
        <f>IF(#REF!,"AAAAAHfbkgc=",0)</f>
        <v>#REF!</v>
      </c>
      <c r="I1" t="e">
        <f>AND(#REF!,"AAAAAHfbkgg=")</f>
        <v>#REF!</v>
      </c>
      <c r="J1" t="e">
        <f>AND(#REF!,"AAAAAHfbkgk=")</f>
        <v>#REF!</v>
      </c>
      <c r="K1" t="e">
        <f>AND(#REF!,"AAAAAHfbkgo=")</f>
        <v>#REF!</v>
      </c>
      <c r="L1" t="e">
        <f>AND(#REF!,"AAAAAHfbkgs=")</f>
        <v>#REF!</v>
      </c>
      <c r="M1" t="e">
        <f>AND(#REF!,"AAAAAHfbkgw=")</f>
        <v>#REF!</v>
      </c>
      <c r="N1" t="e">
        <f>AND(#REF!,"AAAAAHfbkg0=")</f>
        <v>#REF!</v>
      </c>
      <c r="O1" t="e">
        <f>IF(#REF!,"AAAAAHfbkg4=",0)</f>
        <v>#REF!</v>
      </c>
      <c r="P1" t="e">
        <f>AND(#REF!,"AAAAAHfbkg8=")</f>
        <v>#REF!</v>
      </c>
      <c r="Q1" t="e">
        <f>AND(#REF!,"AAAAAHfbkhA=")</f>
        <v>#REF!</v>
      </c>
      <c r="R1" t="e">
        <f>AND(#REF!,"AAAAAHfbkhE=")</f>
        <v>#REF!</v>
      </c>
      <c r="S1" t="e">
        <f>AND(#REF!,"AAAAAHfbkhI=")</f>
        <v>#REF!</v>
      </c>
      <c r="T1" t="e">
        <f>AND(#REF!,"AAAAAHfbkhM=")</f>
        <v>#REF!</v>
      </c>
      <c r="U1" t="e">
        <f>AND(#REF!,"AAAAAHfbkhQ=")</f>
        <v>#REF!</v>
      </c>
      <c r="V1" t="e">
        <f>IF(#REF!,"AAAAAHfbkhU=",0)</f>
        <v>#REF!</v>
      </c>
      <c r="W1" t="e">
        <f>AND(#REF!,"AAAAAHfbkhY=")</f>
        <v>#REF!</v>
      </c>
      <c r="X1" t="e">
        <f>AND(#REF!,"AAAAAHfbkhc=")</f>
        <v>#REF!</v>
      </c>
      <c r="Y1" t="e">
        <f>AND(#REF!,"AAAAAHfbkhg=")</f>
        <v>#REF!</v>
      </c>
      <c r="Z1" t="e">
        <f>AND(#REF!,"AAAAAHfbkhk=")</f>
        <v>#REF!</v>
      </c>
      <c r="AA1" t="e">
        <f>AND(#REF!,"AAAAAHfbkho=")</f>
        <v>#REF!</v>
      </c>
      <c r="AB1" t="e">
        <f>AND(#REF!,"AAAAAHfbkhs=")</f>
        <v>#REF!</v>
      </c>
      <c r="AC1" t="e">
        <f>IF(#REF!,"AAAAAHfbkhw=",0)</f>
        <v>#REF!</v>
      </c>
      <c r="AD1" t="e">
        <f>AND(#REF!,"AAAAAHfbkh0=")</f>
        <v>#REF!</v>
      </c>
      <c r="AE1" t="e">
        <f>AND(#REF!,"AAAAAHfbkh4=")</f>
        <v>#REF!</v>
      </c>
      <c r="AF1" t="e">
        <f>AND(#REF!,"AAAAAHfbkh8=")</f>
        <v>#REF!</v>
      </c>
      <c r="AG1" t="e">
        <f>AND(#REF!,"AAAAAHfbkiA=")</f>
        <v>#REF!</v>
      </c>
      <c r="AH1" t="e">
        <f>AND(#REF!,"AAAAAHfbkiE=")</f>
        <v>#REF!</v>
      </c>
      <c r="AI1" t="e">
        <f>AND(#REF!,"AAAAAHfbkiI=")</f>
        <v>#REF!</v>
      </c>
      <c r="AJ1" t="e">
        <f>IF(#REF!,"AAAAAHfbkiM=",0)</f>
        <v>#REF!</v>
      </c>
      <c r="AK1" t="e">
        <f>AND(#REF!,"AAAAAHfbkiQ=")</f>
        <v>#REF!</v>
      </c>
      <c r="AL1" t="e">
        <f>AND(#REF!,"AAAAAHfbkiU=")</f>
        <v>#REF!</v>
      </c>
      <c r="AM1" t="e">
        <f>AND(#REF!,"AAAAAHfbkiY=")</f>
        <v>#REF!</v>
      </c>
      <c r="AN1" t="e">
        <f>AND(#REF!,"AAAAAHfbkic=")</f>
        <v>#REF!</v>
      </c>
      <c r="AO1" t="e">
        <f>AND(#REF!,"AAAAAHfbkig=")</f>
        <v>#REF!</v>
      </c>
      <c r="AP1" t="e">
        <f>AND(#REF!,"AAAAAHfbkik=")</f>
        <v>#REF!</v>
      </c>
      <c r="AQ1" t="e">
        <f>IF(#REF!,"AAAAAHfbkio=",0)</f>
        <v>#REF!</v>
      </c>
      <c r="AR1" t="e">
        <f>AND(#REF!,"AAAAAHfbkis=")</f>
        <v>#REF!</v>
      </c>
      <c r="AS1" t="e">
        <f>AND(#REF!,"AAAAAHfbkiw=")</f>
        <v>#REF!</v>
      </c>
      <c r="AT1" t="e">
        <f>AND(#REF!,"AAAAAHfbki0=")</f>
        <v>#REF!</v>
      </c>
      <c r="AU1" t="e">
        <f>AND(#REF!,"AAAAAHfbki4=")</f>
        <v>#REF!</v>
      </c>
      <c r="AV1" t="e">
        <f>AND(#REF!,"AAAAAHfbki8=")</f>
        <v>#REF!</v>
      </c>
      <c r="AW1" t="e">
        <f>AND(#REF!,"AAAAAHfbkjA=")</f>
        <v>#REF!</v>
      </c>
      <c r="AX1" t="e">
        <f>IF(#REF!,"AAAAAHfbkjE=",0)</f>
        <v>#REF!</v>
      </c>
      <c r="AY1" t="e">
        <f>AND(#REF!,"AAAAAHfbkjI=")</f>
        <v>#REF!</v>
      </c>
      <c r="AZ1" t="e">
        <f>AND(#REF!,"AAAAAHfbkjM=")</f>
        <v>#REF!</v>
      </c>
      <c r="BA1" t="e">
        <f>AND(#REF!,"AAAAAHfbkjQ=")</f>
        <v>#REF!</v>
      </c>
      <c r="BB1" t="e">
        <f>AND(#REF!,"AAAAAHfbkjU=")</f>
        <v>#REF!</v>
      </c>
      <c r="BC1" t="e">
        <f>AND(#REF!,"AAAAAHfbkjY=")</f>
        <v>#REF!</v>
      </c>
      <c r="BD1" t="e">
        <f>AND(#REF!,"AAAAAHfbkjc=")</f>
        <v>#REF!</v>
      </c>
      <c r="BE1" t="e">
        <f>IF(#REF!,"AAAAAHfbkjg=",0)</f>
        <v>#REF!</v>
      </c>
      <c r="BF1" t="e">
        <f>AND(#REF!,"AAAAAHfbkjk=")</f>
        <v>#REF!</v>
      </c>
      <c r="BG1" t="e">
        <f>AND(#REF!,"AAAAAHfbkjo=")</f>
        <v>#REF!</v>
      </c>
      <c r="BH1" t="e">
        <f>AND(#REF!,"AAAAAHfbkjs=")</f>
        <v>#REF!</v>
      </c>
      <c r="BI1" t="e">
        <f>AND(#REF!,"AAAAAHfbkjw=")</f>
        <v>#REF!</v>
      </c>
      <c r="BJ1" t="e">
        <f>AND(#REF!,"AAAAAHfbkj0=")</f>
        <v>#REF!</v>
      </c>
      <c r="BK1" t="e">
        <f>AND(#REF!,"AAAAAHfbkj4=")</f>
        <v>#REF!</v>
      </c>
      <c r="BL1" t="e">
        <f>IF(#REF!,"AAAAAHfbkj8=",0)</f>
        <v>#REF!</v>
      </c>
      <c r="BM1" t="e">
        <f>AND(#REF!,"AAAAAHfbkkA=")</f>
        <v>#REF!</v>
      </c>
      <c r="BN1" t="e">
        <f>AND(#REF!,"AAAAAHfbkkE=")</f>
        <v>#REF!</v>
      </c>
      <c r="BO1" t="e">
        <f>AND(#REF!,"AAAAAHfbkkI=")</f>
        <v>#REF!</v>
      </c>
      <c r="BP1" t="e">
        <f>AND(#REF!,"AAAAAHfbkkM=")</f>
        <v>#REF!</v>
      </c>
      <c r="BQ1" t="e">
        <f>AND(#REF!,"AAAAAHfbkkQ=")</f>
        <v>#REF!</v>
      </c>
      <c r="BR1" t="e">
        <f>AND(#REF!,"AAAAAHfbkkU=")</f>
        <v>#REF!</v>
      </c>
      <c r="BS1" t="e">
        <f>IF(#REF!,"AAAAAHfbkkY=",0)</f>
        <v>#REF!</v>
      </c>
      <c r="BT1" t="e">
        <f>AND(#REF!,"AAAAAHfbkkc=")</f>
        <v>#REF!</v>
      </c>
      <c r="BU1" t="e">
        <f>AND(#REF!,"AAAAAHfbkkg=")</f>
        <v>#REF!</v>
      </c>
      <c r="BV1" t="e">
        <f>AND(#REF!,"AAAAAHfbkkk=")</f>
        <v>#REF!</v>
      </c>
      <c r="BW1" t="e">
        <f>AND(#REF!,"AAAAAHfbkko=")</f>
        <v>#REF!</v>
      </c>
      <c r="BX1" t="e">
        <f>AND(#REF!,"AAAAAHfbkks=")</f>
        <v>#REF!</v>
      </c>
      <c r="BY1" t="e">
        <f>AND(#REF!,"AAAAAHfbkkw=")</f>
        <v>#REF!</v>
      </c>
      <c r="BZ1" t="e">
        <f>IF(#REF!,"AAAAAHfbkk0=",0)</f>
        <v>#REF!</v>
      </c>
      <c r="CA1" t="e">
        <f>AND(#REF!,"AAAAAHfbkk4=")</f>
        <v>#REF!</v>
      </c>
      <c r="CB1" t="e">
        <f>AND(#REF!,"AAAAAHfbkk8=")</f>
        <v>#REF!</v>
      </c>
      <c r="CC1" t="e">
        <f>AND(#REF!,"AAAAAHfbklA=")</f>
        <v>#REF!</v>
      </c>
      <c r="CD1" t="e">
        <f>AND(#REF!,"AAAAAHfbklE=")</f>
        <v>#REF!</v>
      </c>
      <c r="CE1" t="e">
        <f>AND(#REF!,"AAAAAHfbklI=")</f>
        <v>#REF!</v>
      </c>
      <c r="CF1" t="e">
        <f>AND(#REF!,"AAAAAHfbklM=")</f>
        <v>#REF!</v>
      </c>
      <c r="CG1" t="e">
        <f>IF(#REF!,"AAAAAHfbklQ=",0)</f>
        <v>#REF!</v>
      </c>
      <c r="CH1" t="e">
        <f>AND(#REF!,"AAAAAHfbklU=")</f>
        <v>#REF!</v>
      </c>
      <c r="CI1" t="e">
        <f>AND(#REF!,"AAAAAHfbklY=")</f>
        <v>#REF!</v>
      </c>
      <c r="CJ1" t="e">
        <f>AND(#REF!,"AAAAAHfbklc=")</f>
        <v>#REF!</v>
      </c>
      <c r="CK1" t="e">
        <f>AND(#REF!,"AAAAAHfbklg=")</f>
        <v>#REF!</v>
      </c>
      <c r="CL1" t="e">
        <f>AND(#REF!,"AAAAAHfbklk=")</f>
        <v>#REF!</v>
      </c>
      <c r="CM1" t="e">
        <f>AND(#REF!,"AAAAAHfbklo=")</f>
        <v>#REF!</v>
      </c>
      <c r="CN1" t="e">
        <f>IF(#REF!,"AAAAAHfbkls=",0)</f>
        <v>#REF!</v>
      </c>
      <c r="CO1" t="e">
        <f>AND(#REF!,"AAAAAHfbklw=")</f>
        <v>#REF!</v>
      </c>
      <c r="CP1" t="e">
        <f>AND(#REF!,"AAAAAHfbkl0=")</f>
        <v>#REF!</v>
      </c>
      <c r="CQ1" t="e">
        <f>AND(#REF!,"AAAAAHfbkl4=")</f>
        <v>#REF!</v>
      </c>
      <c r="CR1" t="e">
        <f>AND(#REF!,"AAAAAHfbkl8=")</f>
        <v>#REF!</v>
      </c>
      <c r="CS1" t="e">
        <f>AND(#REF!,"AAAAAHfbkmA=")</f>
        <v>#REF!</v>
      </c>
      <c r="CT1" t="e">
        <f>AND(#REF!,"AAAAAHfbkmE=")</f>
        <v>#REF!</v>
      </c>
      <c r="CU1" t="e">
        <f>IF(#REF!,"AAAAAHfbkmI=",0)</f>
        <v>#REF!</v>
      </c>
      <c r="CV1" t="e">
        <f>AND(#REF!,"AAAAAHfbkmM=")</f>
        <v>#REF!</v>
      </c>
      <c r="CW1" t="e">
        <f>AND(#REF!,"AAAAAHfbkmQ=")</f>
        <v>#REF!</v>
      </c>
      <c r="CX1" t="e">
        <f>AND(#REF!,"AAAAAHfbkmU=")</f>
        <v>#REF!</v>
      </c>
      <c r="CY1" t="e">
        <f>AND(#REF!,"AAAAAHfbkmY=")</f>
        <v>#REF!</v>
      </c>
      <c r="CZ1" t="e">
        <f>AND(#REF!,"AAAAAHfbkmc=")</f>
        <v>#REF!</v>
      </c>
      <c r="DA1" t="e">
        <f>AND(#REF!,"AAAAAHfbkmg=")</f>
        <v>#REF!</v>
      </c>
      <c r="DB1" t="e">
        <f>IF(#REF!,"AAAAAHfbkmk=",0)</f>
        <v>#REF!</v>
      </c>
      <c r="DC1" t="e">
        <f>AND(#REF!,"AAAAAHfbkmo=")</f>
        <v>#REF!</v>
      </c>
      <c r="DD1" t="e">
        <f>AND(#REF!,"AAAAAHfbkms=")</f>
        <v>#REF!</v>
      </c>
      <c r="DE1" t="e">
        <f>AND(#REF!,"AAAAAHfbkmw=")</f>
        <v>#REF!</v>
      </c>
      <c r="DF1" t="e">
        <f>AND(#REF!,"AAAAAHfbkm0=")</f>
        <v>#REF!</v>
      </c>
      <c r="DG1" t="e">
        <f>AND(#REF!,"AAAAAHfbkm4=")</f>
        <v>#REF!</v>
      </c>
      <c r="DH1" t="e">
        <f>AND(#REF!,"AAAAAHfbkm8=")</f>
        <v>#REF!</v>
      </c>
      <c r="DI1" t="e">
        <f>IF(#REF!,"AAAAAHfbknA=",0)</f>
        <v>#REF!</v>
      </c>
      <c r="DJ1" t="e">
        <f>AND(#REF!,"AAAAAHfbknE=")</f>
        <v>#REF!</v>
      </c>
      <c r="DK1" t="e">
        <f>AND(#REF!,"AAAAAHfbknI=")</f>
        <v>#REF!</v>
      </c>
      <c r="DL1" t="e">
        <f>AND(#REF!,"AAAAAHfbknM=")</f>
        <v>#REF!</v>
      </c>
      <c r="DM1" t="e">
        <f>AND(#REF!,"AAAAAHfbknQ=")</f>
        <v>#REF!</v>
      </c>
      <c r="DN1" t="e">
        <f>AND(#REF!,"AAAAAHfbknU=")</f>
        <v>#REF!</v>
      </c>
      <c r="DO1" t="e">
        <f>AND(#REF!,"AAAAAHfbknY=")</f>
        <v>#REF!</v>
      </c>
      <c r="DP1" t="e">
        <f>IF(#REF!,"AAAAAHfbknc=",0)</f>
        <v>#REF!</v>
      </c>
      <c r="DQ1" t="e">
        <f>AND(#REF!,"AAAAAHfbkng=")</f>
        <v>#REF!</v>
      </c>
      <c r="DR1" t="e">
        <f>AND(#REF!,"AAAAAHfbknk=")</f>
        <v>#REF!</v>
      </c>
      <c r="DS1" t="e">
        <f>AND(#REF!,"AAAAAHfbkno=")</f>
        <v>#REF!</v>
      </c>
      <c r="DT1" t="e">
        <f>AND(#REF!,"AAAAAHfbkns=")</f>
        <v>#REF!</v>
      </c>
      <c r="DU1" t="e">
        <f>AND(#REF!,"AAAAAHfbknw=")</f>
        <v>#REF!</v>
      </c>
      <c r="DV1" t="e">
        <f>AND(#REF!,"AAAAAHfbkn0=")</f>
        <v>#REF!</v>
      </c>
      <c r="DW1" t="e">
        <f>IF(#REF!,"AAAAAHfbkn4=",0)</f>
        <v>#REF!</v>
      </c>
      <c r="DX1" t="e">
        <f>AND(#REF!,"AAAAAHfbkn8=")</f>
        <v>#REF!</v>
      </c>
      <c r="DY1" t="e">
        <f>AND(#REF!,"AAAAAHfbkoA=")</f>
        <v>#REF!</v>
      </c>
      <c r="DZ1" t="e">
        <f>AND(#REF!,"AAAAAHfbkoE=")</f>
        <v>#REF!</v>
      </c>
      <c r="EA1" t="e">
        <f>AND(#REF!,"AAAAAHfbkoI=")</f>
        <v>#REF!</v>
      </c>
      <c r="EB1" t="e">
        <f>AND(#REF!,"AAAAAHfbkoM=")</f>
        <v>#REF!</v>
      </c>
      <c r="EC1" t="e">
        <f>AND(#REF!,"AAAAAHfbkoQ=")</f>
        <v>#REF!</v>
      </c>
      <c r="ED1" t="e">
        <f>IF(#REF!,"AAAAAHfbkoU=",0)</f>
        <v>#REF!</v>
      </c>
      <c r="EE1" t="e">
        <f>AND(#REF!,"AAAAAHfbkoY=")</f>
        <v>#REF!</v>
      </c>
      <c r="EF1" t="e">
        <f>AND(#REF!,"AAAAAHfbkoc=")</f>
        <v>#REF!</v>
      </c>
      <c r="EG1" t="e">
        <f>AND(#REF!,"AAAAAHfbkog=")</f>
        <v>#REF!</v>
      </c>
      <c r="EH1" t="e">
        <f>AND(#REF!,"AAAAAHfbkok=")</f>
        <v>#REF!</v>
      </c>
      <c r="EI1" t="e">
        <f>AND(#REF!,"AAAAAHfbkoo=")</f>
        <v>#REF!</v>
      </c>
      <c r="EJ1" t="e">
        <f>AND(#REF!,"AAAAAHfbkos=")</f>
        <v>#REF!</v>
      </c>
      <c r="EK1" t="e">
        <f>IF(#REF!,"AAAAAHfbkow=",0)</f>
        <v>#REF!</v>
      </c>
      <c r="EL1" t="e">
        <f>AND(#REF!,"AAAAAHfbko0=")</f>
        <v>#REF!</v>
      </c>
      <c r="EM1" t="e">
        <f>AND(#REF!,"AAAAAHfbko4=")</f>
        <v>#REF!</v>
      </c>
      <c r="EN1" t="e">
        <f>AND(#REF!,"AAAAAHfbko8=")</f>
        <v>#REF!</v>
      </c>
      <c r="EO1" t="e">
        <f>AND(#REF!,"AAAAAHfbkpA=")</f>
        <v>#REF!</v>
      </c>
      <c r="EP1" t="e">
        <f>AND(#REF!,"AAAAAHfbkpE=")</f>
        <v>#REF!</v>
      </c>
      <c r="EQ1" t="e">
        <f>AND(#REF!,"AAAAAHfbkpI=")</f>
        <v>#REF!</v>
      </c>
      <c r="ER1" t="e">
        <f>IF(#REF!,"AAAAAHfbkpM=",0)</f>
        <v>#REF!</v>
      </c>
      <c r="ES1" t="e">
        <f>AND(#REF!,"AAAAAHfbkpQ=")</f>
        <v>#REF!</v>
      </c>
      <c r="ET1" t="e">
        <f>AND(#REF!,"AAAAAHfbkpU=")</f>
        <v>#REF!</v>
      </c>
      <c r="EU1" t="e">
        <f>AND(#REF!,"AAAAAHfbkpY=")</f>
        <v>#REF!</v>
      </c>
      <c r="EV1" t="e">
        <f>AND(#REF!,"AAAAAHfbkpc=")</f>
        <v>#REF!</v>
      </c>
      <c r="EW1" t="e">
        <f>AND(#REF!,"AAAAAHfbkpg=")</f>
        <v>#REF!</v>
      </c>
      <c r="EX1" t="e">
        <f>AND(#REF!,"AAAAAHfbkpk=")</f>
        <v>#REF!</v>
      </c>
      <c r="EY1" t="e">
        <f>IF(#REF!,"AAAAAHfbkpo=",0)</f>
        <v>#REF!</v>
      </c>
      <c r="EZ1" t="e">
        <f>AND(#REF!,"AAAAAHfbkps=")</f>
        <v>#REF!</v>
      </c>
      <c r="FA1" t="e">
        <f>AND(#REF!,"AAAAAHfbkpw=")</f>
        <v>#REF!</v>
      </c>
      <c r="FB1" t="e">
        <f>AND(#REF!,"AAAAAHfbkp0=")</f>
        <v>#REF!</v>
      </c>
      <c r="FC1" t="e">
        <f>AND(#REF!,"AAAAAHfbkp4=")</f>
        <v>#REF!</v>
      </c>
      <c r="FD1" t="e">
        <f>AND(#REF!,"AAAAAHfbkp8=")</f>
        <v>#REF!</v>
      </c>
      <c r="FE1" t="e">
        <f>AND(#REF!,"AAAAAHfbkqA=")</f>
        <v>#REF!</v>
      </c>
      <c r="FF1" t="e">
        <f>IF(#REF!,"AAAAAHfbkqE=",0)</f>
        <v>#REF!</v>
      </c>
      <c r="FG1" t="e">
        <f>AND(#REF!,"AAAAAHfbkqI=")</f>
        <v>#REF!</v>
      </c>
      <c r="FH1" t="e">
        <f>AND(#REF!,"AAAAAHfbkqM=")</f>
        <v>#REF!</v>
      </c>
      <c r="FI1" t="e">
        <f>AND(#REF!,"AAAAAHfbkqQ=")</f>
        <v>#REF!</v>
      </c>
      <c r="FJ1" t="e">
        <f>AND(#REF!,"AAAAAHfbkqU=")</f>
        <v>#REF!</v>
      </c>
      <c r="FK1" t="e">
        <f>AND(#REF!,"AAAAAHfbkqY=")</f>
        <v>#REF!</v>
      </c>
      <c r="FL1" t="e">
        <f>AND(#REF!,"AAAAAHfbkqc=")</f>
        <v>#REF!</v>
      </c>
      <c r="FM1" t="e">
        <f>IF(#REF!,"AAAAAHfbkqg=",0)</f>
        <v>#REF!</v>
      </c>
      <c r="FN1" t="e">
        <f>AND(#REF!,"AAAAAHfbkqk=")</f>
        <v>#REF!</v>
      </c>
      <c r="FO1" t="e">
        <f>AND(#REF!,"AAAAAHfbkqo=")</f>
        <v>#REF!</v>
      </c>
      <c r="FP1" t="e">
        <f>AND(#REF!,"AAAAAHfbkqs=")</f>
        <v>#REF!</v>
      </c>
      <c r="FQ1" t="e">
        <f>AND(#REF!,"AAAAAHfbkqw=")</f>
        <v>#REF!</v>
      </c>
      <c r="FR1" t="e">
        <f>AND(#REF!,"AAAAAHfbkq0=")</f>
        <v>#REF!</v>
      </c>
      <c r="FS1" t="e">
        <f>AND(#REF!,"AAAAAHfbkq4=")</f>
        <v>#REF!</v>
      </c>
      <c r="FT1" t="e">
        <f>IF(#REF!,"AAAAAHfbkq8=",0)</f>
        <v>#REF!</v>
      </c>
      <c r="FU1" t="e">
        <f>AND(#REF!,"AAAAAHfbkrA=")</f>
        <v>#REF!</v>
      </c>
      <c r="FV1" t="e">
        <f>AND(#REF!,"AAAAAHfbkrE=")</f>
        <v>#REF!</v>
      </c>
      <c r="FW1" t="e">
        <f>AND(#REF!,"AAAAAHfbkrI=")</f>
        <v>#REF!</v>
      </c>
      <c r="FX1" t="e">
        <f>AND(#REF!,"AAAAAHfbkrM=")</f>
        <v>#REF!</v>
      </c>
      <c r="FY1" t="e">
        <f>AND(#REF!,"AAAAAHfbkrQ=")</f>
        <v>#REF!</v>
      </c>
      <c r="FZ1" t="e">
        <f>AND(#REF!,"AAAAAHfbkrU=")</f>
        <v>#REF!</v>
      </c>
      <c r="GA1" t="e">
        <f>IF(#REF!,"AAAAAHfbkrY=",0)</f>
        <v>#REF!</v>
      </c>
      <c r="GB1" t="e">
        <f>AND(#REF!,"AAAAAHfbkrc=")</f>
        <v>#REF!</v>
      </c>
      <c r="GC1" t="e">
        <f>AND(#REF!,"AAAAAHfbkrg=")</f>
        <v>#REF!</v>
      </c>
      <c r="GD1" t="e">
        <f>AND(#REF!,"AAAAAHfbkrk=")</f>
        <v>#REF!</v>
      </c>
      <c r="GE1" t="e">
        <f>AND(#REF!,"AAAAAHfbkro=")</f>
        <v>#REF!</v>
      </c>
      <c r="GF1" t="e">
        <f>AND(#REF!,"AAAAAHfbkrs=")</f>
        <v>#REF!</v>
      </c>
      <c r="GG1" t="e">
        <f>AND(#REF!,"AAAAAHfbkrw=")</f>
        <v>#REF!</v>
      </c>
      <c r="GH1" t="e">
        <f>IF(#REF!,"AAAAAHfbkr0=",0)</f>
        <v>#REF!</v>
      </c>
      <c r="GI1" t="e">
        <f>AND(#REF!,"AAAAAHfbkr4=")</f>
        <v>#REF!</v>
      </c>
      <c r="GJ1" t="e">
        <f>AND(#REF!,"AAAAAHfbkr8=")</f>
        <v>#REF!</v>
      </c>
      <c r="GK1" t="e">
        <f>AND(#REF!,"AAAAAHfbksA=")</f>
        <v>#REF!</v>
      </c>
      <c r="GL1" t="e">
        <f>AND(#REF!,"AAAAAHfbksE=")</f>
        <v>#REF!</v>
      </c>
      <c r="GM1" t="e">
        <f>AND(#REF!,"AAAAAHfbksI=")</f>
        <v>#REF!</v>
      </c>
      <c r="GN1" t="e">
        <f>AND(#REF!,"AAAAAHfbksM=")</f>
        <v>#REF!</v>
      </c>
      <c r="GO1" t="e">
        <f>IF(#REF!,"AAAAAHfbksQ=",0)</f>
        <v>#REF!</v>
      </c>
      <c r="GP1" t="e">
        <f>AND(#REF!,"AAAAAHfbksU=")</f>
        <v>#REF!</v>
      </c>
      <c r="GQ1" t="e">
        <f>AND(#REF!,"AAAAAHfbksY=")</f>
        <v>#REF!</v>
      </c>
      <c r="GR1" t="e">
        <f>AND(#REF!,"AAAAAHfbksc=")</f>
        <v>#REF!</v>
      </c>
      <c r="GS1" t="e">
        <f>AND(#REF!,"AAAAAHfbksg=")</f>
        <v>#REF!</v>
      </c>
      <c r="GT1" t="e">
        <f>AND(#REF!,"AAAAAHfbksk=")</f>
        <v>#REF!</v>
      </c>
      <c r="GU1" t="e">
        <f>AND(#REF!,"AAAAAHfbkso=")</f>
        <v>#REF!</v>
      </c>
      <c r="GV1" t="e">
        <f>IF(#REF!,"AAAAAHfbkss=",0)</f>
        <v>#REF!</v>
      </c>
      <c r="GW1" t="e">
        <f>AND(#REF!,"AAAAAHfbksw=")</f>
        <v>#REF!</v>
      </c>
      <c r="GX1" t="e">
        <f>AND(#REF!,"AAAAAHfbks0=")</f>
        <v>#REF!</v>
      </c>
      <c r="GY1" t="e">
        <f>AND(#REF!,"AAAAAHfbks4=")</f>
        <v>#REF!</v>
      </c>
      <c r="GZ1" t="e">
        <f>AND(#REF!,"AAAAAHfbks8=")</f>
        <v>#REF!</v>
      </c>
      <c r="HA1" t="e">
        <f>AND(#REF!,"AAAAAHfbktA=")</f>
        <v>#REF!</v>
      </c>
      <c r="HB1" t="e">
        <f>AND(#REF!,"AAAAAHfbktE=")</f>
        <v>#REF!</v>
      </c>
      <c r="HC1" t="e">
        <f>IF(#REF!,"AAAAAHfbktI=",0)</f>
        <v>#REF!</v>
      </c>
      <c r="HD1" t="e">
        <f>AND(#REF!,"AAAAAHfbktM=")</f>
        <v>#REF!</v>
      </c>
      <c r="HE1" t="e">
        <f>AND(#REF!,"AAAAAHfbktQ=")</f>
        <v>#REF!</v>
      </c>
      <c r="HF1" t="e">
        <f>AND(#REF!,"AAAAAHfbktU=")</f>
        <v>#REF!</v>
      </c>
      <c r="HG1" t="e">
        <f>AND(#REF!,"AAAAAHfbktY=")</f>
        <v>#REF!</v>
      </c>
      <c r="HH1" t="e">
        <f>AND(#REF!,"AAAAAHfbktc=")</f>
        <v>#REF!</v>
      </c>
      <c r="HI1" t="e">
        <f>AND(#REF!,"AAAAAHfbktg=")</f>
        <v>#REF!</v>
      </c>
      <c r="HJ1" t="e">
        <f>IF(#REF!,"AAAAAHfbktk=",0)</f>
        <v>#REF!</v>
      </c>
      <c r="HK1" t="e">
        <f>AND(#REF!,"AAAAAHfbkto=")</f>
        <v>#REF!</v>
      </c>
      <c r="HL1" t="e">
        <f>AND(#REF!,"AAAAAHfbkts=")</f>
        <v>#REF!</v>
      </c>
      <c r="HM1" t="e">
        <f>AND(#REF!,"AAAAAHfbktw=")</f>
        <v>#REF!</v>
      </c>
      <c r="HN1" t="e">
        <f>AND(#REF!,"AAAAAHfbkt0=")</f>
        <v>#REF!</v>
      </c>
      <c r="HO1" t="e">
        <f>AND(#REF!,"AAAAAHfbkt4=")</f>
        <v>#REF!</v>
      </c>
      <c r="HP1" t="e">
        <f>AND(#REF!,"AAAAAHfbkt8=")</f>
        <v>#REF!</v>
      </c>
      <c r="HQ1" t="e">
        <f>IF(#REF!,"AAAAAHfbkuA=",0)</f>
        <v>#REF!</v>
      </c>
      <c r="HR1" t="e">
        <f>AND(#REF!,"AAAAAHfbkuE=")</f>
        <v>#REF!</v>
      </c>
      <c r="HS1" t="e">
        <f>AND(#REF!,"AAAAAHfbkuI=")</f>
        <v>#REF!</v>
      </c>
      <c r="HT1" t="e">
        <f>AND(#REF!,"AAAAAHfbkuM=")</f>
        <v>#REF!</v>
      </c>
      <c r="HU1" t="e">
        <f>AND(#REF!,"AAAAAHfbkuQ=")</f>
        <v>#REF!</v>
      </c>
      <c r="HV1" t="e">
        <f>AND(#REF!,"AAAAAHfbkuU=")</f>
        <v>#REF!</v>
      </c>
      <c r="HW1" t="e">
        <f>AND(#REF!,"AAAAAHfbkuY=")</f>
        <v>#REF!</v>
      </c>
      <c r="HX1" t="e">
        <f>IF(#REF!,"AAAAAHfbkuc=",0)</f>
        <v>#REF!</v>
      </c>
      <c r="HY1" t="e">
        <f>AND(#REF!,"AAAAAHfbkug=")</f>
        <v>#REF!</v>
      </c>
      <c r="HZ1" t="e">
        <f>AND(#REF!,"AAAAAHfbkuk=")</f>
        <v>#REF!</v>
      </c>
      <c r="IA1" t="e">
        <f>AND(#REF!,"AAAAAHfbkuo=")</f>
        <v>#REF!</v>
      </c>
      <c r="IB1" t="e">
        <f>AND(#REF!,"AAAAAHfbkus=")</f>
        <v>#REF!</v>
      </c>
      <c r="IC1" t="e">
        <f>AND(#REF!,"AAAAAHfbkuw=")</f>
        <v>#REF!</v>
      </c>
      <c r="ID1" t="e">
        <f>AND(#REF!,"AAAAAHfbku0=")</f>
        <v>#REF!</v>
      </c>
      <c r="IE1" t="e">
        <f>IF(#REF!,"AAAAAHfbku4=",0)</f>
        <v>#REF!</v>
      </c>
      <c r="IF1" t="e">
        <f>AND(#REF!,"AAAAAHfbku8=")</f>
        <v>#REF!</v>
      </c>
      <c r="IG1" t="e">
        <f>AND(#REF!,"AAAAAHfbkvA=")</f>
        <v>#REF!</v>
      </c>
      <c r="IH1" t="e">
        <f>AND(#REF!,"AAAAAHfbkvE=")</f>
        <v>#REF!</v>
      </c>
      <c r="II1" t="e">
        <f>AND(#REF!,"AAAAAHfbkvI=")</f>
        <v>#REF!</v>
      </c>
      <c r="IJ1" t="e">
        <f>AND(#REF!,"AAAAAHfbkvM=")</f>
        <v>#REF!</v>
      </c>
      <c r="IK1" t="e">
        <f>AND(#REF!,"AAAAAHfbkvQ=")</f>
        <v>#REF!</v>
      </c>
      <c r="IL1" t="e">
        <f>IF(#REF!,"AAAAAHfbkvU=",0)</f>
        <v>#REF!</v>
      </c>
      <c r="IM1" t="e">
        <f>AND(#REF!,"AAAAAHfbkvY=")</f>
        <v>#REF!</v>
      </c>
      <c r="IN1" t="e">
        <f>AND(#REF!,"AAAAAHfbkvc=")</f>
        <v>#REF!</v>
      </c>
      <c r="IO1" t="e">
        <f>AND(#REF!,"AAAAAHfbkvg=")</f>
        <v>#REF!</v>
      </c>
      <c r="IP1" t="e">
        <f>AND(#REF!,"AAAAAHfbkvk=")</f>
        <v>#REF!</v>
      </c>
      <c r="IQ1" t="e">
        <f>AND(#REF!,"AAAAAHfbkvo=")</f>
        <v>#REF!</v>
      </c>
      <c r="IR1" t="e">
        <f>AND(#REF!,"AAAAAHfbkvs=")</f>
        <v>#REF!</v>
      </c>
      <c r="IS1" t="e">
        <f>IF(#REF!,"AAAAAHfbkvw=",0)</f>
        <v>#REF!</v>
      </c>
      <c r="IT1" t="e">
        <f>AND(#REF!,"AAAAAHfbkv0=")</f>
        <v>#REF!</v>
      </c>
      <c r="IU1" t="e">
        <f>AND(#REF!,"AAAAAHfbkv4=")</f>
        <v>#REF!</v>
      </c>
      <c r="IV1" t="e">
        <f>AND(#REF!,"AAAAAHfbkv8=")</f>
        <v>#REF!</v>
      </c>
    </row>
    <row r="2" spans="1:256" x14ac:dyDescent="0.2">
      <c r="A2" t="e">
        <f>AND(#REF!,"AAAAAD/vfwA=")</f>
        <v>#REF!</v>
      </c>
      <c r="B2" t="e">
        <f>AND(#REF!,"AAAAAD/vfwE=")</f>
        <v>#REF!</v>
      </c>
      <c r="C2" t="e">
        <f>AND(#REF!,"AAAAAD/vfwI=")</f>
        <v>#REF!</v>
      </c>
      <c r="D2" t="e">
        <f>IF(#REF!,"AAAAAD/vfwM=",0)</f>
        <v>#REF!</v>
      </c>
      <c r="E2" t="e">
        <f>AND(#REF!,"AAAAAD/vfwQ=")</f>
        <v>#REF!</v>
      </c>
      <c r="F2" t="e">
        <f>AND(#REF!,"AAAAAD/vfwU=")</f>
        <v>#REF!</v>
      </c>
      <c r="G2" t="e">
        <f>AND(#REF!,"AAAAAD/vfwY=")</f>
        <v>#REF!</v>
      </c>
      <c r="H2" t="e">
        <f>AND(#REF!,"AAAAAD/vfwc=")</f>
        <v>#REF!</v>
      </c>
      <c r="I2" t="e">
        <f>AND(#REF!,"AAAAAD/vfwg=")</f>
        <v>#REF!</v>
      </c>
      <c r="J2" t="e">
        <f>AND(#REF!,"AAAAAD/vfwk=")</f>
        <v>#REF!</v>
      </c>
      <c r="K2" t="e">
        <f>IF(#REF!,"AAAAAD/vfwo=",0)</f>
        <v>#REF!</v>
      </c>
      <c r="L2" t="e">
        <f>AND(#REF!,"AAAAAD/vfws=")</f>
        <v>#REF!</v>
      </c>
      <c r="M2" t="e">
        <f>AND(#REF!,"AAAAAD/vfww=")</f>
        <v>#REF!</v>
      </c>
      <c r="N2" t="e">
        <f>AND(#REF!,"AAAAAD/vfw0=")</f>
        <v>#REF!</v>
      </c>
      <c r="O2" t="e">
        <f>AND(#REF!,"AAAAAD/vfw4=")</f>
        <v>#REF!</v>
      </c>
      <c r="P2" t="e">
        <f>AND(#REF!,"AAAAAD/vfw8=")</f>
        <v>#REF!</v>
      </c>
      <c r="Q2" t="e">
        <f>AND(#REF!,"AAAAAD/vfxA=")</f>
        <v>#REF!</v>
      </c>
      <c r="R2" t="e">
        <f>IF(#REF!,"AAAAAD/vfxE=",0)</f>
        <v>#REF!</v>
      </c>
      <c r="S2" t="e">
        <f>AND(#REF!,"AAAAAD/vfxI=")</f>
        <v>#REF!</v>
      </c>
      <c r="T2" t="e">
        <f>AND(#REF!,"AAAAAD/vfxM=")</f>
        <v>#REF!</v>
      </c>
      <c r="U2" t="e">
        <f>AND(#REF!,"AAAAAD/vfxQ=")</f>
        <v>#REF!</v>
      </c>
      <c r="V2" t="e">
        <f>AND(#REF!,"AAAAAD/vfxU=")</f>
        <v>#REF!</v>
      </c>
      <c r="W2" t="e">
        <f>AND(#REF!,"AAAAAD/vfxY=")</f>
        <v>#REF!</v>
      </c>
      <c r="X2" t="e">
        <f>AND(#REF!,"AAAAAD/vfxc=")</f>
        <v>#REF!</v>
      </c>
      <c r="Y2" t="e">
        <f>IF(#REF!,"AAAAAD/vfxg=",0)</f>
        <v>#REF!</v>
      </c>
      <c r="Z2" t="e">
        <f>AND(#REF!,"AAAAAD/vfxk=")</f>
        <v>#REF!</v>
      </c>
      <c r="AA2" t="e">
        <f>AND(#REF!,"AAAAAD/vfxo=")</f>
        <v>#REF!</v>
      </c>
      <c r="AB2" t="e">
        <f>AND(#REF!,"AAAAAD/vfxs=")</f>
        <v>#REF!</v>
      </c>
      <c r="AC2" t="e">
        <f>AND(#REF!,"AAAAAD/vfxw=")</f>
        <v>#REF!</v>
      </c>
      <c r="AD2" t="e">
        <f>AND(#REF!,"AAAAAD/vfx0=")</f>
        <v>#REF!</v>
      </c>
      <c r="AE2" t="e">
        <f>AND(#REF!,"AAAAAD/vfx4=")</f>
        <v>#REF!</v>
      </c>
      <c r="AF2" t="e">
        <f>IF(#REF!,"AAAAAD/vfx8=",0)</f>
        <v>#REF!</v>
      </c>
      <c r="AG2" t="e">
        <f>AND(#REF!,"AAAAAD/vfyA=")</f>
        <v>#REF!</v>
      </c>
      <c r="AH2" t="e">
        <f>AND(#REF!,"AAAAAD/vfyE=")</f>
        <v>#REF!</v>
      </c>
      <c r="AI2" t="e">
        <f>AND(#REF!,"AAAAAD/vfyI=")</f>
        <v>#REF!</v>
      </c>
      <c r="AJ2" t="e">
        <f>AND(#REF!,"AAAAAD/vfyM=")</f>
        <v>#REF!</v>
      </c>
      <c r="AK2" t="e">
        <f>AND(#REF!,"AAAAAD/vfyQ=")</f>
        <v>#REF!</v>
      </c>
      <c r="AL2" t="e">
        <f>AND(#REF!,"AAAAAD/vfyU=")</f>
        <v>#REF!</v>
      </c>
      <c r="AM2" t="e">
        <f>IF(#REF!,"AAAAAD/vfyY=",0)</f>
        <v>#REF!</v>
      </c>
      <c r="AN2" t="e">
        <f>AND(#REF!,"AAAAAD/vfyc=")</f>
        <v>#REF!</v>
      </c>
      <c r="AO2" t="e">
        <f>AND(#REF!,"AAAAAD/vfyg=")</f>
        <v>#REF!</v>
      </c>
      <c r="AP2" t="e">
        <f>AND(#REF!,"AAAAAD/vfyk=")</f>
        <v>#REF!</v>
      </c>
      <c r="AQ2" t="e">
        <f>AND(#REF!,"AAAAAD/vfyo=")</f>
        <v>#REF!</v>
      </c>
      <c r="AR2" t="e">
        <f>AND(#REF!,"AAAAAD/vfys=")</f>
        <v>#REF!</v>
      </c>
      <c r="AS2" t="e">
        <f>AND(#REF!,"AAAAAD/vfyw=")</f>
        <v>#REF!</v>
      </c>
      <c r="AT2" t="e">
        <f>IF(#REF!,"AAAAAD/vfy0=",0)</f>
        <v>#REF!</v>
      </c>
      <c r="AU2" t="e">
        <f>AND(#REF!,"AAAAAD/vfy4=")</f>
        <v>#REF!</v>
      </c>
      <c r="AV2" t="e">
        <f>AND(#REF!,"AAAAAD/vfy8=")</f>
        <v>#REF!</v>
      </c>
      <c r="AW2" t="e">
        <f>AND(#REF!,"AAAAAD/vfzA=")</f>
        <v>#REF!</v>
      </c>
      <c r="AX2" t="e">
        <f>AND(#REF!,"AAAAAD/vfzE=")</f>
        <v>#REF!</v>
      </c>
      <c r="AY2" t="e">
        <f>AND(#REF!,"AAAAAD/vfzI=")</f>
        <v>#REF!</v>
      </c>
      <c r="AZ2" t="e">
        <f>AND(#REF!,"AAAAAD/vfzM=")</f>
        <v>#REF!</v>
      </c>
      <c r="BA2" t="e">
        <f>IF(#REF!,"AAAAAD/vfzQ=",0)</f>
        <v>#REF!</v>
      </c>
      <c r="BB2" t="e">
        <f>AND(#REF!,"AAAAAD/vfzU=")</f>
        <v>#REF!</v>
      </c>
      <c r="BC2" t="e">
        <f>AND(#REF!,"AAAAAD/vfzY=")</f>
        <v>#REF!</v>
      </c>
      <c r="BD2" t="e">
        <f>AND(#REF!,"AAAAAD/vfzc=")</f>
        <v>#REF!</v>
      </c>
      <c r="BE2" t="e">
        <f>AND(#REF!,"AAAAAD/vfzg=")</f>
        <v>#REF!</v>
      </c>
      <c r="BF2" t="e">
        <f>AND(#REF!,"AAAAAD/vfzk=")</f>
        <v>#REF!</v>
      </c>
      <c r="BG2" t="e">
        <f>AND(#REF!,"AAAAAD/vfzo=")</f>
        <v>#REF!</v>
      </c>
      <c r="BH2" t="e">
        <f>IF(#REF!,"AAAAAD/vfzs=",0)</f>
        <v>#REF!</v>
      </c>
      <c r="BI2" t="e">
        <f>AND(#REF!,"AAAAAD/vfzw=")</f>
        <v>#REF!</v>
      </c>
      <c r="BJ2" t="e">
        <f>AND(#REF!,"AAAAAD/vfz0=")</f>
        <v>#REF!</v>
      </c>
      <c r="BK2" t="e">
        <f>AND(#REF!,"AAAAAD/vfz4=")</f>
        <v>#REF!</v>
      </c>
      <c r="BL2" t="e">
        <f>AND(#REF!,"AAAAAD/vfz8=")</f>
        <v>#REF!</v>
      </c>
      <c r="BM2" t="e">
        <f>AND(#REF!,"AAAAAD/vf0A=")</f>
        <v>#REF!</v>
      </c>
      <c r="BN2" t="e">
        <f>AND(#REF!,"AAAAAD/vf0E=")</f>
        <v>#REF!</v>
      </c>
      <c r="BO2" t="e">
        <f>IF(#REF!,"AAAAAD/vf0I=",0)</f>
        <v>#REF!</v>
      </c>
      <c r="BP2" t="e">
        <f>AND(#REF!,"AAAAAD/vf0M=")</f>
        <v>#REF!</v>
      </c>
      <c r="BQ2" t="e">
        <f>AND(#REF!,"AAAAAD/vf0Q=")</f>
        <v>#REF!</v>
      </c>
      <c r="BR2" t="e">
        <f>AND(#REF!,"AAAAAD/vf0U=")</f>
        <v>#REF!</v>
      </c>
      <c r="BS2" t="e">
        <f>AND(#REF!,"AAAAAD/vf0Y=")</f>
        <v>#REF!</v>
      </c>
      <c r="BT2" t="e">
        <f>AND(#REF!,"AAAAAD/vf0c=")</f>
        <v>#REF!</v>
      </c>
      <c r="BU2" t="e">
        <f>AND(#REF!,"AAAAAD/vf0g=")</f>
        <v>#REF!</v>
      </c>
      <c r="BV2" t="e">
        <f>IF(#REF!,"AAAAAD/vf0k=",0)</f>
        <v>#REF!</v>
      </c>
      <c r="BW2" t="e">
        <f>IF(#REF!,"AAAAAD/vf0o=",0)</f>
        <v>#REF!</v>
      </c>
      <c r="BX2" t="e">
        <f>IF(#REF!,"AAAAAD/vf0s=",0)</f>
        <v>#REF!</v>
      </c>
      <c r="BY2" t="e">
        <f>IF(#REF!,"AAAAAD/vf0w=",0)</f>
        <v>#REF!</v>
      </c>
      <c r="BZ2" t="e">
        <f>IF(#REF!,"AAAAAD/vf00=",0)</f>
        <v>#REF!</v>
      </c>
      <c r="CA2" t="e">
        <f>IF(#REF!,"AAAAAD/vf04=",0)</f>
        <v>#REF!</v>
      </c>
      <c r="CB2" t="e">
        <f>IF(#REF!,"AAAAAD/vf08=",0)</f>
        <v>#REF!</v>
      </c>
      <c r="CC2" t="e">
        <f>IF(#REF!,"AAAAAD/vf1A=",0)</f>
        <v>#REF!</v>
      </c>
      <c r="CD2">
        <f>IF('Değerlendirme Formu'!1:1,"AAAAAD/vf1E=",0)</f>
        <v>0</v>
      </c>
      <c r="CE2" t="e">
        <f>AND('Değerlendirme Formu'!A1,"AAAAAD/vf1I=")</f>
        <v>#VALUE!</v>
      </c>
      <c r="CF2" t="e">
        <f>AND('Değerlendirme Formu'!B1,"AAAAAD/vf1M=")</f>
        <v>#VALUE!</v>
      </c>
      <c r="CG2" t="e">
        <f>AND('Değerlendirme Formu'!#REF!,"AAAAAD/vf1Q=")</f>
        <v>#REF!</v>
      </c>
      <c r="CH2" t="e">
        <f>AND('Değerlendirme Formu'!C1,"AAAAAD/vf1U=")</f>
        <v>#VALUE!</v>
      </c>
      <c r="CI2" t="e">
        <f>AND('Değerlendirme Formu'!D1,"AAAAAD/vf1Y=")</f>
        <v>#VALUE!</v>
      </c>
      <c r="CJ2" t="e">
        <f>AND('Değerlendirme Formu'!E1,"AAAAAD/vf1c=")</f>
        <v>#VALUE!</v>
      </c>
      <c r="CK2" t="e">
        <f>AND('Değerlendirme Formu'!#REF!,"AAAAAD/vf1g=")</f>
        <v>#REF!</v>
      </c>
      <c r="CL2" t="e">
        <f>AND('Değerlendirme Formu'!#REF!,"AAAAAD/vf1k=")</f>
        <v>#REF!</v>
      </c>
      <c r="CM2" t="e">
        <f>AND('Değerlendirme Formu'!F1,"AAAAAD/vf1o=")</f>
        <v>#VALUE!</v>
      </c>
      <c r="CN2" t="e">
        <f>AND('Değerlendirme Formu'!#REF!,"AAAAAD/vf1s=")</f>
        <v>#REF!</v>
      </c>
      <c r="CO2" t="e">
        <f>AND('Değerlendirme Formu'!#REF!,"AAAAAD/vf1w=")</f>
        <v>#REF!</v>
      </c>
      <c r="CP2" t="e">
        <f>AND('Değerlendirme Formu'!#REF!,"AAAAAD/vf10=")</f>
        <v>#REF!</v>
      </c>
      <c r="CQ2" t="e">
        <f>AND('Değerlendirme Formu'!#REF!,"AAAAAD/vf14=")</f>
        <v>#REF!</v>
      </c>
      <c r="CR2" t="e">
        <f>AND('Değerlendirme Formu'!#REF!,"AAAAAD/vf18=")</f>
        <v>#REF!</v>
      </c>
      <c r="CS2" t="e">
        <f>AND('Değerlendirme Formu'!G1,"AAAAAD/vf2A=")</f>
        <v>#VALUE!</v>
      </c>
      <c r="CT2" t="e">
        <f>AND('Değerlendirme Formu'!H1,"AAAAAD/vf2E=")</f>
        <v>#VALUE!</v>
      </c>
      <c r="CU2" t="e">
        <f>AND('Değerlendirme Formu'!I1,"AAAAAD/vf2I=")</f>
        <v>#VALUE!</v>
      </c>
      <c r="CV2">
        <f>IF('Değerlendirme Formu'!2:2,"AAAAAD/vf2M=",0)</f>
        <v>0</v>
      </c>
      <c r="CW2" t="e">
        <f>AND('Değerlendirme Formu'!A2,"AAAAAD/vf2Q=")</f>
        <v>#VALUE!</v>
      </c>
      <c r="CX2" t="e">
        <f>AND('Değerlendirme Formu'!B2,"AAAAAD/vf2U=")</f>
        <v>#VALUE!</v>
      </c>
      <c r="CY2" t="e">
        <f>AND('Değerlendirme Formu'!#REF!,"AAAAAD/vf2Y=")</f>
        <v>#REF!</v>
      </c>
      <c r="CZ2" t="e">
        <f>AND('Değerlendirme Formu'!C2,"AAAAAD/vf2c=")</f>
        <v>#VALUE!</v>
      </c>
      <c r="DA2" t="e">
        <f>AND('Değerlendirme Formu'!D2,"AAAAAD/vf2g=")</f>
        <v>#VALUE!</v>
      </c>
      <c r="DB2" t="e">
        <f>AND('Değerlendirme Formu'!E2,"AAAAAD/vf2k=")</f>
        <v>#VALUE!</v>
      </c>
      <c r="DC2" t="e">
        <f>AND('Değerlendirme Formu'!#REF!,"AAAAAD/vf2o=")</f>
        <v>#REF!</v>
      </c>
      <c r="DD2" t="e">
        <f>AND('Değerlendirme Formu'!#REF!,"AAAAAD/vf2s=")</f>
        <v>#REF!</v>
      </c>
      <c r="DE2" t="e">
        <f>AND('Değerlendirme Formu'!F2,"AAAAAD/vf2w=")</f>
        <v>#VALUE!</v>
      </c>
      <c r="DF2" t="e">
        <f>AND('Değerlendirme Formu'!#REF!,"AAAAAD/vf20=")</f>
        <v>#REF!</v>
      </c>
      <c r="DG2" t="e">
        <f>AND('Değerlendirme Formu'!#REF!,"AAAAAD/vf24=")</f>
        <v>#REF!</v>
      </c>
      <c r="DH2" t="e">
        <f>AND('Değerlendirme Formu'!#REF!,"AAAAAD/vf28=")</f>
        <v>#REF!</v>
      </c>
      <c r="DI2" t="e">
        <f>AND('Değerlendirme Formu'!#REF!,"AAAAAD/vf3A=")</f>
        <v>#REF!</v>
      </c>
      <c r="DJ2" t="e">
        <f>AND('Değerlendirme Formu'!#REF!,"AAAAAD/vf3E=")</f>
        <v>#REF!</v>
      </c>
      <c r="DK2" t="e">
        <f>AND('Değerlendirme Formu'!G2,"AAAAAD/vf3I=")</f>
        <v>#VALUE!</v>
      </c>
      <c r="DL2" t="e">
        <f>AND('Değerlendirme Formu'!H2,"AAAAAD/vf3M=")</f>
        <v>#VALUE!</v>
      </c>
      <c r="DM2" t="e">
        <f>AND('Değerlendirme Formu'!I2,"AAAAAD/vf3Q=")</f>
        <v>#VALUE!</v>
      </c>
      <c r="DN2">
        <f>IF('Değerlendirme Formu'!3:3,"AAAAAD/vf3U=",0)</f>
        <v>0</v>
      </c>
      <c r="DO2" t="e">
        <f>AND('Değerlendirme Formu'!A3,"AAAAAD/vf3Y=")</f>
        <v>#VALUE!</v>
      </c>
      <c r="DP2" t="e">
        <f>AND('Değerlendirme Formu'!B3,"AAAAAD/vf3c=")</f>
        <v>#VALUE!</v>
      </c>
      <c r="DQ2" t="e">
        <f>AND('Değerlendirme Formu'!#REF!,"AAAAAD/vf3g=")</f>
        <v>#REF!</v>
      </c>
      <c r="DR2" t="e">
        <f>AND('Değerlendirme Formu'!C3,"AAAAAD/vf3k=")</f>
        <v>#VALUE!</v>
      </c>
      <c r="DS2" t="e">
        <f>AND('Değerlendirme Formu'!D3,"AAAAAD/vf3o=")</f>
        <v>#VALUE!</v>
      </c>
      <c r="DT2" t="e">
        <f>AND('Değerlendirme Formu'!E3,"AAAAAD/vf3s=")</f>
        <v>#VALUE!</v>
      </c>
      <c r="DU2" t="e">
        <f>AND('Değerlendirme Formu'!#REF!,"AAAAAD/vf3w=")</f>
        <v>#REF!</v>
      </c>
      <c r="DV2" t="e">
        <f>AND('Değerlendirme Formu'!#REF!,"AAAAAD/vf30=")</f>
        <v>#REF!</v>
      </c>
      <c r="DW2" t="e">
        <f>AND('Değerlendirme Formu'!F3,"AAAAAD/vf34=")</f>
        <v>#VALUE!</v>
      </c>
      <c r="DX2" t="e">
        <f>AND('Değerlendirme Formu'!#REF!,"AAAAAD/vf38=")</f>
        <v>#REF!</v>
      </c>
      <c r="DY2" t="e">
        <f>AND('Değerlendirme Formu'!#REF!,"AAAAAD/vf4A=")</f>
        <v>#REF!</v>
      </c>
      <c r="DZ2" t="e">
        <f>AND('Değerlendirme Formu'!#REF!,"AAAAAD/vf4E=")</f>
        <v>#REF!</v>
      </c>
      <c r="EA2" t="e">
        <f>AND('Değerlendirme Formu'!#REF!,"AAAAAD/vf4I=")</f>
        <v>#REF!</v>
      </c>
      <c r="EB2" t="e">
        <f>AND('Değerlendirme Formu'!#REF!,"AAAAAD/vf4M=")</f>
        <v>#REF!</v>
      </c>
      <c r="EC2" t="e">
        <f>AND('Değerlendirme Formu'!G3,"AAAAAD/vf4Q=")</f>
        <v>#VALUE!</v>
      </c>
      <c r="ED2" t="e">
        <f>AND('Değerlendirme Formu'!H3,"AAAAAD/vf4U=")</f>
        <v>#VALUE!</v>
      </c>
      <c r="EE2" t="e">
        <f>AND('Değerlendirme Formu'!I3,"AAAAAD/vf4Y=")</f>
        <v>#VALUE!</v>
      </c>
      <c r="EF2">
        <f>IF('Değerlendirme Formu'!4:4,"AAAAAD/vf4c=",0)</f>
        <v>0</v>
      </c>
      <c r="EG2" t="e">
        <f>AND('Değerlendirme Formu'!A4,"AAAAAD/vf4g=")</f>
        <v>#VALUE!</v>
      </c>
      <c r="EH2" t="e">
        <f>AND('Değerlendirme Formu'!B4,"AAAAAD/vf4k=")</f>
        <v>#VALUE!</v>
      </c>
      <c r="EI2" t="e">
        <f>AND('Değerlendirme Formu'!#REF!,"AAAAAD/vf4o=")</f>
        <v>#REF!</v>
      </c>
      <c r="EJ2" t="e">
        <f>AND('Değerlendirme Formu'!#REF!,"AAAAAD/vf4s=")</f>
        <v>#REF!</v>
      </c>
      <c r="EK2" t="e">
        <f>AND('Değerlendirme Formu'!#REF!,"AAAAAD/vf4w=")</f>
        <v>#REF!</v>
      </c>
      <c r="EL2" t="e">
        <f>AND('Değerlendirme Formu'!E4,"AAAAAD/vf40=")</f>
        <v>#VALUE!</v>
      </c>
      <c r="EM2" t="e">
        <f>AND('Değerlendirme Formu'!#REF!,"AAAAAD/vf44=")</f>
        <v>#REF!</v>
      </c>
      <c r="EN2" t="e">
        <f>AND('Değerlendirme Formu'!#REF!,"AAAAAD/vf48=")</f>
        <v>#REF!</v>
      </c>
      <c r="EO2" t="e">
        <f>AND('Değerlendirme Formu'!F4,"AAAAAD/vf5A=")</f>
        <v>#VALUE!</v>
      </c>
      <c r="EP2" t="e">
        <f>AND('Değerlendirme Formu'!#REF!,"AAAAAD/vf5E=")</f>
        <v>#REF!</v>
      </c>
      <c r="EQ2" t="e">
        <f>AND('Değerlendirme Formu'!#REF!,"AAAAAD/vf5I=")</f>
        <v>#REF!</v>
      </c>
      <c r="ER2" t="e">
        <f>AND('Değerlendirme Formu'!#REF!,"AAAAAD/vf5M=")</f>
        <v>#REF!</v>
      </c>
      <c r="ES2" t="e">
        <f>AND('Değerlendirme Formu'!#REF!,"AAAAAD/vf5Q=")</f>
        <v>#REF!</v>
      </c>
      <c r="ET2" t="e">
        <f>AND('Değerlendirme Formu'!#REF!,"AAAAAD/vf5U=")</f>
        <v>#REF!</v>
      </c>
      <c r="EU2" t="e">
        <f>AND('Değerlendirme Formu'!G4,"AAAAAD/vf5Y=")</f>
        <v>#VALUE!</v>
      </c>
      <c r="EV2" t="e">
        <f>AND('Değerlendirme Formu'!H4,"AAAAAD/vf5c=")</f>
        <v>#VALUE!</v>
      </c>
      <c r="EW2" t="e">
        <f>AND('Değerlendirme Formu'!I4,"AAAAAD/vf5g=")</f>
        <v>#VALUE!</v>
      </c>
      <c r="EX2" t="e">
        <f>IF('Değerlendirme Formu'!#REF!,"AAAAAD/vf5k=",0)</f>
        <v>#REF!</v>
      </c>
      <c r="EY2" t="e">
        <f>AND('Değerlendirme Formu'!#REF!,"AAAAAD/vf5o=")</f>
        <v>#REF!</v>
      </c>
      <c r="EZ2" t="e">
        <f>AND('Değerlendirme Formu'!#REF!,"AAAAAD/vf5s=")</f>
        <v>#REF!</v>
      </c>
      <c r="FA2" t="e">
        <f>AND('Değerlendirme Formu'!#REF!,"AAAAAD/vf5w=")</f>
        <v>#REF!</v>
      </c>
      <c r="FB2" t="e">
        <f>AND('Değerlendirme Formu'!#REF!,"AAAAAD/vf50=")</f>
        <v>#REF!</v>
      </c>
      <c r="FC2" t="e">
        <f>AND('Değerlendirme Formu'!#REF!,"AAAAAD/vf54=")</f>
        <v>#REF!</v>
      </c>
      <c r="FD2" t="e">
        <f>AND('Değerlendirme Formu'!#REF!,"AAAAAD/vf58=")</f>
        <v>#REF!</v>
      </c>
      <c r="FE2" t="e">
        <f>AND('Değerlendirme Formu'!#REF!,"AAAAAD/vf6A=")</f>
        <v>#REF!</v>
      </c>
      <c r="FF2" t="e">
        <f>AND('Değerlendirme Formu'!#REF!,"AAAAAD/vf6E=")</f>
        <v>#REF!</v>
      </c>
      <c r="FG2" t="e">
        <f>AND('Değerlendirme Formu'!#REF!,"AAAAAD/vf6I=")</f>
        <v>#REF!</v>
      </c>
      <c r="FH2" t="e">
        <f>AND('Değerlendirme Formu'!#REF!,"AAAAAD/vf6M=")</f>
        <v>#REF!</v>
      </c>
      <c r="FI2" t="e">
        <f>AND('Değerlendirme Formu'!#REF!,"AAAAAD/vf6Q=")</f>
        <v>#REF!</v>
      </c>
      <c r="FJ2" t="e">
        <f>AND('Değerlendirme Formu'!#REF!,"AAAAAD/vf6U=")</f>
        <v>#REF!</v>
      </c>
      <c r="FK2" t="e">
        <f>AND('Değerlendirme Formu'!#REF!,"AAAAAD/vf6Y=")</f>
        <v>#REF!</v>
      </c>
      <c r="FL2" t="e">
        <f>AND('Değerlendirme Formu'!C4,"AAAAAD/vf6c=")</f>
        <v>#VALUE!</v>
      </c>
      <c r="FM2" t="e">
        <f>AND('Değerlendirme Formu'!D4,"AAAAAD/vf6g=")</f>
        <v>#VALUE!</v>
      </c>
      <c r="FN2" t="e">
        <f>AND('Değerlendirme Formu'!#REF!,"AAAAAD/vf6k=")</f>
        <v>#REF!</v>
      </c>
      <c r="FO2" t="e">
        <f>AND('Değerlendirme Formu'!#REF!,"AAAAAD/vf6o=")</f>
        <v>#REF!</v>
      </c>
      <c r="FP2">
        <f>IF('Değerlendirme Formu'!5:5,"AAAAAD/vf6s=",0)</f>
        <v>0</v>
      </c>
      <c r="FQ2" t="e">
        <f>AND('Değerlendirme Formu'!A5,"AAAAAD/vf6w=")</f>
        <v>#VALUE!</v>
      </c>
      <c r="FR2" t="e">
        <f>AND('Değerlendirme Formu'!B5,"AAAAAD/vf60=")</f>
        <v>#VALUE!</v>
      </c>
      <c r="FS2" t="e">
        <f>AND('Değerlendirme Formu'!#REF!,"AAAAAD/vf64=")</f>
        <v>#REF!</v>
      </c>
      <c r="FT2" t="e">
        <f>AND('Değerlendirme Formu'!C5,"AAAAAD/vf68=")</f>
        <v>#VALUE!</v>
      </c>
      <c r="FU2" t="e">
        <f>AND('Değerlendirme Formu'!D5,"AAAAAD/vf7A=")</f>
        <v>#VALUE!</v>
      </c>
      <c r="FV2" t="e">
        <f>AND('Değerlendirme Formu'!E5,"AAAAAD/vf7E=")</f>
        <v>#VALUE!</v>
      </c>
      <c r="FW2" t="e">
        <f>AND('Değerlendirme Formu'!#REF!,"AAAAAD/vf7I=")</f>
        <v>#REF!</v>
      </c>
      <c r="FX2" t="e">
        <f>AND('Değerlendirme Formu'!#REF!,"AAAAAD/vf7M=")</f>
        <v>#REF!</v>
      </c>
      <c r="FY2" t="e">
        <f>AND('Değerlendirme Formu'!F5,"AAAAAD/vf7Q=")</f>
        <v>#VALUE!</v>
      </c>
      <c r="FZ2" t="e">
        <f>AND('Değerlendirme Formu'!#REF!,"AAAAAD/vf7U=")</f>
        <v>#REF!</v>
      </c>
      <c r="GA2" t="e">
        <f>AND('Değerlendirme Formu'!#REF!,"AAAAAD/vf7Y=")</f>
        <v>#REF!</v>
      </c>
      <c r="GB2" t="e">
        <f>AND('Değerlendirme Formu'!#REF!,"AAAAAD/vf7c=")</f>
        <v>#REF!</v>
      </c>
      <c r="GC2" t="e">
        <f>AND('Değerlendirme Formu'!#REF!,"AAAAAD/vf7g=")</f>
        <v>#REF!</v>
      </c>
      <c r="GD2" t="e">
        <f>AND('Değerlendirme Formu'!#REF!,"AAAAAD/vf7k=")</f>
        <v>#REF!</v>
      </c>
      <c r="GE2" t="e">
        <f>AND('Değerlendirme Formu'!G5,"AAAAAD/vf7o=")</f>
        <v>#VALUE!</v>
      </c>
      <c r="GF2" t="e">
        <f>AND('Değerlendirme Formu'!H5,"AAAAAD/vf7s=")</f>
        <v>#VALUE!</v>
      </c>
      <c r="GG2" t="e">
        <f>AND('Değerlendirme Formu'!I5,"AAAAAD/vf7w=")</f>
        <v>#VALUE!</v>
      </c>
      <c r="GH2">
        <f>IF('Değerlendirme Formu'!9:9,"AAAAAD/vf70=",0)</f>
        <v>0</v>
      </c>
      <c r="GI2" t="e">
        <f>AND('Değerlendirme Formu'!A9,"AAAAAD/vf74=")</f>
        <v>#VALUE!</v>
      </c>
      <c r="GJ2" t="e">
        <f>AND('Değerlendirme Formu'!B9,"AAAAAD/vf78=")</f>
        <v>#VALUE!</v>
      </c>
      <c r="GK2" t="e">
        <f>AND('Değerlendirme Formu'!#REF!,"AAAAAD/vf8A=")</f>
        <v>#REF!</v>
      </c>
      <c r="GL2" t="e">
        <f>AND('Değerlendirme Formu'!C9,"AAAAAD/vf8E=")</f>
        <v>#VALUE!</v>
      </c>
      <c r="GM2" t="e">
        <f>AND('Değerlendirme Formu'!D9,"AAAAAD/vf8I=")</f>
        <v>#VALUE!</v>
      </c>
      <c r="GN2" t="e">
        <f>AND('Değerlendirme Formu'!E9,"AAAAAD/vf8M=")</f>
        <v>#VALUE!</v>
      </c>
      <c r="GO2" t="e">
        <f>AND('Değerlendirme Formu'!#REF!,"AAAAAD/vf8Q=")</f>
        <v>#REF!</v>
      </c>
      <c r="GP2" t="e">
        <f>AND('Değerlendirme Formu'!#REF!,"AAAAAD/vf8U=")</f>
        <v>#REF!</v>
      </c>
      <c r="GQ2" t="e">
        <f>AND('Değerlendirme Formu'!F9,"AAAAAD/vf8Y=")</f>
        <v>#VALUE!</v>
      </c>
      <c r="GR2" t="e">
        <f>AND('Değerlendirme Formu'!#REF!,"AAAAAD/vf8c=")</f>
        <v>#REF!</v>
      </c>
      <c r="GS2" t="e">
        <f>AND('Değerlendirme Formu'!#REF!,"AAAAAD/vf8g=")</f>
        <v>#REF!</v>
      </c>
      <c r="GT2" t="e">
        <f>AND('Değerlendirme Formu'!#REF!,"AAAAAD/vf8k=")</f>
        <v>#REF!</v>
      </c>
      <c r="GU2" t="e">
        <f>AND('Değerlendirme Formu'!#REF!,"AAAAAD/vf8o=")</f>
        <v>#REF!</v>
      </c>
      <c r="GV2" t="e">
        <f>AND('Değerlendirme Formu'!#REF!,"AAAAAD/vf8s=")</f>
        <v>#REF!</v>
      </c>
      <c r="GW2" t="e">
        <f>AND('Değerlendirme Formu'!G9,"AAAAAD/vf8w=")</f>
        <v>#VALUE!</v>
      </c>
      <c r="GX2" t="e">
        <f>AND('Değerlendirme Formu'!H9,"AAAAAD/vf80=")</f>
        <v>#VALUE!</v>
      </c>
      <c r="GY2" t="e">
        <f>AND('Değerlendirme Formu'!I9,"AAAAAD/vf84=")</f>
        <v>#VALUE!</v>
      </c>
      <c r="GZ2" t="e">
        <f>IF('Değerlendirme Formu'!#REF!,"AAAAAD/vf88=",0)</f>
        <v>#REF!</v>
      </c>
      <c r="HA2" t="e">
        <f>AND('Değerlendirme Formu'!#REF!,"AAAAAD/vf9A=")</f>
        <v>#REF!</v>
      </c>
      <c r="HB2" t="e">
        <f>AND('Değerlendirme Formu'!#REF!,"AAAAAD/vf9E=")</f>
        <v>#REF!</v>
      </c>
      <c r="HC2" t="e">
        <f>AND('Değerlendirme Formu'!#REF!,"AAAAAD/vf9I=")</f>
        <v>#REF!</v>
      </c>
      <c r="HD2" t="e">
        <f>AND('Değerlendirme Formu'!#REF!,"AAAAAD/vf9M=")</f>
        <v>#REF!</v>
      </c>
      <c r="HE2" t="e">
        <f>AND('Değerlendirme Formu'!#REF!,"AAAAAD/vf9Q=")</f>
        <v>#REF!</v>
      </c>
      <c r="HF2" t="e">
        <f>AND('Değerlendirme Formu'!#REF!,"AAAAAD/vf9U=")</f>
        <v>#REF!</v>
      </c>
      <c r="HG2" t="e">
        <f>AND('Değerlendirme Formu'!#REF!,"AAAAAD/vf9Y=")</f>
        <v>#REF!</v>
      </c>
      <c r="HH2" t="e">
        <f>AND('Değerlendirme Formu'!#REF!,"AAAAAD/vf9c=")</f>
        <v>#REF!</v>
      </c>
      <c r="HI2" t="e">
        <f>AND('Değerlendirme Formu'!#REF!,"AAAAAD/vf9g=")</f>
        <v>#REF!</v>
      </c>
      <c r="HJ2" t="e">
        <f>AND('Değerlendirme Formu'!#REF!,"AAAAAD/vf9k=")</f>
        <v>#REF!</v>
      </c>
      <c r="HK2" t="e">
        <f>AND('Değerlendirme Formu'!#REF!,"AAAAAD/vf9o=")</f>
        <v>#REF!</v>
      </c>
      <c r="HL2" t="e">
        <f>AND('Değerlendirme Formu'!#REF!,"AAAAAD/vf9s=")</f>
        <v>#REF!</v>
      </c>
      <c r="HM2" t="e">
        <f>AND('Değerlendirme Formu'!#REF!,"AAAAAD/vf9w=")</f>
        <v>#REF!</v>
      </c>
      <c r="HN2" t="e">
        <f>AND('Değerlendirme Formu'!#REF!,"AAAAAD/vf90=")</f>
        <v>#REF!</v>
      </c>
      <c r="HO2" t="e">
        <f>AND('Değerlendirme Formu'!#REF!,"AAAAAD/vf94=")</f>
        <v>#REF!</v>
      </c>
      <c r="HP2" t="e">
        <f>AND('Değerlendirme Formu'!#REF!,"AAAAAD/vf98=")</f>
        <v>#REF!</v>
      </c>
      <c r="HQ2" t="e">
        <f>AND('Değerlendirme Formu'!#REF!,"AAAAAD/vf+A=")</f>
        <v>#REF!</v>
      </c>
      <c r="HR2">
        <f>IF('Değerlendirme Formu'!10:10,"AAAAAD/vf+E=",0)</f>
        <v>0</v>
      </c>
      <c r="HS2" t="e">
        <f>AND('Değerlendirme Formu'!A10,"AAAAAD/vf+I=")</f>
        <v>#VALUE!</v>
      </c>
      <c r="HT2" t="e">
        <f>AND('Değerlendirme Formu'!B10,"AAAAAD/vf+M=")</f>
        <v>#VALUE!</v>
      </c>
      <c r="HU2" t="e">
        <f>AND('Değerlendirme Formu'!#REF!,"AAAAAD/vf+Q=")</f>
        <v>#REF!</v>
      </c>
      <c r="HV2" t="e">
        <f>AND('Değerlendirme Formu'!C10,"AAAAAD/vf+U=")</f>
        <v>#VALUE!</v>
      </c>
      <c r="HW2" t="e">
        <f>AND('Değerlendirme Formu'!D10,"AAAAAD/vf+Y=")</f>
        <v>#VALUE!</v>
      </c>
      <c r="HX2" t="e">
        <f>AND('Değerlendirme Formu'!E10,"AAAAAD/vf+c=")</f>
        <v>#VALUE!</v>
      </c>
      <c r="HY2" t="e">
        <f>AND('Değerlendirme Formu'!#REF!,"AAAAAD/vf+g=")</f>
        <v>#REF!</v>
      </c>
      <c r="HZ2" t="e">
        <f>AND('Değerlendirme Formu'!#REF!,"AAAAAD/vf+k=")</f>
        <v>#REF!</v>
      </c>
      <c r="IA2" t="e">
        <f>AND('Değerlendirme Formu'!F10,"AAAAAD/vf+o=")</f>
        <v>#VALUE!</v>
      </c>
      <c r="IB2" t="e">
        <f>AND('Değerlendirme Formu'!#REF!,"AAAAAD/vf+s=")</f>
        <v>#REF!</v>
      </c>
      <c r="IC2" t="e">
        <f>AND('Değerlendirme Formu'!#REF!,"AAAAAD/vf+w=")</f>
        <v>#REF!</v>
      </c>
      <c r="ID2" t="e">
        <f>AND('Değerlendirme Formu'!#REF!,"AAAAAD/vf+0=")</f>
        <v>#REF!</v>
      </c>
      <c r="IE2" t="e">
        <f>AND('Değerlendirme Formu'!#REF!,"AAAAAD/vf+4=")</f>
        <v>#REF!</v>
      </c>
      <c r="IF2" t="e">
        <f>AND('Değerlendirme Formu'!#REF!,"AAAAAD/vf+8=")</f>
        <v>#REF!</v>
      </c>
      <c r="IG2" t="e">
        <f>AND('Değerlendirme Formu'!G10,"AAAAAD/vf/A=")</f>
        <v>#VALUE!</v>
      </c>
      <c r="IH2" t="e">
        <f>AND('Değerlendirme Formu'!H10,"AAAAAD/vf/E=")</f>
        <v>#VALUE!</v>
      </c>
      <c r="II2" t="e">
        <f>AND('Değerlendirme Formu'!I10,"AAAAAD/vf/I=")</f>
        <v>#VALUE!</v>
      </c>
      <c r="IJ2">
        <f>IF('Değerlendirme Formu'!11:11,"AAAAAD/vf/M=",0)</f>
        <v>0</v>
      </c>
      <c r="IK2" t="e">
        <f>AND('Değerlendirme Formu'!A11,"AAAAAD/vf/Q=")</f>
        <v>#VALUE!</v>
      </c>
      <c r="IL2" t="e">
        <f>AND('Değerlendirme Formu'!B11,"AAAAAD/vf/U=")</f>
        <v>#VALUE!</v>
      </c>
      <c r="IM2" t="e">
        <f>AND('Değerlendirme Formu'!#REF!,"AAAAAD/vf/Y=")</f>
        <v>#REF!</v>
      </c>
      <c r="IN2" t="e">
        <f>AND('Değerlendirme Formu'!C11,"AAAAAD/vf/c=")</f>
        <v>#VALUE!</v>
      </c>
      <c r="IO2" t="e">
        <f>AND('Değerlendirme Formu'!D11,"AAAAAD/vf/g=")</f>
        <v>#VALUE!</v>
      </c>
      <c r="IP2" t="e">
        <f>AND('Değerlendirme Formu'!E11,"AAAAAD/vf/k=")</f>
        <v>#VALUE!</v>
      </c>
      <c r="IQ2" t="e">
        <f>AND('Değerlendirme Formu'!#REF!,"AAAAAD/vf/o=")</f>
        <v>#REF!</v>
      </c>
      <c r="IR2" t="e">
        <f>AND('Değerlendirme Formu'!#REF!,"AAAAAD/vf/s=")</f>
        <v>#REF!</v>
      </c>
      <c r="IS2" t="e">
        <f>AND('Değerlendirme Formu'!F11,"AAAAAD/vf/w=")</f>
        <v>#VALUE!</v>
      </c>
      <c r="IT2" t="e">
        <f>AND('Değerlendirme Formu'!#REF!,"AAAAAD/vf/0=")</f>
        <v>#REF!</v>
      </c>
      <c r="IU2" t="e">
        <f>AND('Değerlendirme Formu'!#REF!,"AAAAAD/vf/4=")</f>
        <v>#REF!</v>
      </c>
      <c r="IV2" t="e">
        <f>AND('Değerlendirme Formu'!#REF!,"AAAAAD/vf/8=")</f>
        <v>#REF!</v>
      </c>
    </row>
    <row r="3" spans="1:256" x14ac:dyDescent="0.2">
      <c r="A3" t="e">
        <f>AND('Değerlendirme Formu'!#REF!,"AAAAAHT3vwA=")</f>
        <v>#REF!</v>
      </c>
      <c r="B3" t="e">
        <f>AND('Değerlendirme Formu'!#REF!,"AAAAAHT3vwE=")</f>
        <v>#REF!</v>
      </c>
      <c r="C3" t="e">
        <f>AND('Değerlendirme Formu'!G11,"AAAAAHT3vwI=")</f>
        <v>#VALUE!</v>
      </c>
      <c r="D3" t="e">
        <f>AND('Değerlendirme Formu'!H11,"AAAAAHT3vwM=")</f>
        <v>#VALUE!</v>
      </c>
      <c r="E3" t="e">
        <f>AND('Değerlendirme Formu'!I11,"AAAAAHT3vwQ=")</f>
        <v>#VALUE!</v>
      </c>
      <c r="F3">
        <f>IF('Değerlendirme Formu'!12:12,"AAAAAHT3vwU=",0)</f>
        <v>0</v>
      </c>
      <c r="G3" t="b">
        <f>AND('Değerlendirme Formu'!A12,"AAAAAHT3vwY=")</f>
        <v>1</v>
      </c>
      <c r="H3" t="e">
        <f>AND('Değerlendirme Formu'!B12,"AAAAAHT3vwc=")</f>
        <v>#VALUE!</v>
      </c>
      <c r="I3" t="e">
        <f>AND('Değerlendirme Formu'!#REF!,"AAAAAHT3vwg=")</f>
        <v>#REF!</v>
      </c>
      <c r="J3" t="e">
        <f>AND('Değerlendirme Formu'!C12,"AAAAAHT3vwk=")</f>
        <v>#VALUE!</v>
      </c>
      <c r="K3" t="b">
        <f>AND('Değerlendirme Formu'!D12,"AAAAAHT3vwo=")</f>
        <v>1</v>
      </c>
      <c r="L3" t="b">
        <f>AND('Değerlendirme Formu'!E12,"AAAAAHT3vws=")</f>
        <v>0</v>
      </c>
      <c r="M3" t="e">
        <f>AND('Değerlendirme Formu'!#REF!,"AAAAAHT3vww=")</f>
        <v>#REF!</v>
      </c>
      <c r="N3" t="e">
        <f>AND('Değerlendirme Formu'!#REF!,"AAAAAHT3vw0=")</f>
        <v>#REF!</v>
      </c>
      <c r="O3" t="e">
        <f>AND('Değerlendirme Formu'!F12,"AAAAAHT3vw4=")</f>
        <v>#VALUE!</v>
      </c>
      <c r="P3" t="e">
        <f>AND('Değerlendirme Formu'!#REF!,"AAAAAHT3vw8=")</f>
        <v>#REF!</v>
      </c>
      <c r="Q3" t="e">
        <f>AND('Değerlendirme Formu'!#REF!,"AAAAAHT3vxA=")</f>
        <v>#REF!</v>
      </c>
      <c r="R3" t="e">
        <f>AND('Değerlendirme Formu'!#REF!,"AAAAAHT3vxE=")</f>
        <v>#REF!</v>
      </c>
      <c r="S3" t="e">
        <f>AND('Değerlendirme Formu'!#REF!,"AAAAAHT3vxI=")</f>
        <v>#REF!</v>
      </c>
      <c r="T3" t="e">
        <f>AND('Değerlendirme Formu'!#REF!,"AAAAAHT3vxM=")</f>
        <v>#REF!</v>
      </c>
      <c r="U3" t="e">
        <f>AND('Değerlendirme Formu'!G12,"AAAAAHT3vxQ=")</f>
        <v>#VALUE!</v>
      </c>
      <c r="V3" t="e">
        <f>AND('Değerlendirme Formu'!H12,"AAAAAHT3vxU=")</f>
        <v>#VALUE!</v>
      </c>
      <c r="W3" t="e">
        <f>AND('Değerlendirme Formu'!I12,"AAAAAHT3vxY=")</f>
        <v>#VALUE!</v>
      </c>
      <c r="X3" t="e">
        <f>IF('Değerlendirme Formu'!#REF!,"AAAAAHT3vxc=",0)</f>
        <v>#REF!</v>
      </c>
      <c r="Y3" t="e">
        <f>AND('Değerlendirme Formu'!#REF!,"AAAAAHT3vxg=")</f>
        <v>#REF!</v>
      </c>
      <c r="Z3" t="e">
        <f>AND('Değerlendirme Formu'!#REF!,"AAAAAHT3vxk=")</f>
        <v>#REF!</v>
      </c>
      <c r="AA3" t="e">
        <f>AND('Değerlendirme Formu'!#REF!,"AAAAAHT3vxo=")</f>
        <v>#REF!</v>
      </c>
      <c r="AB3" t="e">
        <f>AND('Değerlendirme Formu'!#REF!,"AAAAAHT3vxs=")</f>
        <v>#REF!</v>
      </c>
      <c r="AC3" t="e">
        <f>AND('Değerlendirme Formu'!#REF!,"AAAAAHT3vxw=")</f>
        <v>#REF!</v>
      </c>
      <c r="AD3" t="e">
        <f>AND('Değerlendirme Formu'!#REF!,"AAAAAHT3vx0=")</f>
        <v>#REF!</v>
      </c>
      <c r="AE3" t="e">
        <f>AND('Değerlendirme Formu'!#REF!,"AAAAAHT3vx4=")</f>
        <v>#REF!</v>
      </c>
      <c r="AF3" t="e">
        <f>AND('Değerlendirme Formu'!#REF!,"AAAAAHT3vx8=")</f>
        <v>#REF!</v>
      </c>
      <c r="AG3" t="e">
        <f>AND('Değerlendirme Formu'!#REF!,"AAAAAHT3vyA=")</f>
        <v>#REF!</v>
      </c>
      <c r="AH3" t="e">
        <f>AND('Değerlendirme Formu'!#REF!,"AAAAAHT3vyE=")</f>
        <v>#REF!</v>
      </c>
      <c r="AI3" t="e">
        <f>AND('Değerlendirme Formu'!#REF!,"AAAAAHT3vyI=")</f>
        <v>#REF!</v>
      </c>
      <c r="AJ3" t="e">
        <f>AND('Değerlendirme Formu'!#REF!,"AAAAAHT3vyM=")</f>
        <v>#REF!</v>
      </c>
      <c r="AK3" t="e">
        <f>AND('Değerlendirme Formu'!#REF!,"AAAAAHT3vyQ=")</f>
        <v>#REF!</v>
      </c>
      <c r="AL3" t="e">
        <f>AND('Değerlendirme Formu'!#REF!,"AAAAAHT3vyU=")</f>
        <v>#REF!</v>
      </c>
      <c r="AM3" t="e">
        <f>AND('Değerlendirme Formu'!#REF!,"AAAAAHT3vyY=")</f>
        <v>#REF!</v>
      </c>
      <c r="AN3" t="e">
        <f>AND('Değerlendirme Formu'!#REF!,"AAAAAHT3vyc=")</f>
        <v>#REF!</v>
      </c>
      <c r="AO3" t="e">
        <f>AND('Değerlendirme Formu'!#REF!,"AAAAAHT3vyg=")</f>
        <v>#REF!</v>
      </c>
      <c r="AP3" t="e">
        <f>IF('Değerlendirme Formu'!#REF!,"AAAAAHT3vyk=",0)</f>
        <v>#REF!</v>
      </c>
      <c r="AQ3" t="e">
        <f>AND('Değerlendirme Formu'!#REF!,"AAAAAHT3vyo=")</f>
        <v>#REF!</v>
      </c>
      <c r="AR3" t="e">
        <f>AND('Değerlendirme Formu'!#REF!,"AAAAAHT3vys=")</f>
        <v>#REF!</v>
      </c>
      <c r="AS3" t="e">
        <f>AND('Değerlendirme Formu'!#REF!,"AAAAAHT3vyw=")</f>
        <v>#REF!</v>
      </c>
      <c r="AT3" t="e">
        <f>AND('Değerlendirme Formu'!#REF!,"AAAAAHT3vy0=")</f>
        <v>#REF!</v>
      </c>
      <c r="AU3" t="e">
        <f>AND('Değerlendirme Formu'!#REF!,"AAAAAHT3vy4=")</f>
        <v>#REF!</v>
      </c>
      <c r="AV3" t="e">
        <f>AND('Değerlendirme Formu'!#REF!,"AAAAAHT3vy8=")</f>
        <v>#REF!</v>
      </c>
      <c r="AW3" t="e">
        <f>AND('Değerlendirme Formu'!#REF!,"AAAAAHT3vzA=")</f>
        <v>#REF!</v>
      </c>
      <c r="AX3" t="e">
        <f>AND('Değerlendirme Formu'!#REF!,"AAAAAHT3vzE=")</f>
        <v>#REF!</v>
      </c>
      <c r="AY3" t="e">
        <f>AND('Değerlendirme Formu'!#REF!,"AAAAAHT3vzI=")</f>
        <v>#REF!</v>
      </c>
      <c r="AZ3" t="e">
        <f>AND('Değerlendirme Formu'!#REF!,"AAAAAHT3vzM=")</f>
        <v>#REF!</v>
      </c>
      <c r="BA3" t="e">
        <f>AND('Değerlendirme Formu'!#REF!,"AAAAAHT3vzQ=")</f>
        <v>#REF!</v>
      </c>
      <c r="BB3" t="e">
        <f>AND('Değerlendirme Formu'!#REF!,"AAAAAHT3vzU=")</f>
        <v>#REF!</v>
      </c>
      <c r="BC3" t="e">
        <f>AND('Değerlendirme Formu'!#REF!,"AAAAAHT3vzY=")</f>
        <v>#REF!</v>
      </c>
      <c r="BD3" t="e">
        <f>AND('Değerlendirme Formu'!#REF!,"AAAAAHT3vzc=")</f>
        <v>#REF!</v>
      </c>
      <c r="BE3" t="e">
        <f>AND('Değerlendirme Formu'!#REF!,"AAAAAHT3vzg=")</f>
        <v>#REF!</v>
      </c>
      <c r="BF3" t="e">
        <f>AND('Değerlendirme Formu'!#REF!,"AAAAAHT3vzk=")</f>
        <v>#REF!</v>
      </c>
      <c r="BG3" t="e">
        <f>AND('Değerlendirme Formu'!#REF!,"AAAAAHT3vzo=")</f>
        <v>#REF!</v>
      </c>
      <c r="BH3" t="e">
        <f>IF('Değerlendirme Formu'!#REF!,"AAAAAHT3vzs=",0)</f>
        <v>#REF!</v>
      </c>
      <c r="BI3" t="e">
        <f>AND('Değerlendirme Formu'!#REF!,"AAAAAHT3vzw=")</f>
        <v>#REF!</v>
      </c>
      <c r="BJ3" t="e">
        <f>AND('Değerlendirme Formu'!#REF!,"AAAAAHT3vz0=")</f>
        <v>#REF!</v>
      </c>
      <c r="BK3" t="e">
        <f>AND('Değerlendirme Formu'!#REF!,"AAAAAHT3vz4=")</f>
        <v>#REF!</v>
      </c>
      <c r="BL3" t="e">
        <f>AND('Değerlendirme Formu'!#REF!,"AAAAAHT3vz8=")</f>
        <v>#REF!</v>
      </c>
      <c r="BM3" t="e">
        <f>AND('Değerlendirme Formu'!#REF!,"AAAAAHT3v0A=")</f>
        <v>#REF!</v>
      </c>
      <c r="BN3" t="e">
        <f>AND('Değerlendirme Formu'!#REF!,"AAAAAHT3v0E=")</f>
        <v>#REF!</v>
      </c>
      <c r="BO3" t="e">
        <f>AND('Değerlendirme Formu'!#REF!,"AAAAAHT3v0I=")</f>
        <v>#REF!</v>
      </c>
      <c r="BP3" t="e">
        <f>AND('Değerlendirme Formu'!#REF!,"AAAAAHT3v0M=")</f>
        <v>#REF!</v>
      </c>
      <c r="BQ3" t="e">
        <f>AND('Değerlendirme Formu'!#REF!,"AAAAAHT3v0Q=")</f>
        <v>#REF!</v>
      </c>
      <c r="BR3" t="e">
        <f>AND('Değerlendirme Formu'!#REF!,"AAAAAHT3v0U=")</f>
        <v>#REF!</v>
      </c>
      <c r="BS3" t="e">
        <f>AND('Değerlendirme Formu'!#REF!,"AAAAAHT3v0Y=")</f>
        <v>#REF!</v>
      </c>
      <c r="BT3" t="e">
        <f>AND('Değerlendirme Formu'!#REF!,"AAAAAHT3v0c=")</f>
        <v>#REF!</v>
      </c>
      <c r="BU3" t="e">
        <f>AND('Değerlendirme Formu'!#REF!,"AAAAAHT3v0g=")</f>
        <v>#REF!</v>
      </c>
      <c r="BV3" t="e">
        <f>AND('Değerlendirme Formu'!#REF!,"AAAAAHT3v0k=")</f>
        <v>#REF!</v>
      </c>
      <c r="BW3" t="e">
        <f>AND('Değerlendirme Formu'!#REF!,"AAAAAHT3v0o=")</f>
        <v>#REF!</v>
      </c>
      <c r="BX3" t="e">
        <f>AND('Değerlendirme Formu'!#REF!,"AAAAAHT3v0s=")</f>
        <v>#REF!</v>
      </c>
      <c r="BY3" t="e">
        <f>AND('Değerlendirme Formu'!#REF!,"AAAAAHT3v0w=")</f>
        <v>#REF!</v>
      </c>
      <c r="BZ3" t="e">
        <f>IF('Değerlendirme Formu'!#REF!,"AAAAAHT3v00=",0)</f>
        <v>#REF!</v>
      </c>
      <c r="CA3" t="e">
        <f>AND('Değerlendirme Formu'!#REF!,"AAAAAHT3v04=")</f>
        <v>#REF!</v>
      </c>
      <c r="CB3" t="e">
        <f>AND('Değerlendirme Formu'!#REF!,"AAAAAHT3v08=")</f>
        <v>#REF!</v>
      </c>
      <c r="CC3" t="e">
        <f>AND('Değerlendirme Formu'!#REF!,"AAAAAHT3v1A=")</f>
        <v>#REF!</v>
      </c>
      <c r="CD3" t="e">
        <f>AND('Değerlendirme Formu'!#REF!,"AAAAAHT3v1E=")</f>
        <v>#REF!</v>
      </c>
      <c r="CE3" t="e">
        <f>AND('Değerlendirme Formu'!#REF!,"AAAAAHT3v1I=")</f>
        <v>#REF!</v>
      </c>
      <c r="CF3" t="e">
        <f>AND('Değerlendirme Formu'!#REF!,"AAAAAHT3v1M=")</f>
        <v>#REF!</v>
      </c>
      <c r="CG3" t="e">
        <f>AND('Değerlendirme Formu'!#REF!,"AAAAAHT3v1Q=")</f>
        <v>#REF!</v>
      </c>
      <c r="CH3" t="e">
        <f>AND('Değerlendirme Formu'!#REF!,"AAAAAHT3v1U=")</f>
        <v>#REF!</v>
      </c>
      <c r="CI3" t="e">
        <f>AND('Değerlendirme Formu'!#REF!,"AAAAAHT3v1Y=")</f>
        <v>#REF!</v>
      </c>
      <c r="CJ3" t="e">
        <f>AND('Değerlendirme Formu'!#REF!,"AAAAAHT3v1c=")</f>
        <v>#REF!</v>
      </c>
      <c r="CK3" t="e">
        <f>AND('Değerlendirme Formu'!#REF!,"AAAAAHT3v1g=")</f>
        <v>#REF!</v>
      </c>
      <c r="CL3" t="e">
        <f>AND('Değerlendirme Formu'!#REF!,"AAAAAHT3v1k=")</f>
        <v>#REF!</v>
      </c>
      <c r="CM3" t="e">
        <f>AND('Değerlendirme Formu'!#REF!,"AAAAAHT3v1o=")</f>
        <v>#REF!</v>
      </c>
      <c r="CN3" t="e">
        <f>AND('Değerlendirme Formu'!#REF!,"AAAAAHT3v1s=")</f>
        <v>#REF!</v>
      </c>
      <c r="CO3" t="e">
        <f>AND('Değerlendirme Formu'!#REF!,"AAAAAHT3v1w=")</f>
        <v>#REF!</v>
      </c>
      <c r="CP3" t="e">
        <f>AND('Değerlendirme Formu'!#REF!,"AAAAAHT3v10=")</f>
        <v>#REF!</v>
      </c>
      <c r="CQ3" t="e">
        <f>AND('Değerlendirme Formu'!#REF!,"AAAAAHT3v14=")</f>
        <v>#REF!</v>
      </c>
      <c r="CR3">
        <f>IF('Değerlendirme Formu'!17:17,"AAAAAHT3v18=",0)</f>
        <v>0</v>
      </c>
      <c r="CS3" t="b">
        <f>AND('Değerlendirme Formu'!A17,"AAAAAHT3v2A=")</f>
        <v>1</v>
      </c>
      <c r="CT3" t="e">
        <f>AND('Değerlendirme Formu'!B17,"AAAAAHT3v2E=")</f>
        <v>#VALUE!</v>
      </c>
      <c r="CU3" t="e">
        <f>AND('Değerlendirme Formu'!#REF!,"AAAAAHT3v2I=")</f>
        <v>#REF!</v>
      </c>
      <c r="CV3" t="e">
        <f>AND('Değerlendirme Formu'!C17,"AAAAAHT3v2M=")</f>
        <v>#VALUE!</v>
      </c>
      <c r="CW3" t="b">
        <f>AND('Değerlendirme Formu'!D17,"AAAAAHT3v2Q=")</f>
        <v>1</v>
      </c>
      <c r="CX3" t="b">
        <f>AND('Değerlendirme Formu'!E17,"AAAAAHT3v2U=")</f>
        <v>0</v>
      </c>
      <c r="CY3" t="e">
        <f>AND('Değerlendirme Formu'!#REF!,"AAAAAHT3v2Y=")</f>
        <v>#REF!</v>
      </c>
      <c r="CZ3" t="e">
        <f>AND('Değerlendirme Formu'!#REF!,"AAAAAHT3v2c=")</f>
        <v>#REF!</v>
      </c>
      <c r="DA3" t="e">
        <f>AND('Değerlendirme Formu'!F17,"AAAAAHT3v2g=")</f>
        <v>#VALUE!</v>
      </c>
      <c r="DB3" t="e">
        <f>AND('Değerlendirme Formu'!#REF!,"AAAAAHT3v2k=")</f>
        <v>#REF!</v>
      </c>
      <c r="DC3" t="e">
        <f>AND('Değerlendirme Formu'!#REF!,"AAAAAHT3v2o=")</f>
        <v>#REF!</v>
      </c>
      <c r="DD3" t="e">
        <f>AND('Değerlendirme Formu'!#REF!,"AAAAAHT3v2s=")</f>
        <v>#REF!</v>
      </c>
      <c r="DE3" t="e">
        <f>AND('Değerlendirme Formu'!#REF!,"AAAAAHT3v2w=")</f>
        <v>#REF!</v>
      </c>
      <c r="DF3" t="e">
        <f>AND('Değerlendirme Formu'!#REF!,"AAAAAHT3v20=")</f>
        <v>#REF!</v>
      </c>
      <c r="DG3" t="e">
        <f>AND('Değerlendirme Formu'!G17,"AAAAAHT3v24=")</f>
        <v>#VALUE!</v>
      </c>
      <c r="DH3" t="e">
        <f>AND('Değerlendirme Formu'!H17,"AAAAAHT3v28=")</f>
        <v>#VALUE!</v>
      </c>
      <c r="DI3" t="e">
        <f>AND('Değerlendirme Formu'!I17,"AAAAAHT3v3A=")</f>
        <v>#VALUE!</v>
      </c>
      <c r="DJ3">
        <f>IF('Değerlendirme Formu'!18:18,"AAAAAHT3v3E=",0)</f>
        <v>0</v>
      </c>
      <c r="DK3" t="b">
        <f>AND('Değerlendirme Formu'!A18,"AAAAAHT3v3I=")</f>
        <v>1</v>
      </c>
      <c r="DL3" t="e">
        <f>AND('Değerlendirme Formu'!B18,"AAAAAHT3v3M=")</f>
        <v>#VALUE!</v>
      </c>
      <c r="DM3" t="e">
        <f>AND('Değerlendirme Formu'!#REF!,"AAAAAHT3v3Q=")</f>
        <v>#REF!</v>
      </c>
      <c r="DN3" t="e">
        <f>AND('Değerlendirme Formu'!C18,"AAAAAHT3v3U=")</f>
        <v>#VALUE!</v>
      </c>
      <c r="DO3" t="b">
        <f>AND('Değerlendirme Formu'!D18,"AAAAAHT3v3Y=")</f>
        <v>1</v>
      </c>
      <c r="DP3" t="b">
        <f>AND('Değerlendirme Formu'!E18,"AAAAAHT3v3c=")</f>
        <v>0</v>
      </c>
      <c r="DQ3" t="e">
        <f>AND('Değerlendirme Formu'!#REF!,"AAAAAHT3v3g=")</f>
        <v>#REF!</v>
      </c>
      <c r="DR3" t="e">
        <f>AND('Değerlendirme Formu'!#REF!,"AAAAAHT3v3k=")</f>
        <v>#REF!</v>
      </c>
      <c r="DS3" t="e">
        <f>AND('Değerlendirme Formu'!F18,"AAAAAHT3v3o=")</f>
        <v>#VALUE!</v>
      </c>
      <c r="DT3" t="e">
        <f>AND('Değerlendirme Formu'!#REF!,"AAAAAHT3v3s=")</f>
        <v>#REF!</v>
      </c>
      <c r="DU3" t="e">
        <f>AND('Değerlendirme Formu'!#REF!,"AAAAAHT3v3w=")</f>
        <v>#REF!</v>
      </c>
      <c r="DV3" t="e">
        <f>AND('Değerlendirme Formu'!#REF!,"AAAAAHT3v30=")</f>
        <v>#REF!</v>
      </c>
      <c r="DW3" t="e">
        <f>AND('Değerlendirme Formu'!#REF!,"AAAAAHT3v34=")</f>
        <v>#REF!</v>
      </c>
      <c r="DX3" t="e">
        <f>AND('Değerlendirme Formu'!#REF!,"AAAAAHT3v38=")</f>
        <v>#REF!</v>
      </c>
      <c r="DY3" t="e">
        <f>AND('Değerlendirme Formu'!G18,"AAAAAHT3v4A=")</f>
        <v>#VALUE!</v>
      </c>
      <c r="DZ3" t="e">
        <f>AND('Değerlendirme Formu'!H18,"AAAAAHT3v4E=")</f>
        <v>#VALUE!</v>
      </c>
      <c r="EA3" t="e">
        <f>AND('Değerlendirme Formu'!I18,"AAAAAHT3v4I=")</f>
        <v>#VALUE!</v>
      </c>
      <c r="EB3" t="e">
        <f>IF('Değerlendirme Formu'!#REF!,"AAAAAHT3v4M=",0)</f>
        <v>#REF!</v>
      </c>
      <c r="EC3" t="e">
        <f>AND('Değerlendirme Formu'!#REF!,"AAAAAHT3v4Q=")</f>
        <v>#REF!</v>
      </c>
      <c r="ED3" t="e">
        <f>AND('Değerlendirme Formu'!#REF!,"AAAAAHT3v4U=")</f>
        <v>#REF!</v>
      </c>
      <c r="EE3" t="e">
        <f>AND('Değerlendirme Formu'!#REF!,"AAAAAHT3v4Y=")</f>
        <v>#REF!</v>
      </c>
      <c r="EF3" t="e">
        <f>AND('Değerlendirme Formu'!#REF!,"AAAAAHT3v4c=")</f>
        <v>#REF!</v>
      </c>
      <c r="EG3" t="e">
        <f>AND('Değerlendirme Formu'!#REF!,"AAAAAHT3v4g=")</f>
        <v>#REF!</v>
      </c>
      <c r="EH3" t="e">
        <f>AND('Değerlendirme Formu'!#REF!,"AAAAAHT3v4k=")</f>
        <v>#REF!</v>
      </c>
      <c r="EI3" t="e">
        <f>AND('Değerlendirme Formu'!#REF!,"AAAAAHT3v4o=")</f>
        <v>#REF!</v>
      </c>
      <c r="EJ3" t="e">
        <f>AND('Değerlendirme Formu'!#REF!,"AAAAAHT3v4s=")</f>
        <v>#REF!</v>
      </c>
      <c r="EK3" t="e">
        <f>AND('Değerlendirme Formu'!#REF!,"AAAAAHT3v4w=")</f>
        <v>#REF!</v>
      </c>
      <c r="EL3" t="e">
        <f>AND('Değerlendirme Formu'!#REF!,"AAAAAHT3v40=")</f>
        <v>#REF!</v>
      </c>
      <c r="EM3" t="e">
        <f>AND('Değerlendirme Formu'!#REF!,"AAAAAHT3v44=")</f>
        <v>#REF!</v>
      </c>
      <c r="EN3" t="e">
        <f>AND('Değerlendirme Formu'!#REF!,"AAAAAHT3v48=")</f>
        <v>#REF!</v>
      </c>
      <c r="EO3" t="e">
        <f>AND('Değerlendirme Formu'!#REF!,"AAAAAHT3v5A=")</f>
        <v>#REF!</v>
      </c>
      <c r="EP3" t="e">
        <f>AND('Değerlendirme Formu'!#REF!,"AAAAAHT3v5E=")</f>
        <v>#REF!</v>
      </c>
      <c r="EQ3" t="e">
        <f>AND('Değerlendirme Formu'!#REF!,"AAAAAHT3v5I=")</f>
        <v>#REF!</v>
      </c>
      <c r="ER3" t="e">
        <f>AND('Değerlendirme Formu'!#REF!,"AAAAAHT3v5M=")</f>
        <v>#REF!</v>
      </c>
      <c r="ES3" t="e">
        <f>AND('Değerlendirme Formu'!#REF!,"AAAAAHT3v5Q=")</f>
        <v>#REF!</v>
      </c>
      <c r="ET3">
        <f>IF('Değerlendirme Formu'!19:19,"AAAAAHT3v5U=",0)</f>
        <v>0</v>
      </c>
      <c r="EU3" t="b">
        <f>AND('Değerlendirme Formu'!A19,"AAAAAHT3v5Y=")</f>
        <v>1</v>
      </c>
      <c r="EV3" t="e">
        <f>AND('Değerlendirme Formu'!B19,"AAAAAHT3v5c=")</f>
        <v>#VALUE!</v>
      </c>
      <c r="EW3" t="e">
        <f>AND('Değerlendirme Formu'!#REF!,"AAAAAHT3v5g=")</f>
        <v>#REF!</v>
      </c>
      <c r="EX3" t="e">
        <f>AND('Değerlendirme Formu'!C19,"AAAAAHT3v5k=")</f>
        <v>#VALUE!</v>
      </c>
      <c r="EY3" t="b">
        <f>AND('Değerlendirme Formu'!D19,"AAAAAHT3v5o=")</f>
        <v>1</v>
      </c>
      <c r="EZ3" t="b">
        <f>AND('Değerlendirme Formu'!E19,"AAAAAHT3v5s=")</f>
        <v>0</v>
      </c>
      <c r="FA3" t="e">
        <f>AND('Değerlendirme Formu'!#REF!,"AAAAAHT3v5w=")</f>
        <v>#REF!</v>
      </c>
      <c r="FB3" t="e">
        <f>AND('Değerlendirme Formu'!#REF!,"AAAAAHT3v50=")</f>
        <v>#REF!</v>
      </c>
      <c r="FC3" t="e">
        <f>AND('Değerlendirme Formu'!F19,"AAAAAHT3v54=")</f>
        <v>#VALUE!</v>
      </c>
      <c r="FD3" t="e">
        <f>AND('Değerlendirme Formu'!#REF!,"AAAAAHT3v58=")</f>
        <v>#REF!</v>
      </c>
      <c r="FE3" t="e">
        <f>AND('Değerlendirme Formu'!#REF!,"AAAAAHT3v6A=")</f>
        <v>#REF!</v>
      </c>
      <c r="FF3" t="e">
        <f>AND('Değerlendirme Formu'!#REF!,"AAAAAHT3v6E=")</f>
        <v>#REF!</v>
      </c>
      <c r="FG3" t="e">
        <f>AND('Değerlendirme Formu'!#REF!,"AAAAAHT3v6I=")</f>
        <v>#REF!</v>
      </c>
      <c r="FH3" t="e">
        <f>AND('Değerlendirme Formu'!#REF!,"AAAAAHT3v6M=")</f>
        <v>#REF!</v>
      </c>
      <c r="FI3" t="e">
        <f>AND('Değerlendirme Formu'!G19,"AAAAAHT3v6Q=")</f>
        <v>#VALUE!</v>
      </c>
      <c r="FJ3" t="e">
        <f>AND('Değerlendirme Formu'!H19,"AAAAAHT3v6U=")</f>
        <v>#VALUE!</v>
      </c>
      <c r="FK3" t="e">
        <f>AND('Değerlendirme Formu'!I19,"AAAAAHT3v6Y=")</f>
        <v>#VALUE!</v>
      </c>
      <c r="FL3">
        <f>IF('Değerlendirme Formu'!20:20,"AAAAAHT3v6c=",0)</f>
        <v>0</v>
      </c>
      <c r="FM3" t="b">
        <f>AND('Değerlendirme Formu'!A20,"AAAAAHT3v6g=")</f>
        <v>1</v>
      </c>
      <c r="FN3" t="e">
        <f>AND('Değerlendirme Formu'!B20,"AAAAAHT3v6k=")</f>
        <v>#VALUE!</v>
      </c>
      <c r="FO3" t="e">
        <f>AND('Değerlendirme Formu'!#REF!,"AAAAAHT3v6o=")</f>
        <v>#REF!</v>
      </c>
      <c r="FP3" t="e">
        <f>AND('Değerlendirme Formu'!C20,"AAAAAHT3v6s=")</f>
        <v>#VALUE!</v>
      </c>
      <c r="FQ3" t="b">
        <f>AND('Değerlendirme Formu'!D20,"AAAAAHT3v6w=")</f>
        <v>1</v>
      </c>
      <c r="FR3" t="b">
        <f>AND('Değerlendirme Formu'!E20,"AAAAAHT3v60=")</f>
        <v>0</v>
      </c>
      <c r="FS3" t="e">
        <f>AND('Değerlendirme Formu'!#REF!,"AAAAAHT3v64=")</f>
        <v>#REF!</v>
      </c>
      <c r="FT3" t="e">
        <f>AND('Değerlendirme Formu'!#REF!,"AAAAAHT3v68=")</f>
        <v>#REF!</v>
      </c>
      <c r="FU3" t="e">
        <f>AND('Değerlendirme Formu'!F20,"AAAAAHT3v7A=")</f>
        <v>#VALUE!</v>
      </c>
      <c r="FV3" t="e">
        <f>AND('Değerlendirme Formu'!#REF!,"AAAAAHT3v7E=")</f>
        <v>#REF!</v>
      </c>
      <c r="FW3" t="e">
        <f>AND('Değerlendirme Formu'!#REF!,"AAAAAHT3v7I=")</f>
        <v>#REF!</v>
      </c>
      <c r="FX3" t="e">
        <f>AND('Değerlendirme Formu'!#REF!,"AAAAAHT3v7M=")</f>
        <v>#REF!</v>
      </c>
      <c r="FY3" t="e">
        <f>AND('Değerlendirme Formu'!#REF!,"AAAAAHT3v7Q=")</f>
        <v>#REF!</v>
      </c>
      <c r="FZ3" t="e">
        <f>AND('Değerlendirme Formu'!#REF!,"AAAAAHT3v7U=")</f>
        <v>#REF!</v>
      </c>
      <c r="GA3" t="e">
        <f>AND('Değerlendirme Formu'!G20,"AAAAAHT3v7Y=")</f>
        <v>#VALUE!</v>
      </c>
      <c r="GB3" t="e">
        <f>AND('Değerlendirme Formu'!H20,"AAAAAHT3v7c=")</f>
        <v>#VALUE!</v>
      </c>
      <c r="GC3" t="e">
        <f>AND('Değerlendirme Formu'!I20,"AAAAAHT3v7g=")</f>
        <v>#VALUE!</v>
      </c>
      <c r="GD3" t="e">
        <f>IF('Değerlendirme Formu'!#REF!,"AAAAAHT3v7k=",0)</f>
        <v>#REF!</v>
      </c>
      <c r="GE3" t="e">
        <f>AND('Değerlendirme Formu'!#REF!,"AAAAAHT3v7o=")</f>
        <v>#REF!</v>
      </c>
      <c r="GF3" t="e">
        <f>AND('Değerlendirme Formu'!#REF!,"AAAAAHT3v7s=")</f>
        <v>#REF!</v>
      </c>
      <c r="GG3" t="e">
        <f>AND('Değerlendirme Formu'!#REF!,"AAAAAHT3v7w=")</f>
        <v>#REF!</v>
      </c>
      <c r="GH3" t="e">
        <f>AND('Değerlendirme Formu'!#REF!,"AAAAAHT3v70=")</f>
        <v>#REF!</v>
      </c>
      <c r="GI3" t="e">
        <f>AND('Değerlendirme Formu'!#REF!,"AAAAAHT3v74=")</f>
        <v>#REF!</v>
      </c>
      <c r="GJ3" t="e">
        <f>AND('Değerlendirme Formu'!#REF!,"AAAAAHT3v78=")</f>
        <v>#REF!</v>
      </c>
      <c r="GK3" t="e">
        <f>AND('Değerlendirme Formu'!#REF!,"AAAAAHT3v8A=")</f>
        <v>#REF!</v>
      </c>
      <c r="GL3" t="e">
        <f>AND('Değerlendirme Formu'!#REF!,"AAAAAHT3v8E=")</f>
        <v>#REF!</v>
      </c>
      <c r="GM3" t="e">
        <f>AND('Değerlendirme Formu'!#REF!,"AAAAAHT3v8I=")</f>
        <v>#REF!</v>
      </c>
      <c r="GN3" t="e">
        <f>AND('Değerlendirme Formu'!#REF!,"AAAAAHT3v8M=")</f>
        <v>#REF!</v>
      </c>
      <c r="GO3" t="e">
        <f>AND('Değerlendirme Formu'!#REF!,"AAAAAHT3v8Q=")</f>
        <v>#REF!</v>
      </c>
      <c r="GP3" t="e">
        <f>AND('Değerlendirme Formu'!#REF!,"AAAAAHT3v8U=")</f>
        <v>#REF!</v>
      </c>
      <c r="GQ3" t="e">
        <f>AND('Değerlendirme Formu'!#REF!,"AAAAAHT3v8Y=")</f>
        <v>#REF!</v>
      </c>
      <c r="GR3" t="e">
        <f>AND('Değerlendirme Formu'!#REF!,"AAAAAHT3v8c=")</f>
        <v>#REF!</v>
      </c>
      <c r="GS3" t="e">
        <f>AND('Değerlendirme Formu'!#REF!,"AAAAAHT3v8g=")</f>
        <v>#REF!</v>
      </c>
      <c r="GT3" t="e">
        <f>AND('Değerlendirme Formu'!#REF!,"AAAAAHT3v8k=")</f>
        <v>#REF!</v>
      </c>
      <c r="GU3" t="e">
        <f>AND('Değerlendirme Formu'!#REF!,"AAAAAHT3v8o=")</f>
        <v>#REF!</v>
      </c>
      <c r="GV3">
        <f>IF('Değerlendirme Formu'!24:24,"AAAAAHT3v8s=",0)</f>
        <v>0</v>
      </c>
      <c r="GW3" t="b">
        <f>AND('Değerlendirme Formu'!A24,"AAAAAHT3v8w=")</f>
        <v>1</v>
      </c>
      <c r="GX3" t="e">
        <f>AND('Değerlendirme Formu'!B24,"AAAAAHT3v80=")</f>
        <v>#VALUE!</v>
      </c>
      <c r="GY3" t="e">
        <f>AND('Değerlendirme Formu'!#REF!,"AAAAAHT3v84=")</f>
        <v>#REF!</v>
      </c>
      <c r="GZ3" t="e">
        <f>AND('Değerlendirme Formu'!C24,"AAAAAHT3v88=")</f>
        <v>#VALUE!</v>
      </c>
      <c r="HA3" t="b">
        <f>AND('Değerlendirme Formu'!D24,"AAAAAHT3v9A=")</f>
        <v>1</v>
      </c>
      <c r="HB3" t="b">
        <f>AND('Değerlendirme Formu'!E24,"AAAAAHT3v9E=")</f>
        <v>0</v>
      </c>
      <c r="HC3" t="e">
        <f>AND('Değerlendirme Formu'!#REF!,"AAAAAHT3v9I=")</f>
        <v>#REF!</v>
      </c>
      <c r="HD3" t="e">
        <f>AND('Değerlendirme Formu'!#REF!,"AAAAAHT3v9M=")</f>
        <v>#REF!</v>
      </c>
      <c r="HE3" t="e">
        <f>AND('Değerlendirme Formu'!F24,"AAAAAHT3v9Q=")</f>
        <v>#VALUE!</v>
      </c>
      <c r="HF3" t="e">
        <f>AND('Değerlendirme Formu'!#REF!,"AAAAAHT3v9U=")</f>
        <v>#REF!</v>
      </c>
      <c r="HG3" t="e">
        <f>AND('Değerlendirme Formu'!#REF!,"AAAAAHT3v9Y=")</f>
        <v>#REF!</v>
      </c>
      <c r="HH3" t="e">
        <f>AND('Değerlendirme Formu'!#REF!,"AAAAAHT3v9c=")</f>
        <v>#REF!</v>
      </c>
      <c r="HI3" t="e">
        <f>AND('Değerlendirme Formu'!#REF!,"AAAAAHT3v9g=")</f>
        <v>#REF!</v>
      </c>
      <c r="HJ3" t="e">
        <f>AND('Değerlendirme Formu'!#REF!,"AAAAAHT3v9k=")</f>
        <v>#REF!</v>
      </c>
      <c r="HK3" t="e">
        <f>AND('Değerlendirme Formu'!G24,"AAAAAHT3v9o=")</f>
        <v>#VALUE!</v>
      </c>
      <c r="HL3" t="e">
        <f>AND('Değerlendirme Formu'!H24,"AAAAAHT3v9s=")</f>
        <v>#VALUE!</v>
      </c>
      <c r="HM3" t="e">
        <f>AND('Değerlendirme Formu'!I24,"AAAAAHT3v9w=")</f>
        <v>#VALUE!</v>
      </c>
      <c r="HN3">
        <f>IF('Değerlendirme Formu'!25:25,"AAAAAHT3v90=",0)</f>
        <v>0</v>
      </c>
      <c r="HO3" t="e">
        <f>AND('Değerlendirme Formu'!A25,"AAAAAHT3v94=")</f>
        <v>#VALUE!</v>
      </c>
      <c r="HP3" t="e">
        <f>AND('Değerlendirme Formu'!B25,"AAAAAHT3v98=")</f>
        <v>#VALUE!</v>
      </c>
      <c r="HQ3" t="e">
        <f>AND('Değerlendirme Formu'!#REF!,"AAAAAHT3v+A=")</f>
        <v>#REF!</v>
      </c>
      <c r="HR3" t="e">
        <f>AND('Değerlendirme Formu'!#REF!,"AAAAAHT3v+E=")</f>
        <v>#REF!</v>
      </c>
      <c r="HS3" t="e">
        <f>AND('Değerlendirme Formu'!#REF!,"AAAAAHT3v+I=")</f>
        <v>#REF!</v>
      </c>
      <c r="HT3" t="e">
        <f>AND('Değerlendirme Formu'!#REF!,"AAAAAHT3v+M=")</f>
        <v>#REF!</v>
      </c>
      <c r="HU3" t="e">
        <f>AND('Değerlendirme Formu'!#REF!,"AAAAAHT3v+Q=")</f>
        <v>#REF!</v>
      </c>
      <c r="HV3" t="e">
        <f>AND('Değerlendirme Formu'!#REF!,"AAAAAHT3v+U=")</f>
        <v>#REF!</v>
      </c>
      <c r="HW3" t="e">
        <f>AND('Değerlendirme Formu'!#REF!,"AAAAAHT3v+Y=")</f>
        <v>#REF!</v>
      </c>
      <c r="HX3" t="e">
        <f>AND('Değerlendirme Formu'!#REF!,"AAAAAHT3v+c=")</f>
        <v>#REF!</v>
      </c>
      <c r="HY3" t="b">
        <f>AND('Değerlendirme Formu'!C25,"AAAAAHT3v+g=")</f>
        <v>1</v>
      </c>
      <c r="HZ3" t="b">
        <f>AND('Değerlendirme Formu'!D25,"AAAAAHT3v+k=")</f>
        <v>1</v>
      </c>
      <c r="IA3" t="b">
        <f>AND('Değerlendirme Formu'!E25,"AAAAAHT3v+o=")</f>
        <v>1</v>
      </c>
      <c r="IB3" t="e">
        <f>AND('Değerlendirme Formu'!#REF!,"AAAAAHT3v+s=")</f>
        <v>#REF!</v>
      </c>
      <c r="IC3" t="e">
        <f>AND('Değerlendirme Formu'!G25,"AAAAAHT3v+w=")</f>
        <v>#VALUE!</v>
      </c>
      <c r="ID3" t="e">
        <f>AND('Değerlendirme Formu'!H25,"AAAAAHT3v+0=")</f>
        <v>#VALUE!</v>
      </c>
      <c r="IE3" t="e">
        <f>AND('Değerlendirme Formu'!I25,"AAAAAHT3v+4=")</f>
        <v>#VALUE!</v>
      </c>
      <c r="IF3" t="e">
        <f>IF('Değerlendirme Formu'!#REF!,"AAAAAHT3v+8=",0)</f>
        <v>#REF!</v>
      </c>
      <c r="IG3" t="e">
        <f>AND('Değerlendirme Formu'!#REF!,"AAAAAHT3v/A=")</f>
        <v>#REF!</v>
      </c>
      <c r="IH3" t="e">
        <f>AND('Değerlendirme Formu'!#REF!,"AAAAAHT3v/E=")</f>
        <v>#REF!</v>
      </c>
      <c r="II3" t="e">
        <f>AND('Değerlendirme Formu'!#REF!,"AAAAAHT3v/I=")</f>
        <v>#REF!</v>
      </c>
      <c r="IJ3" t="e">
        <f>AND('Değerlendirme Formu'!#REF!,"AAAAAHT3v/M=")</f>
        <v>#REF!</v>
      </c>
      <c r="IK3" t="e">
        <f>AND('Değerlendirme Formu'!#REF!,"AAAAAHT3v/Q=")</f>
        <v>#REF!</v>
      </c>
      <c r="IL3" t="e">
        <f>AND('Değerlendirme Formu'!#REF!,"AAAAAHT3v/U=")</f>
        <v>#REF!</v>
      </c>
      <c r="IM3" t="e">
        <f>AND('Değerlendirme Formu'!#REF!,"AAAAAHT3v/Y=")</f>
        <v>#REF!</v>
      </c>
      <c r="IN3" t="e">
        <f>AND('Değerlendirme Formu'!#REF!,"AAAAAHT3v/c=")</f>
        <v>#REF!</v>
      </c>
      <c r="IO3" t="e">
        <f>AND('Değerlendirme Formu'!#REF!,"AAAAAHT3v/g=")</f>
        <v>#REF!</v>
      </c>
      <c r="IP3" t="e">
        <f>AND('Değerlendirme Formu'!#REF!,"AAAAAHT3v/k=")</f>
        <v>#REF!</v>
      </c>
      <c r="IQ3" t="e">
        <f>AND('Değerlendirme Formu'!#REF!,"AAAAAHT3v/o=")</f>
        <v>#REF!</v>
      </c>
      <c r="IR3" t="e">
        <f>AND('Değerlendirme Formu'!#REF!,"AAAAAHT3v/s=")</f>
        <v>#REF!</v>
      </c>
      <c r="IS3" t="e">
        <f>AND('Değerlendirme Formu'!#REF!,"AAAAAHT3v/w=")</f>
        <v>#REF!</v>
      </c>
      <c r="IT3" t="e">
        <f>AND('Değerlendirme Formu'!#REF!,"AAAAAHT3v/0=")</f>
        <v>#REF!</v>
      </c>
      <c r="IU3" t="e">
        <f>AND('Değerlendirme Formu'!#REF!,"AAAAAHT3v/4=")</f>
        <v>#REF!</v>
      </c>
      <c r="IV3" t="e">
        <f>AND('Değerlendirme Formu'!#REF!,"AAAAAHT3v/8=")</f>
        <v>#REF!</v>
      </c>
    </row>
    <row r="4" spans="1:256" x14ac:dyDescent="0.2">
      <c r="A4" t="e">
        <f>AND('Değerlendirme Formu'!#REF!,"AAAAAHv9/gA=")</f>
        <v>#REF!</v>
      </c>
      <c r="B4" t="e">
        <f>IF('Değerlendirme Formu'!26:26,"AAAAAHv9/gE=",0)</f>
        <v>#VALUE!</v>
      </c>
      <c r="C4" t="e">
        <f>AND('Değerlendirme Formu'!A26,"AAAAAHv9/gI=")</f>
        <v>#VALUE!</v>
      </c>
      <c r="D4" t="e">
        <f>AND('Değerlendirme Formu'!B26,"AAAAAHv9/gM=")</f>
        <v>#VALUE!</v>
      </c>
      <c r="E4" t="e">
        <f>AND('Değerlendirme Formu'!#REF!,"AAAAAHv9/gQ=")</f>
        <v>#REF!</v>
      </c>
      <c r="F4" t="e">
        <f>AND('Değerlendirme Formu'!C26,"AAAAAHv9/gU=")</f>
        <v>#VALUE!</v>
      </c>
      <c r="G4" t="e">
        <f>AND('Değerlendirme Formu'!D26,"AAAAAHv9/gY=")</f>
        <v>#VALUE!</v>
      </c>
      <c r="H4" t="e">
        <f>AND('Değerlendirme Formu'!E26,"AAAAAHv9/gc=")</f>
        <v>#VALUE!</v>
      </c>
      <c r="I4" t="e">
        <f>AND('Değerlendirme Formu'!#REF!,"AAAAAHv9/gg=")</f>
        <v>#REF!</v>
      </c>
      <c r="J4" t="e">
        <f>AND('Değerlendirme Formu'!#REF!,"AAAAAHv9/gk=")</f>
        <v>#REF!</v>
      </c>
      <c r="K4" t="e">
        <f>AND('Değerlendirme Formu'!F26,"AAAAAHv9/go=")</f>
        <v>#VALUE!</v>
      </c>
      <c r="L4" t="e">
        <f>AND('Değerlendirme Formu'!#REF!,"AAAAAHv9/gs=")</f>
        <v>#REF!</v>
      </c>
      <c r="M4" t="e">
        <f>AND('Değerlendirme Formu'!#REF!,"AAAAAHv9/gw=")</f>
        <v>#REF!</v>
      </c>
      <c r="N4" t="e">
        <f>AND('Değerlendirme Formu'!#REF!,"AAAAAHv9/g0=")</f>
        <v>#REF!</v>
      </c>
      <c r="O4" t="e">
        <f>AND('Değerlendirme Formu'!#REF!,"AAAAAHv9/g4=")</f>
        <v>#REF!</v>
      </c>
      <c r="P4" t="e">
        <f>AND('Değerlendirme Formu'!#REF!,"AAAAAHv9/g8=")</f>
        <v>#REF!</v>
      </c>
      <c r="Q4" t="e">
        <f>AND('Değerlendirme Formu'!G26,"AAAAAHv9/hA=")</f>
        <v>#VALUE!</v>
      </c>
      <c r="R4" t="e">
        <f>AND('Değerlendirme Formu'!H26,"AAAAAHv9/hE=")</f>
        <v>#VALUE!</v>
      </c>
      <c r="S4" t="e">
        <f>AND('Değerlendirme Formu'!I26,"AAAAAHv9/hI=")</f>
        <v>#VALUE!</v>
      </c>
      <c r="T4" t="e">
        <f>IF('Değerlendirme Formu'!#REF!,"AAAAAHv9/hM=",0)</f>
        <v>#REF!</v>
      </c>
      <c r="U4" t="e">
        <f>AND('Değerlendirme Formu'!#REF!,"AAAAAHv9/hQ=")</f>
        <v>#REF!</v>
      </c>
      <c r="V4" t="e">
        <f>AND('Değerlendirme Formu'!#REF!,"AAAAAHv9/hU=")</f>
        <v>#REF!</v>
      </c>
      <c r="W4" t="e">
        <f>AND('Değerlendirme Formu'!#REF!,"AAAAAHv9/hY=")</f>
        <v>#REF!</v>
      </c>
      <c r="X4" t="e">
        <f>AND('Değerlendirme Formu'!#REF!,"AAAAAHv9/hc=")</f>
        <v>#REF!</v>
      </c>
      <c r="Y4" t="e">
        <f>AND('Değerlendirme Formu'!#REF!,"AAAAAHv9/hg=")</f>
        <v>#REF!</v>
      </c>
      <c r="Z4" t="e">
        <f>AND('Değerlendirme Formu'!#REF!,"AAAAAHv9/hk=")</f>
        <v>#REF!</v>
      </c>
      <c r="AA4" t="e">
        <f>AND('Değerlendirme Formu'!#REF!,"AAAAAHv9/ho=")</f>
        <v>#REF!</v>
      </c>
      <c r="AB4" t="e">
        <f>AND('Değerlendirme Formu'!#REF!,"AAAAAHv9/hs=")</f>
        <v>#REF!</v>
      </c>
      <c r="AC4" t="e">
        <f>AND('Değerlendirme Formu'!#REF!,"AAAAAHv9/hw=")</f>
        <v>#REF!</v>
      </c>
      <c r="AD4" t="e">
        <f>AND('Değerlendirme Formu'!#REF!,"AAAAAHv9/h0=")</f>
        <v>#REF!</v>
      </c>
      <c r="AE4" t="e">
        <f>AND('Değerlendirme Formu'!#REF!,"AAAAAHv9/h4=")</f>
        <v>#REF!</v>
      </c>
      <c r="AF4" t="e">
        <f>AND('Değerlendirme Formu'!#REF!,"AAAAAHv9/h8=")</f>
        <v>#REF!</v>
      </c>
      <c r="AG4" t="e">
        <f>AND('Değerlendirme Formu'!#REF!,"AAAAAHv9/iA=")</f>
        <v>#REF!</v>
      </c>
      <c r="AH4" t="e">
        <f>AND('Değerlendirme Formu'!#REF!,"AAAAAHv9/iE=")</f>
        <v>#REF!</v>
      </c>
      <c r="AI4" t="e">
        <f>AND('Değerlendirme Formu'!#REF!,"AAAAAHv9/iI=")</f>
        <v>#REF!</v>
      </c>
      <c r="AJ4" t="e">
        <f>AND('Değerlendirme Formu'!#REF!,"AAAAAHv9/iM=")</f>
        <v>#REF!</v>
      </c>
      <c r="AK4" t="e">
        <f>AND('Değerlendirme Formu'!#REF!,"AAAAAHv9/iQ=")</f>
        <v>#REF!</v>
      </c>
      <c r="AL4" t="e">
        <f>IF('Değerlendirme Formu'!#REF!,"AAAAAHv9/iU=",0)</f>
        <v>#REF!</v>
      </c>
      <c r="AM4" t="e">
        <f>AND('Değerlendirme Formu'!#REF!,"AAAAAHv9/iY=")</f>
        <v>#REF!</v>
      </c>
      <c r="AN4" t="e">
        <f>AND('Değerlendirme Formu'!#REF!,"AAAAAHv9/ic=")</f>
        <v>#REF!</v>
      </c>
      <c r="AO4" t="e">
        <f>AND('Değerlendirme Formu'!#REF!,"AAAAAHv9/ig=")</f>
        <v>#REF!</v>
      </c>
      <c r="AP4" t="e">
        <f>AND('Değerlendirme Formu'!#REF!,"AAAAAHv9/ik=")</f>
        <v>#REF!</v>
      </c>
      <c r="AQ4" t="e">
        <f>AND('Değerlendirme Formu'!#REF!,"AAAAAHv9/io=")</f>
        <v>#REF!</v>
      </c>
      <c r="AR4" t="e">
        <f>AND('Değerlendirme Formu'!#REF!,"AAAAAHv9/is=")</f>
        <v>#REF!</v>
      </c>
      <c r="AS4" t="e">
        <f>AND('Değerlendirme Formu'!#REF!,"AAAAAHv9/iw=")</f>
        <v>#REF!</v>
      </c>
      <c r="AT4" t="e">
        <f>AND('Değerlendirme Formu'!#REF!,"AAAAAHv9/i0=")</f>
        <v>#REF!</v>
      </c>
      <c r="AU4" t="e">
        <f>AND('Değerlendirme Formu'!#REF!,"AAAAAHv9/i4=")</f>
        <v>#REF!</v>
      </c>
      <c r="AV4" t="e">
        <f>AND('Değerlendirme Formu'!#REF!,"AAAAAHv9/i8=")</f>
        <v>#REF!</v>
      </c>
      <c r="AW4" t="e">
        <f>AND('Değerlendirme Formu'!#REF!,"AAAAAHv9/jA=")</f>
        <v>#REF!</v>
      </c>
      <c r="AX4" t="e">
        <f>AND('Değerlendirme Formu'!#REF!,"AAAAAHv9/jE=")</f>
        <v>#REF!</v>
      </c>
      <c r="AY4" t="e">
        <f>AND('Değerlendirme Formu'!#REF!,"AAAAAHv9/jI=")</f>
        <v>#REF!</v>
      </c>
      <c r="AZ4" t="e">
        <f>AND('Değerlendirme Formu'!#REF!,"AAAAAHv9/jM=")</f>
        <v>#REF!</v>
      </c>
      <c r="BA4" t="e">
        <f>AND('Değerlendirme Formu'!#REF!,"AAAAAHv9/jQ=")</f>
        <v>#REF!</v>
      </c>
      <c r="BB4" t="e">
        <f>AND('Değerlendirme Formu'!#REF!,"AAAAAHv9/jU=")</f>
        <v>#REF!</v>
      </c>
      <c r="BC4" t="e">
        <f>AND('Değerlendirme Formu'!#REF!,"AAAAAHv9/jY=")</f>
        <v>#REF!</v>
      </c>
      <c r="BD4" t="e">
        <f>IF('Değerlendirme Formu'!#REF!,"AAAAAHv9/jc=",0)</f>
        <v>#REF!</v>
      </c>
      <c r="BE4" t="e">
        <f>AND('Değerlendirme Formu'!#REF!,"AAAAAHv9/jg=")</f>
        <v>#REF!</v>
      </c>
      <c r="BF4" t="e">
        <f>AND('Değerlendirme Formu'!#REF!,"AAAAAHv9/jk=")</f>
        <v>#REF!</v>
      </c>
      <c r="BG4" t="e">
        <f>AND('Değerlendirme Formu'!#REF!,"AAAAAHv9/jo=")</f>
        <v>#REF!</v>
      </c>
      <c r="BH4" t="e">
        <f>AND('Değerlendirme Formu'!#REF!,"AAAAAHv9/js=")</f>
        <v>#REF!</v>
      </c>
      <c r="BI4" t="e">
        <f>AND('Değerlendirme Formu'!#REF!,"AAAAAHv9/jw=")</f>
        <v>#REF!</v>
      </c>
      <c r="BJ4" t="e">
        <f>AND('Değerlendirme Formu'!#REF!,"AAAAAHv9/j0=")</f>
        <v>#REF!</v>
      </c>
      <c r="BK4" t="e">
        <f>AND('Değerlendirme Formu'!#REF!,"AAAAAHv9/j4=")</f>
        <v>#REF!</v>
      </c>
      <c r="BL4" t="e">
        <f>AND('Değerlendirme Formu'!#REF!,"AAAAAHv9/j8=")</f>
        <v>#REF!</v>
      </c>
      <c r="BM4" t="e">
        <f>AND('Değerlendirme Formu'!#REF!,"AAAAAHv9/kA=")</f>
        <v>#REF!</v>
      </c>
      <c r="BN4" t="e">
        <f>AND('Değerlendirme Formu'!#REF!,"AAAAAHv9/kE=")</f>
        <v>#REF!</v>
      </c>
      <c r="BO4" t="e">
        <f>AND('Değerlendirme Formu'!#REF!,"AAAAAHv9/kI=")</f>
        <v>#REF!</v>
      </c>
      <c r="BP4" t="e">
        <f>AND('Değerlendirme Formu'!#REF!,"AAAAAHv9/kM=")</f>
        <v>#REF!</v>
      </c>
      <c r="BQ4" t="e">
        <f>AND('Değerlendirme Formu'!#REF!,"AAAAAHv9/kQ=")</f>
        <v>#REF!</v>
      </c>
      <c r="BR4" t="e">
        <f>AND('Değerlendirme Formu'!#REF!,"AAAAAHv9/kU=")</f>
        <v>#REF!</v>
      </c>
      <c r="BS4" t="e">
        <f>AND('Değerlendirme Formu'!#REF!,"AAAAAHv9/kY=")</f>
        <v>#REF!</v>
      </c>
      <c r="BT4" t="e">
        <f>AND('Değerlendirme Formu'!#REF!,"AAAAAHv9/kc=")</f>
        <v>#REF!</v>
      </c>
      <c r="BU4" t="e">
        <f>AND('Değerlendirme Formu'!#REF!,"AAAAAHv9/kg=")</f>
        <v>#REF!</v>
      </c>
      <c r="BV4" t="e">
        <f>IF('Değerlendirme Formu'!#REF!,"AAAAAHv9/kk=",0)</f>
        <v>#REF!</v>
      </c>
      <c r="BW4" t="e">
        <f>AND('Değerlendirme Formu'!#REF!,"AAAAAHv9/ko=")</f>
        <v>#REF!</v>
      </c>
      <c r="BX4" t="e">
        <f>AND('Değerlendirme Formu'!#REF!,"AAAAAHv9/ks=")</f>
        <v>#REF!</v>
      </c>
      <c r="BY4" t="e">
        <f>AND('Değerlendirme Formu'!#REF!,"AAAAAHv9/kw=")</f>
        <v>#REF!</v>
      </c>
      <c r="BZ4" t="e">
        <f>AND('Değerlendirme Formu'!#REF!,"AAAAAHv9/k0=")</f>
        <v>#REF!</v>
      </c>
      <c r="CA4" t="e">
        <f>AND('Değerlendirme Formu'!#REF!,"AAAAAHv9/k4=")</f>
        <v>#REF!</v>
      </c>
      <c r="CB4" t="e">
        <f>AND('Değerlendirme Formu'!#REF!,"AAAAAHv9/k8=")</f>
        <v>#REF!</v>
      </c>
      <c r="CC4" t="e">
        <f>AND('Değerlendirme Formu'!#REF!,"AAAAAHv9/lA=")</f>
        <v>#REF!</v>
      </c>
      <c r="CD4" t="e">
        <f>AND('Değerlendirme Formu'!#REF!,"AAAAAHv9/lE=")</f>
        <v>#REF!</v>
      </c>
      <c r="CE4" t="e">
        <f>AND('Değerlendirme Formu'!#REF!,"AAAAAHv9/lI=")</f>
        <v>#REF!</v>
      </c>
      <c r="CF4" t="e">
        <f>AND('Değerlendirme Formu'!#REF!,"AAAAAHv9/lM=")</f>
        <v>#REF!</v>
      </c>
      <c r="CG4" t="e">
        <f>AND('Değerlendirme Formu'!#REF!,"AAAAAHv9/lQ=")</f>
        <v>#REF!</v>
      </c>
      <c r="CH4" t="e">
        <f>AND('Değerlendirme Formu'!#REF!,"AAAAAHv9/lU=")</f>
        <v>#REF!</v>
      </c>
      <c r="CI4" t="e">
        <f>AND('Değerlendirme Formu'!#REF!,"AAAAAHv9/lY=")</f>
        <v>#REF!</v>
      </c>
      <c r="CJ4" t="e">
        <f>AND('Değerlendirme Formu'!#REF!,"AAAAAHv9/lc=")</f>
        <v>#REF!</v>
      </c>
      <c r="CK4" t="e">
        <f>AND('Değerlendirme Formu'!#REF!,"AAAAAHv9/lg=")</f>
        <v>#REF!</v>
      </c>
      <c r="CL4" t="e">
        <f>AND('Değerlendirme Formu'!#REF!,"AAAAAHv9/lk=")</f>
        <v>#REF!</v>
      </c>
      <c r="CM4" t="e">
        <f>AND('Değerlendirme Formu'!#REF!,"AAAAAHv9/lo=")</f>
        <v>#REF!</v>
      </c>
      <c r="CN4">
        <f>IF('Değerlendirme Formu'!27:27,"AAAAAHv9/ls=",0)</f>
        <v>0</v>
      </c>
      <c r="CO4" t="b">
        <f>AND('Değerlendirme Formu'!A27,"AAAAAHv9/lw=")</f>
        <v>1</v>
      </c>
      <c r="CP4" t="e">
        <f>AND('Değerlendirme Formu'!B27,"AAAAAHv9/l0=")</f>
        <v>#VALUE!</v>
      </c>
      <c r="CQ4" t="e">
        <f>AND('Değerlendirme Formu'!#REF!,"AAAAAHv9/l4=")</f>
        <v>#REF!</v>
      </c>
      <c r="CR4" t="e">
        <f>AND('Değerlendirme Formu'!C27,"AAAAAHv9/l8=")</f>
        <v>#VALUE!</v>
      </c>
      <c r="CS4" t="b">
        <f>AND('Değerlendirme Formu'!D27,"AAAAAHv9/mA=")</f>
        <v>1</v>
      </c>
      <c r="CT4" t="b">
        <f>AND('Değerlendirme Formu'!E27,"AAAAAHv9/mE=")</f>
        <v>0</v>
      </c>
      <c r="CU4" t="e">
        <f>AND('Değerlendirme Formu'!#REF!,"AAAAAHv9/mI=")</f>
        <v>#REF!</v>
      </c>
      <c r="CV4" t="e">
        <f>AND('Değerlendirme Formu'!#REF!,"AAAAAHv9/mM=")</f>
        <v>#REF!</v>
      </c>
      <c r="CW4" t="e">
        <f>AND('Değerlendirme Formu'!F27,"AAAAAHv9/mQ=")</f>
        <v>#VALUE!</v>
      </c>
      <c r="CX4" t="e">
        <f>AND('Değerlendirme Formu'!#REF!,"AAAAAHv9/mU=")</f>
        <v>#REF!</v>
      </c>
      <c r="CY4" t="e">
        <f>AND('Değerlendirme Formu'!#REF!,"AAAAAHv9/mY=")</f>
        <v>#REF!</v>
      </c>
      <c r="CZ4" t="e">
        <f>AND('Değerlendirme Formu'!#REF!,"AAAAAHv9/mc=")</f>
        <v>#REF!</v>
      </c>
      <c r="DA4" t="e">
        <f>AND('Değerlendirme Formu'!#REF!,"AAAAAHv9/mg=")</f>
        <v>#REF!</v>
      </c>
      <c r="DB4" t="e">
        <f>AND('Değerlendirme Formu'!#REF!,"AAAAAHv9/mk=")</f>
        <v>#REF!</v>
      </c>
      <c r="DC4" t="e">
        <f>AND('Değerlendirme Formu'!G27,"AAAAAHv9/mo=")</f>
        <v>#VALUE!</v>
      </c>
      <c r="DD4" t="e">
        <f>AND('Değerlendirme Formu'!H27,"AAAAAHv9/ms=")</f>
        <v>#VALUE!</v>
      </c>
      <c r="DE4" t="e">
        <f>AND('Değerlendirme Formu'!I27,"AAAAAHv9/mw=")</f>
        <v>#VALUE!</v>
      </c>
      <c r="DF4" t="e">
        <f>IF('Değerlendirme Formu'!#REF!,"AAAAAHv9/m0=",0)</f>
        <v>#REF!</v>
      </c>
      <c r="DG4" t="e">
        <f>AND('Değerlendirme Formu'!#REF!,"AAAAAHv9/m4=")</f>
        <v>#REF!</v>
      </c>
      <c r="DH4" t="e">
        <f>AND('Değerlendirme Formu'!#REF!,"AAAAAHv9/m8=")</f>
        <v>#REF!</v>
      </c>
      <c r="DI4" t="e">
        <f>AND('Değerlendirme Formu'!#REF!,"AAAAAHv9/nA=")</f>
        <v>#REF!</v>
      </c>
      <c r="DJ4" t="e">
        <f>AND('Değerlendirme Formu'!#REF!,"AAAAAHv9/nE=")</f>
        <v>#REF!</v>
      </c>
      <c r="DK4" t="e">
        <f>AND('Değerlendirme Formu'!#REF!,"AAAAAHv9/nI=")</f>
        <v>#REF!</v>
      </c>
      <c r="DL4" t="e">
        <f>AND('Değerlendirme Formu'!#REF!,"AAAAAHv9/nM=")</f>
        <v>#REF!</v>
      </c>
      <c r="DM4" t="e">
        <f>AND('Değerlendirme Formu'!#REF!,"AAAAAHv9/nQ=")</f>
        <v>#REF!</v>
      </c>
      <c r="DN4" t="e">
        <f>AND('Değerlendirme Formu'!#REF!,"AAAAAHv9/nU=")</f>
        <v>#REF!</v>
      </c>
      <c r="DO4" t="e">
        <f>AND('Değerlendirme Formu'!#REF!,"AAAAAHv9/nY=")</f>
        <v>#REF!</v>
      </c>
      <c r="DP4" t="e">
        <f>AND('Değerlendirme Formu'!#REF!,"AAAAAHv9/nc=")</f>
        <v>#REF!</v>
      </c>
      <c r="DQ4" t="e">
        <f>AND('Değerlendirme Formu'!#REF!,"AAAAAHv9/ng=")</f>
        <v>#REF!</v>
      </c>
      <c r="DR4" t="e">
        <f>AND('Değerlendirme Formu'!#REF!,"AAAAAHv9/nk=")</f>
        <v>#REF!</v>
      </c>
      <c r="DS4" t="e">
        <f>AND('Değerlendirme Formu'!#REF!,"AAAAAHv9/no=")</f>
        <v>#REF!</v>
      </c>
      <c r="DT4" t="e">
        <f>AND('Değerlendirme Formu'!#REF!,"AAAAAHv9/ns=")</f>
        <v>#REF!</v>
      </c>
      <c r="DU4" t="e">
        <f>AND('Değerlendirme Formu'!#REF!,"AAAAAHv9/nw=")</f>
        <v>#REF!</v>
      </c>
      <c r="DV4" t="e">
        <f>AND('Değerlendirme Formu'!#REF!,"AAAAAHv9/n0=")</f>
        <v>#REF!</v>
      </c>
      <c r="DW4" t="e">
        <f>AND('Değerlendirme Formu'!#REF!,"AAAAAHv9/n4=")</f>
        <v>#REF!</v>
      </c>
      <c r="DX4" t="e">
        <f>IF('Değerlendirme Formu'!#REF!,"AAAAAHv9/n8=",0)</f>
        <v>#REF!</v>
      </c>
      <c r="DY4" t="e">
        <f>AND('Değerlendirme Formu'!#REF!,"AAAAAHv9/oA=")</f>
        <v>#REF!</v>
      </c>
      <c r="DZ4" t="e">
        <f>AND('Değerlendirme Formu'!#REF!,"AAAAAHv9/oE=")</f>
        <v>#REF!</v>
      </c>
      <c r="EA4" t="e">
        <f>AND('Değerlendirme Formu'!#REF!,"AAAAAHv9/oI=")</f>
        <v>#REF!</v>
      </c>
      <c r="EB4" t="e">
        <f>AND('Değerlendirme Formu'!#REF!,"AAAAAHv9/oM=")</f>
        <v>#REF!</v>
      </c>
      <c r="EC4" t="e">
        <f>AND('Değerlendirme Formu'!#REF!,"AAAAAHv9/oQ=")</f>
        <v>#REF!</v>
      </c>
      <c r="ED4" t="e">
        <f>AND('Değerlendirme Formu'!#REF!,"AAAAAHv9/oU=")</f>
        <v>#REF!</v>
      </c>
      <c r="EE4" t="e">
        <f>AND('Değerlendirme Formu'!#REF!,"AAAAAHv9/oY=")</f>
        <v>#REF!</v>
      </c>
      <c r="EF4" t="e">
        <f>AND('Değerlendirme Formu'!#REF!,"AAAAAHv9/oc=")</f>
        <v>#REF!</v>
      </c>
      <c r="EG4" t="e">
        <f>AND('Değerlendirme Formu'!#REF!,"AAAAAHv9/og=")</f>
        <v>#REF!</v>
      </c>
      <c r="EH4" t="e">
        <f>AND('Değerlendirme Formu'!#REF!,"AAAAAHv9/ok=")</f>
        <v>#REF!</v>
      </c>
      <c r="EI4" t="e">
        <f>AND('Değerlendirme Formu'!#REF!,"AAAAAHv9/oo=")</f>
        <v>#REF!</v>
      </c>
      <c r="EJ4" t="e">
        <f>AND('Değerlendirme Formu'!#REF!,"AAAAAHv9/os=")</f>
        <v>#REF!</v>
      </c>
      <c r="EK4" t="e">
        <f>AND('Değerlendirme Formu'!#REF!,"AAAAAHv9/ow=")</f>
        <v>#REF!</v>
      </c>
      <c r="EL4" t="e">
        <f>AND('Değerlendirme Formu'!#REF!,"AAAAAHv9/o0=")</f>
        <v>#REF!</v>
      </c>
      <c r="EM4" t="e">
        <f>AND('Değerlendirme Formu'!#REF!,"AAAAAHv9/o4=")</f>
        <v>#REF!</v>
      </c>
      <c r="EN4" t="e">
        <f>AND('Değerlendirme Formu'!#REF!,"AAAAAHv9/o8=")</f>
        <v>#REF!</v>
      </c>
      <c r="EO4" t="e">
        <f>AND('Değerlendirme Formu'!#REF!,"AAAAAHv9/pA=")</f>
        <v>#REF!</v>
      </c>
      <c r="EP4" t="e">
        <f>IF('Değerlendirme Formu'!#REF!,"AAAAAHv9/pE=",0)</f>
        <v>#REF!</v>
      </c>
      <c r="EQ4" t="e">
        <f>AND('Değerlendirme Formu'!#REF!,"AAAAAHv9/pI=")</f>
        <v>#REF!</v>
      </c>
      <c r="ER4" t="e">
        <f>AND('Değerlendirme Formu'!#REF!,"AAAAAHv9/pM=")</f>
        <v>#REF!</v>
      </c>
      <c r="ES4" t="e">
        <f>AND('Değerlendirme Formu'!#REF!,"AAAAAHv9/pQ=")</f>
        <v>#REF!</v>
      </c>
      <c r="ET4" t="e">
        <f>AND('Değerlendirme Formu'!#REF!,"AAAAAHv9/pU=")</f>
        <v>#REF!</v>
      </c>
      <c r="EU4" t="e">
        <f>AND('Değerlendirme Formu'!#REF!,"AAAAAHv9/pY=")</f>
        <v>#REF!</v>
      </c>
      <c r="EV4" t="e">
        <f>AND('Değerlendirme Formu'!#REF!,"AAAAAHv9/pc=")</f>
        <v>#REF!</v>
      </c>
      <c r="EW4" t="e">
        <f>AND('Değerlendirme Formu'!#REF!,"AAAAAHv9/pg=")</f>
        <v>#REF!</v>
      </c>
      <c r="EX4" t="e">
        <f>AND('Değerlendirme Formu'!#REF!,"AAAAAHv9/pk=")</f>
        <v>#REF!</v>
      </c>
      <c r="EY4" t="e">
        <f>AND('Değerlendirme Formu'!#REF!,"AAAAAHv9/po=")</f>
        <v>#REF!</v>
      </c>
      <c r="EZ4" t="e">
        <f>AND('Değerlendirme Formu'!#REF!,"AAAAAHv9/ps=")</f>
        <v>#REF!</v>
      </c>
      <c r="FA4" t="e">
        <f>AND('Değerlendirme Formu'!#REF!,"AAAAAHv9/pw=")</f>
        <v>#REF!</v>
      </c>
      <c r="FB4" t="e">
        <f>AND('Değerlendirme Formu'!#REF!,"AAAAAHv9/p0=")</f>
        <v>#REF!</v>
      </c>
      <c r="FC4" t="e">
        <f>AND('Değerlendirme Formu'!#REF!,"AAAAAHv9/p4=")</f>
        <v>#REF!</v>
      </c>
      <c r="FD4" t="e">
        <f>AND('Değerlendirme Formu'!#REF!,"AAAAAHv9/p8=")</f>
        <v>#REF!</v>
      </c>
      <c r="FE4" t="e">
        <f>AND('Değerlendirme Formu'!#REF!,"AAAAAHv9/qA=")</f>
        <v>#REF!</v>
      </c>
      <c r="FF4" t="e">
        <f>AND('Değerlendirme Formu'!#REF!,"AAAAAHv9/qE=")</f>
        <v>#REF!</v>
      </c>
      <c r="FG4" t="e">
        <f>AND('Değerlendirme Formu'!#REF!,"AAAAAHv9/qI=")</f>
        <v>#REF!</v>
      </c>
      <c r="FH4" t="e">
        <f>IF('Değerlendirme Formu'!#REF!,"AAAAAHv9/qM=",0)</f>
        <v>#REF!</v>
      </c>
      <c r="FI4" t="e">
        <f>AND('Değerlendirme Formu'!#REF!,"AAAAAHv9/qQ=")</f>
        <v>#REF!</v>
      </c>
      <c r="FJ4" t="e">
        <f>AND('Değerlendirme Formu'!#REF!,"AAAAAHv9/qU=")</f>
        <v>#REF!</v>
      </c>
      <c r="FK4" t="e">
        <f>AND('Değerlendirme Formu'!#REF!,"AAAAAHv9/qY=")</f>
        <v>#REF!</v>
      </c>
      <c r="FL4" t="e">
        <f>AND('Değerlendirme Formu'!#REF!,"AAAAAHv9/qc=")</f>
        <v>#REF!</v>
      </c>
      <c r="FM4" t="e">
        <f>AND('Değerlendirme Formu'!#REF!,"AAAAAHv9/qg=")</f>
        <v>#REF!</v>
      </c>
      <c r="FN4" t="e">
        <f>AND('Değerlendirme Formu'!#REF!,"AAAAAHv9/qk=")</f>
        <v>#REF!</v>
      </c>
      <c r="FO4" t="e">
        <f>AND('Değerlendirme Formu'!#REF!,"AAAAAHv9/qo=")</f>
        <v>#REF!</v>
      </c>
      <c r="FP4" t="e">
        <f>AND('Değerlendirme Formu'!#REF!,"AAAAAHv9/qs=")</f>
        <v>#REF!</v>
      </c>
      <c r="FQ4" t="e">
        <f>AND('Değerlendirme Formu'!#REF!,"AAAAAHv9/qw=")</f>
        <v>#REF!</v>
      </c>
      <c r="FR4" t="e">
        <f>AND('Değerlendirme Formu'!#REF!,"AAAAAHv9/q0=")</f>
        <v>#REF!</v>
      </c>
      <c r="FS4" t="e">
        <f>AND('Değerlendirme Formu'!#REF!,"AAAAAHv9/q4=")</f>
        <v>#REF!</v>
      </c>
      <c r="FT4" t="e">
        <f>AND('Değerlendirme Formu'!#REF!,"AAAAAHv9/q8=")</f>
        <v>#REF!</v>
      </c>
      <c r="FU4" t="e">
        <f>AND('Değerlendirme Formu'!#REF!,"AAAAAHv9/rA=")</f>
        <v>#REF!</v>
      </c>
      <c r="FV4" t="e">
        <f>AND('Değerlendirme Formu'!#REF!,"AAAAAHv9/rE=")</f>
        <v>#REF!</v>
      </c>
      <c r="FW4" t="e">
        <f>AND('Değerlendirme Formu'!#REF!,"AAAAAHv9/rI=")</f>
        <v>#REF!</v>
      </c>
      <c r="FX4" t="e">
        <f>AND('Değerlendirme Formu'!#REF!,"AAAAAHv9/rM=")</f>
        <v>#REF!</v>
      </c>
      <c r="FY4" t="e">
        <f>AND('Değerlendirme Formu'!#REF!,"AAAAAHv9/rQ=")</f>
        <v>#REF!</v>
      </c>
      <c r="FZ4" t="e">
        <f>IF('Değerlendirme Formu'!#REF!,"AAAAAHv9/rU=",0)</f>
        <v>#REF!</v>
      </c>
      <c r="GA4" t="e">
        <f>AND('Değerlendirme Formu'!#REF!,"AAAAAHv9/rY=")</f>
        <v>#REF!</v>
      </c>
      <c r="GB4" t="e">
        <f>AND('Değerlendirme Formu'!#REF!,"AAAAAHv9/rc=")</f>
        <v>#REF!</v>
      </c>
      <c r="GC4" t="e">
        <f>AND('Değerlendirme Formu'!#REF!,"AAAAAHv9/rg=")</f>
        <v>#REF!</v>
      </c>
      <c r="GD4" t="e">
        <f>AND('Değerlendirme Formu'!#REF!,"AAAAAHv9/rk=")</f>
        <v>#REF!</v>
      </c>
      <c r="GE4" t="e">
        <f>AND('Değerlendirme Formu'!#REF!,"AAAAAHv9/ro=")</f>
        <v>#REF!</v>
      </c>
      <c r="GF4" t="e">
        <f>AND('Değerlendirme Formu'!#REF!,"AAAAAHv9/rs=")</f>
        <v>#REF!</v>
      </c>
      <c r="GG4" t="e">
        <f>AND('Değerlendirme Formu'!#REF!,"AAAAAHv9/rw=")</f>
        <v>#REF!</v>
      </c>
      <c r="GH4" t="e">
        <f>AND('Değerlendirme Formu'!#REF!,"AAAAAHv9/r0=")</f>
        <v>#REF!</v>
      </c>
      <c r="GI4" t="e">
        <f>AND('Değerlendirme Formu'!#REF!,"AAAAAHv9/r4=")</f>
        <v>#REF!</v>
      </c>
      <c r="GJ4" t="e">
        <f>AND('Değerlendirme Formu'!#REF!,"AAAAAHv9/r8=")</f>
        <v>#REF!</v>
      </c>
      <c r="GK4" t="e">
        <f>AND('Değerlendirme Formu'!#REF!,"AAAAAHv9/sA=")</f>
        <v>#REF!</v>
      </c>
      <c r="GL4" t="e">
        <f>AND('Değerlendirme Formu'!#REF!,"AAAAAHv9/sE=")</f>
        <v>#REF!</v>
      </c>
      <c r="GM4" t="e">
        <f>AND('Değerlendirme Formu'!#REF!,"AAAAAHv9/sI=")</f>
        <v>#REF!</v>
      </c>
      <c r="GN4" t="e">
        <f>AND('Değerlendirme Formu'!#REF!,"AAAAAHv9/sM=")</f>
        <v>#REF!</v>
      </c>
      <c r="GO4" t="e">
        <f>AND('Değerlendirme Formu'!#REF!,"AAAAAHv9/sQ=")</f>
        <v>#REF!</v>
      </c>
      <c r="GP4" t="e">
        <f>AND('Değerlendirme Formu'!#REF!,"AAAAAHv9/sU=")</f>
        <v>#REF!</v>
      </c>
      <c r="GQ4" t="e">
        <f>AND('Değerlendirme Formu'!#REF!,"AAAAAHv9/sY=")</f>
        <v>#REF!</v>
      </c>
      <c r="GR4" t="e">
        <f>IF('Değerlendirme Formu'!#REF!,"AAAAAHv9/sc=",0)</f>
        <v>#REF!</v>
      </c>
      <c r="GS4" t="e">
        <f>AND('Değerlendirme Formu'!#REF!,"AAAAAHv9/sg=")</f>
        <v>#REF!</v>
      </c>
      <c r="GT4" t="e">
        <f>AND('Değerlendirme Formu'!#REF!,"AAAAAHv9/sk=")</f>
        <v>#REF!</v>
      </c>
      <c r="GU4" t="e">
        <f>AND('Değerlendirme Formu'!#REF!,"AAAAAHv9/so=")</f>
        <v>#REF!</v>
      </c>
      <c r="GV4" t="e">
        <f>AND('Değerlendirme Formu'!#REF!,"AAAAAHv9/ss=")</f>
        <v>#REF!</v>
      </c>
      <c r="GW4" t="e">
        <f>AND('Değerlendirme Formu'!#REF!,"AAAAAHv9/sw=")</f>
        <v>#REF!</v>
      </c>
      <c r="GX4" t="e">
        <f>AND('Değerlendirme Formu'!#REF!,"AAAAAHv9/s0=")</f>
        <v>#REF!</v>
      </c>
      <c r="GY4" t="e">
        <f>AND('Değerlendirme Formu'!#REF!,"AAAAAHv9/s4=")</f>
        <v>#REF!</v>
      </c>
      <c r="GZ4" t="e">
        <f>AND('Değerlendirme Formu'!#REF!,"AAAAAHv9/s8=")</f>
        <v>#REF!</v>
      </c>
      <c r="HA4" t="e">
        <f>AND('Değerlendirme Formu'!#REF!,"AAAAAHv9/tA=")</f>
        <v>#REF!</v>
      </c>
      <c r="HB4" t="e">
        <f>AND('Değerlendirme Formu'!#REF!,"AAAAAHv9/tE=")</f>
        <v>#REF!</v>
      </c>
      <c r="HC4" t="e">
        <f>AND('Değerlendirme Formu'!#REF!,"AAAAAHv9/tI=")</f>
        <v>#REF!</v>
      </c>
      <c r="HD4" t="e">
        <f>AND('Değerlendirme Formu'!#REF!,"AAAAAHv9/tM=")</f>
        <v>#REF!</v>
      </c>
      <c r="HE4" t="e">
        <f>AND('Değerlendirme Formu'!#REF!,"AAAAAHv9/tQ=")</f>
        <v>#REF!</v>
      </c>
      <c r="HF4" t="e">
        <f>AND('Değerlendirme Formu'!#REF!,"AAAAAHv9/tU=")</f>
        <v>#REF!</v>
      </c>
      <c r="HG4" t="e">
        <f>AND('Değerlendirme Formu'!#REF!,"AAAAAHv9/tY=")</f>
        <v>#REF!</v>
      </c>
      <c r="HH4" t="e">
        <f>AND('Değerlendirme Formu'!#REF!,"AAAAAHv9/tc=")</f>
        <v>#REF!</v>
      </c>
      <c r="HI4" t="e">
        <f>AND('Değerlendirme Formu'!#REF!,"AAAAAHv9/tg=")</f>
        <v>#REF!</v>
      </c>
      <c r="HJ4" t="e">
        <f>IF('Değerlendirme Formu'!#REF!,"AAAAAHv9/tk=",0)</f>
        <v>#REF!</v>
      </c>
      <c r="HK4" t="e">
        <f>AND('Değerlendirme Formu'!#REF!,"AAAAAHv9/to=")</f>
        <v>#REF!</v>
      </c>
      <c r="HL4" t="e">
        <f>AND('Değerlendirme Formu'!#REF!,"AAAAAHv9/ts=")</f>
        <v>#REF!</v>
      </c>
      <c r="HM4" t="e">
        <f>AND('Değerlendirme Formu'!#REF!,"AAAAAHv9/tw=")</f>
        <v>#REF!</v>
      </c>
      <c r="HN4" t="e">
        <f>AND('Değerlendirme Formu'!#REF!,"AAAAAHv9/t0=")</f>
        <v>#REF!</v>
      </c>
      <c r="HO4" t="e">
        <f>AND('Değerlendirme Formu'!#REF!,"AAAAAHv9/t4=")</f>
        <v>#REF!</v>
      </c>
      <c r="HP4" t="e">
        <f>AND('Değerlendirme Formu'!#REF!,"AAAAAHv9/t8=")</f>
        <v>#REF!</v>
      </c>
      <c r="HQ4" t="e">
        <f>AND('Değerlendirme Formu'!#REF!,"AAAAAHv9/uA=")</f>
        <v>#REF!</v>
      </c>
      <c r="HR4" t="e">
        <f>AND('Değerlendirme Formu'!#REF!,"AAAAAHv9/uE=")</f>
        <v>#REF!</v>
      </c>
      <c r="HS4" t="e">
        <f>AND('Değerlendirme Formu'!#REF!,"AAAAAHv9/uI=")</f>
        <v>#REF!</v>
      </c>
      <c r="HT4" t="e">
        <f>AND('Değerlendirme Formu'!#REF!,"AAAAAHv9/uM=")</f>
        <v>#REF!</v>
      </c>
      <c r="HU4" t="e">
        <f>AND('Değerlendirme Formu'!#REF!,"AAAAAHv9/uQ=")</f>
        <v>#REF!</v>
      </c>
      <c r="HV4" t="e">
        <f>AND('Değerlendirme Formu'!#REF!,"AAAAAHv9/uU=")</f>
        <v>#REF!</v>
      </c>
      <c r="HW4" t="e">
        <f>AND('Değerlendirme Formu'!#REF!,"AAAAAHv9/uY=")</f>
        <v>#REF!</v>
      </c>
      <c r="HX4" t="e">
        <f>AND('Değerlendirme Formu'!#REF!,"AAAAAHv9/uc=")</f>
        <v>#REF!</v>
      </c>
      <c r="HY4" t="e">
        <f>AND('Değerlendirme Formu'!#REF!,"AAAAAHv9/ug=")</f>
        <v>#REF!</v>
      </c>
      <c r="HZ4" t="e">
        <f>AND('Değerlendirme Formu'!#REF!,"AAAAAHv9/uk=")</f>
        <v>#REF!</v>
      </c>
      <c r="IA4" t="e">
        <f>AND('Değerlendirme Formu'!#REF!,"AAAAAHv9/uo=")</f>
        <v>#REF!</v>
      </c>
      <c r="IB4">
        <f>IF('Değerlendirme Formu'!29:29,"AAAAAHv9/us=",0)</f>
        <v>0</v>
      </c>
      <c r="IC4" t="b">
        <f>AND('Değerlendirme Formu'!A29,"AAAAAHv9/uw=")</f>
        <v>1</v>
      </c>
      <c r="ID4" t="e">
        <f>AND('Değerlendirme Formu'!B29,"AAAAAHv9/u0=")</f>
        <v>#VALUE!</v>
      </c>
      <c r="IE4" t="e">
        <f>AND('Değerlendirme Formu'!#REF!,"AAAAAHv9/u4=")</f>
        <v>#REF!</v>
      </c>
      <c r="IF4" t="e">
        <f>AND('Değerlendirme Formu'!C29,"AAAAAHv9/u8=")</f>
        <v>#VALUE!</v>
      </c>
      <c r="IG4" t="b">
        <f>AND('Değerlendirme Formu'!D29,"AAAAAHv9/vA=")</f>
        <v>1</v>
      </c>
      <c r="IH4" t="b">
        <f>AND('Değerlendirme Formu'!E29,"AAAAAHv9/vE=")</f>
        <v>0</v>
      </c>
      <c r="II4" t="e">
        <f>AND('Değerlendirme Formu'!#REF!,"AAAAAHv9/vI=")</f>
        <v>#REF!</v>
      </c>
      <c r="IJ4" t="e">
        <f>AND('Değerlendirme Formu'!#REF!,"AAAAAHv9/vM=")</f>
        <v>#REF!</v>
      </c>
      <c r="IK4" t="e">
        <f>AND('Değerlendirme Formu'!F29,"AAAAAHv9/vQ=")</f>
        <v>#VALUE!</v>
      </c>
      <c r="IL4" t="e">
        <f>AND('Değerlendirme Formu'!#REF!,"AAAAAHv9/vU=")</f>
        <v>#REF!</v>
      </c>
      <c r="IM4" t="e">
        <f>AND('Değerlendirme Formu'!#REF!,"AAAAAHv9/vY=")</f>
        <v>#REF!</v>
      </c>
      <c r="IN4" t="e">
        <f>AND('Değerlendirme Formu'!#REF!,"AAAAAHv9/vc=")</f>
        <v>#REF!</v>
      </c>
      <c r="IO4" t="e">
        <f>AND('Değerlendirme Formu'!#REF!,"AAAAAHv9/vg=")</f>
        <v>#REF!</v>
      </c>
      <c r="IP4" t="e">
        <f>AND('Değerlendirme Formu'!#REF!,"AAAAAHv9/vk=")</f>
        <v>#REF!</v>
      </c>
      <c r="IQ4" t="e">
        <f>AND('Değerlendirme Formu'!G29,"AAAAAHv9/vo=")</f>
        <v>#VALUE!</v>
      </c>
      <c r="IR4" t="e">
        <f>AND('Değerlendirme Formu'!H29,"AAAAAHv9/vs=")</f>
        <v>#VALUE!</v>
      </c>
      <c r="IS4" t="e">
        <f>AND('Değerlendirme Formu'!I29,"AAAAAHv9/vw=")</f>
        <v>#VALUE!</v>
      </c>
      <c r="IT4">
        <f>IF('Değerlendirme Formu'!30:30,"AAAAAHv9/v0=",0)</f>
        <v>0</v>
      </c>
      <c r="IU4" t="b">
        <f>AND('Değerlendirme Formu'!A30,"AAAAAHv9/v4=")</f>
        <v>1</v>
      </c>
      <c r="IV4" t="e">
        <f>AND('Değerlendirme Formu'!B30,"AAAAAHv9/v8=")</f>
        <v>#VALUE!</v>
      </c>
    </row>
    <row r="5" spans="1:256" x14ac:dyDescent="0.2">
      <c r="A5" t="e">
        <f>AND('Değerlendirme Formu'!#REF!,"AAAAAG7vlAA=")</f>
        <v>#REF!</v>
      </c>
      <c r="B5" t="e">
        <f>AND('Değerlendirme Formu'!C30,"AAAAAG7vlAE=")</f>
        <v>#VALUE!</v>
      </c>
      <c r="C5" t="b">
        <f>AND('Değerlendirme Formu'!D30,"AAAAAG7vlAI=")</f>
        <v>1</v>
      </c>
      <c r="D5" t="b">
        <f>AND('Değerlendirme Formu'!E30,"AAAAAG7vlAM=")</f>
        <v>0</v>
      </c>
      <c r="E5" t="e">
        <f>AND('Değerlendirme Formu'!#REF!,"AAAAAG7vlAQ=")</f>
        <v>#REF!</v>
      </c>
      <c r="F5" t="e">
        <f>AND('Değerlendirme Formu'!#REF!,"AAAAAG7vlAU=")</f>
        <v>#REF!</v>
      </c>
      <c r="G5" t="e">
        <f>AND('Değerlendirme Formu'!F30,"AAAAAG7vlAY=")</f>
        <v>#VALUE!</v>
      </c>
      <c r="H5" t="e">
        <f>AND('Değerlendirme Formu'!#REF!,"AAAAAG7vlAc=")</f>
        <v>#REF!</v>
      </c>
      <c r="I5" t="e">
        <f>AND('Değerlendirme Formu'!#REF!,"AAAAAG7vlAg=")</f>
        <v>#REF!</v>
      </c>
      <c r="J5" t="e">
        <f>AND('Değerlendirme Formu'!#REF!,"AAAAAG7vlAk=")</f>
        <v>#REF!</v>
      </c>
      <c r="K5" t="e">
        <f>AND('Değerlendirme Formu'!#REF!,"AAAAAG7vlAo=")</f>
        <v>#REF!</v>
      </c>
      <c r="L5" t="e">
        <f>AND('Değerlendirme Formu'!#REF!,"AAAAAG7vlAs=")</f>
        <v>#REF!</v>
      </c>
      <c r="M5" t="e">
        <f>AND('Değerlendirme Formu'!G30,"AAAAAG7vlAw=")</f>
        <v>#VALUE!</v>
      </c>
      <c r="N5" t="e">
        <f>AND('Değerlendirme Formu'!H30,"AAAAAG7vlA0=")</f>
        <v>#VALUE!</v>
      </c>
      <c r="O5" t="e">
        <f>AND('Değerlendirme Formu'!I30,"AAAAAG7vlA4=")</f>
        <v>#VALUE!</v>
      </c>
      <c r="P5" t="e">
        <f>IF('Değerlendirme Formu'!#REF!,"AAAAAG7vlA8=",0)</f>
        <v>#REF!</v>
      </c>
      <c r="Q5" t="e">
        <f>AND('Değerlendirme Formu'!#REF!,"AAAAAG7vlBA=")</f>
        <v>#REF!</v>
      </c>
      <c r="R5" t="e">
        <f>AND('Değerlendirme Formu'!#REF!,"AAAAAG7vlBE=")</f>
        <v>#REF!</v>
      </c>
      <c r="S5" t="e">
        <f>AND('Değerlendirme Formu'!#REF!,"AAAAAG7vlBI=")</f>
        <v>#REF!</v>
      </c>
      <c r="T5" t="e">
        <f>AND('Değerlendirme Formu'!#REF!,"AAAAAG7vlBM=")</f>
        <v>#REF!</v>
      </c>
      <c r="U5" t="e">
        <f>AND('Değerlendirme Formu'!#REF!,"AAAAAG7vlBQ=")</f>
        <v>#REF!</v>
      </c>
      <c r="V5" t="e">
        <f>AND('Değerlendirme Formu'!#REF!,"AAAAAG7vlBU=")</f>
        <v>#REF!</v>
      </c>
      <c r="W5" t="e">
        <f>AND('Değerlendirme Formu'!#REF!,"AAAAAG7vlBY=")</f>
        <v>#REF!</v>
      </c>
      <c r="X5" t="e">
        <f>AND('Değerlendirme Formu'!#REF!,"AAAAAG7vlBc=")</f>
        <v>#REF!</v>
      </c>
      <c r="Y5" t="e">
        <f>AND('Değerlendirme Formu'!#REF!,"AAAAAG7vlBg=")</f>
        <v>#REF!</v>
      </c>
      <c r="Z5" t="e">
        <f>AND('Değerlendirme Formu'!#REF!,"AAAAAG7vlBk=")</f>
        <v>#REF!</v>
      </c>
      <c r="AA5" t="e">
        <f>AND('Değerlendirme Formu'!#REF!,"AAAAAG7vlBo=")</f>
        <v>#REF!</v>
      </c>
      <c r="AB5" t="e">
        <f>AND('Değerlendirme Formu'!#REF!,"AAAAAG7vlBs=")</f>
        <v>#REF!</v>
      </c>
      <c r="AC5" t="e">
        <f>AND('Değerlendirme Formu'!#REF!,"AAAAAG7vlBw=")</f>
        <v>#REF!</v>
      </c>
      <c r="AD5" t="e">
        <f>AND('Değerlendirme Formu'!#REF!,"AAAAAG7vlB0=")</f>
        <v>#REF!</v>
      </c>
      <c r="AE5" t="e">
        <f>AND('Değerlendirme Formu'!#REF!,"AAAAAG7vlB4=")</f>
        <v>#REF!</v>
      </c>
      <c r="AF5" t="e">
        <f>AND('Değerlendirme Formu'!#REF!,"AAAAAG7vlB8=")</f>
        <v>#REF!</v>
      </c>
      <c r="AG5" t="e">
        <f>AND('Değerlendirme Formu'!#REF!,"AAAAAG7vlCA=")</f>
        <v>#REF!</v>
      </c>
      <c r="AH5" t="e">
        <f>IF('Değerlendirme Formu'!#REF!,"AAAAAG7vlCE=",0)</f>
        <v>#REF!</v>
      </c>
      <c r="AI5" t="e">
        <f>AND('Değerlendirme Formu'!#REF!,"AAAAAG7vlCI=")</f>
        <v>#REF!</v>
      </c>
      <c r="AJ5" t="e">
        <f>AND('Değerlendirme Formu'!#REF!,"AAAAAG7vlCM=")</f>
        <v>#REF!</v>
      </c>
      <c r="AK5" t="e">
        <f>AND('Değerlendirme Formu'!#REF!,"AAAAAG7vlCQ=")</f>
        <v>#REF!</v>
      </c>
      <c r="AL5" t="e">
        <f>AND('Değerlendirme Formu'!#REF!,"AAAAAG7vlCU=")</f>
        <v>#REF!</v>
      </c>
      <c r="AM5" t="e">
        <f>AND('Değerlendirme Formu'!#REF!,"AAAAAG7vlCY=")</f>
        <v>#REF!</v>
      </c>
      <c r="AN5" t="e">
        <f>AND('Değerlendirme Formu'!#REF!,"AAAAAG7vlCc=")</f>
        <v>#REF!</v>
      </c>
      <c r="AO5" t="e">
        <f>AND('Değerlendirme Formu'!#REF!,"AAAAAG7vlCg=")</f>
        <v>#REF!</v>
      </c>
      <c r="AP5" t="e">
        <f>AND('Değerlendirme Formu'!#REF!,"AAAAAG7vlCk=")</f>
        <v>#REF!</v>
      </c>
      <c r="AQ5" t="e">
        <f>AND('Değerlendirme Formu'!#REF!,"AAAAAG7vlCo=")</f>
        <v>#REF!</v>
      </c>
      <c r="AR5" t="e">
        <f>AND('Değerlendirme Formu'!#REF!,"AAAAAG7vlCs=")</f>
        <v>#REF!</v>
      </c>
      <c r="AS5" t="e">
        <f>AND('Değerlendirme Formu'!#REF!,"AAAAAG7vlCw=")</f>
        <v>#REF!</v>
      </c>
      <c r="AT5" t="e">
        <f>AND('Değerlendirme Formu'!#REF!,"AAAAAG7vlC0=")</f>
        <v>#REF!</v>
      </c>
      <c r="AU5" t="e">
        <f>AND('Değerlendirme Formu'!#REF!,"AAAAAG7vlC4=")</f>
        <v>#REF!</v>
      </c>
      <c r="AV5" t="e">
        <f>AND('Değerlendirme Formu'!#REF!,"AAAAAG7vlC8=")</f>
        <v>#REF!</v>
      </c>
      <c r="AW5" t="e">
        <f>AND('Değerlendirme Formu'!#REF!,"AAAAAG7vlDA=")</f>
        <v>#REF!</v>
      </c>
      <c r="AX5" t="e">
        <f>AND('Değerlendirme Formu'!#REF!,"AAAAAG7vlDE=")</f>
        <v>#REF!</v>
      </c>
      <c r="AY5" t="e">
        <f>AND('Değerlendirme Formu'!#REF!,"AAAAAG7vlDI=")</f>
        <v>#REF!</v>
      </c>
      <c r="AZ5" t="e">
        <f>IF('Değerlendirme Formu'!#REF!,"AAAAAG7vlDM=",0)</f>
        <v>#REF!</v>
      </c>
      <c r="BA5" t="e">
        <f>AND('Değerlendirme Formu'!#REF!,"AAAAAG7vlDQ=")</f>
        <v>#REF!</v>
      </c>
      <c r="BB5" t="e">
        <f>AND('Değerlendirme Formu'!#REF!,"AAAAAG7vlDU=")</f>
        <v>#REF!</v>
      </c>
      <c r="BC5" t="e">
        <f>AND('Değerlendirme Formu'!#REF!,"AAAAAG7vlDY=")</f>
        <v>#REF!</v>
      </c>
      <c r="BD5" t="e">
        <f>AND('Değerlendirme Formu'!#REF!,"AAAAAG7vlDc=")</f>
        <v>#REF!</v>
      </c>
      <c r="BE5" t="e">
        <f>AND('Değerlendirme Formu'!#REF!,"AAAAAG7vlDg=")</f>
        <v>#REF!</v>
      </c>
      <c r="BF5" t="e">
        <f>AND('Değerlendirme Formu'!#REF!,"AAAAAG7vlDk=")</f>
        <v>#REF!</v>
      </c>
      <c r="BG5" t="e">
        <f>AND('Değerlendirme Formu'!#REF!,"AAAAAG7vlDo=")</f>
        <v>#REF!</v>
      </c>
      <c r="BH5" t="e">
        <f>AND('Değerlendirme Formu'!#REF!,"AAAAAG7vlDs=")</f>
        <v>#REF!</v>
      </c>
      <c r="BI5" t="e">
        <f>AND('Değerlendirme Formu'!#REF!,"AAAAAG7vlDw=")</f>
        <v>#REF!</v>
      </c>
      <c r="BJ5" t="e">
        <f>AND('Değerlendirme Formu'!#REF!,"AAAAAG7vlD0=")</f>
        <v>#REF!</v>
      </c>
      <c r="BK5" t="e">
        <f>AND('Değerlendirme Formu'!#REF!,"AAAAAG7vlD4=")</f>
        <v>#REF!</v>
      </c>
      <c r="BL5" t="e">
        <f>AND('Değerlendirme Formu'!#REF!,"AAAAAG7vlD8=")</f>
        <v>#REF!</v>
      </c>
      <c r="BM5" t="e">
        <f>AND('Değerlendirme Formu'!#REF!,"AAAAAG7vlEA=")</f>
        <v>#REF!</v>
      </c>
      <c r="BN5" t="e">
        <f>AND('Değerlendirme Formu'!#REF!,"AAAAAG7vlEE=")</f>
        <v>#REF!</v>
      </c>
      <c r="BO5" t="e">
        <f>AND('Değerlendirme Formu'!#REF!,"AAAAAG7vlEI=")</f>
        <v>#REF!</v>
      </c>
      <c r="BP5" t="e">
        <f>AND('Değerlendirme Formu'!#REF!,"AAAAAG7vlEM=")</f>
        <v>#REF!</v>
      </c>
      <c r="BQ5" t="e">
        <f>AND('Değerlendirme Formu'!#REF!,"AAAAAG7vlEQ=")</f>
        <v>#REF!</v>
      </c>
      <c r="BR5" t="e">
        <f>IF('Değerlendirme Formu'!#REF!,"AAAAAG7vlEU=",0)</f>
        <v>#REF!</v>
      </c>
      <c r="BS5" t="e">
        <f>AND('Değerlendirme Formu'!#REF!,"AAAAAG7vlEY=")</f>
        <v>#REF!</v>
      </c>
      <c r="BT5" t="e">
        <f>AND('Değerlendirme Formu'!#REF!,"AAAAAG7vlEc=")</f>
        <v>#REF!</v>
      </c>
      <c r="BU5" t="e">
        <f>AND('Değerlendirme Formu'!#REF!,"AAAAAG7vlEg=")</f>
        <v>#REF!</v>
      </c>
      <c r="BV5" t="e">
        <f>AND('Değerlendirme Formu'!#REF!,"AAAAAG7vlEk=")</f>
        <v>#REF!</v>
      </c>
      <c r="BW5" t="e">
        <f>AND('Değerlendirme Formu'!#REF!,"AAAAAG7vlEo=")</f>
        <v>#REF!</v>
      </c>
      <c r="BX5" t="e">
        <f>AND('Değerlendirme Formu'!#REF!,"AAAAAG7vlEs=")</f>
        <v>#REF!</v>
      </c>
      <c r="BY5" t="e">
        <f>AND('Değerlendirme Formu'!#REF!,"AAAAAG7vlEw=")</f>
        <v>#REF!</v>
      </c>
      <c r="BZ5" t="e">
        <f>AND('Değerlendirme Formu'!#REF!,"AAAAAG7vlE0=")</f>
        <v>#REF!</v>
      </c>
      <c r="CA5" t="e">
        <f>AND('Değerlendirme Formu'!#REF!,"AAAAAG7vlE4=")</f>
        <v>#REF!</v>
      </c>
      <c r="CB5" t="e">
        <f>AND('Değerlendirme Formu'!#REF!,"AAAAAG7vlE8=")</f>
        <v>#REF!</v>
      </c>
      <c r="CC5" t="e">
        <f>AND('Değerlendirme Formu'!#REF!,"AAAAAG7vlFA=")</f>
        <v>#REF!</v>
      </c>
      <c r="CD5" t="e">
        <f>AND('Değerlendirme Formu'!#REF!,"AAAAAG7vlFE=")</f>
        <v>#REF!</v>
      </c>
      <c r="CE5" t="e">
        <f>AND('Değerlendirme Formu'!#REF!,"AAAAAG7vlFI=")</f>
        <v>#REF!</v>
      </c>
      <c r="CF5" t="e">
        <f>AND('Değerlendirme Formu'!#REF!,"AAAAAG7vlFM=")</f>
        <v>#REF!</v>
      </c>
      <c r="CG5" t="e">
        <f>AND('Değerlendirme Formu'!#REF!,"AAAAAG7vlFQ=")</f>
        <v>#REF!</v>
      </c>
      <c r="CH5" t="e">
        <f>AND('Değerlendirme Formu'!#REF!,"AAAAAG7vlFU=")</f>
        <v>#REF!</v>
      </c>
      <c r="CI5" t="e">
        <f>AND('Değerlendirme Formu'!#REF!,"AAAAAG7vlFY=")</f>
        <v>#REF!</v>
      </c>
      <c r="CJ5" t="e">
        <f>IF('Değerlendirme Formu'!#REF!,"AAAAAG7vlFc=",0)</f>
        <v>#REF!</v>
      </c>
      <c r="CK5" t="e">
        <f>AND('Değerlendirme Formu'!#REF!,"AAAAAG7vlFg=")</f>
        <v>#REF!</v>
      </c>
      <c r="CL5" t="e">
        <f>AND('Değerlendirme Formu'!#REF!,"AAAAAG7vlFk=")</f>
        <v>#REF!</v>
      </c>
      <c r="CM5" t="e">
        <f>AND('Değerlendirme Formu'!#REF!,"AAAAAG7vlFo=")</f>
        <v>#REF!</v>
      </c>
      <c r="CN5" t="e">
        <f>AND('Değerlendirme Formu'!#REF!,"AAAAAG7vlFs=")</f>
        <v>#REF!</v>
      </c>
      <c r="CO5" t="e">
        <f>AND('Değerlendirme Formu'!#REF!,"AAAAAG7vlFw=")</f>
        <v>#REF!</v>
      </c>
      <c r="CP5" t="e">
        <f>AND('Değerlendirme Formu'!#REF!,"AAAAAG7vlF0=")</f>
        <v>#REF!</v>
      </c>
      <c r="CQ5" t="e">
        <f>AND('Değerlendirme Formu'!#REF!,"AAAAAG7vlF4=")</f>
        <v>#REF!</v>
      </c>
      <c r="CR5" t="e">
        <f>AND('Değerlendirme Formu'!#REF!,"AAAAAG7vlF8=")</f>
        <v>#REF!</v>
      </c>
      <c r="CS5" t="e">
        <f>AND('Değerlendirme Formu'!#REF!,"AAAAAG7vlGA=")</f>
        <v>#REF!</v>
      </c>
      <c r="CT5" t="e">
        <f>AND('Değerlendirme Formu'!#REF!,"AAAAAG7vlGE=")</f>
        <v>#REF!</v>
      </c>
      <c r="CU5" t="e">
        <f>AND('Değerlendirme Formu'!#REF!,"AAAAAG7vlGI=")</f>
        <v>#REF!</v>
      </c>
      <c r="CV5" t="e">
        <f>AND('Değerlendirme Formu'!#REF!,"AAAAAG7vlGM=")</f>
        <v>#REF!</v>
      </c>
      <c r="CW5" t="e">
        <f>AND('Değerlendirme Formu'!#REF!,"AAAAAG7vlGQ=")</f>
        <v>#REF!</v>
      </c>
      <c r="CX5" t="e">
        <f>AND('Değerlendirme Formu'!#REF!,"AAAAAG7vlGU=")</f>
        <v>#REF!</v>
      </c>
      <c r="CY5" t="e">
        <f>AND('Değerlendirme Formu'!#REF!,"AAAAAG7vlGY=")</f>
        <v>#REF!</v>
      </c>
      <c r="CZ5" t="e">
        <f>AND('Değerlendirme Formu'!#REF!,"AAAAAG7vlGc=")</f>
        <v>#REF!</v>
      </c>
      <c r="DA5" t="e">
        <f>AND('Değerlendirme Formu'!#REF!,"AAAAAG7vlGg=")</f>
        <v>#REF!</v>
      </c>
      <c r="DB5" t="e">
        <f>IF('Değerlendirme Formu'!#REF!,"AAAAAG7vlGk=",0)</f>
        <v>#REF!</v>
      </c>
      <c r="DC5" t="e">
        <f>AND('Değerlendirme Formu'!#REF!,"AAAAAG7vlGo=")</f>
        <v>#REF!</v>
      </c>
      <c r="DD5" t="e">
        <f>AND('Değerlendirme Formu'!#REF!,"AAAAAG7vlGs=")</f>
        <v>#REF!</v>
      </c>
      <c r="DE5" t="e">
        <f>AND('Değerlendirme Formu'!#REF!,"AAAAAG7vlGw=")</f>
        <v>#REF!</v>
      </c>
      <c r="DF5" t="e">
        <f>AND('Değerlendirme Formu'!#REF!,"AAAAAG7vlG0=")</f>
        <v>#REF!</v>
      </c>
      <c r="DG5" t="e">
        <f>AND('Değerlendirme Formu'!#REF!,"AAAAAG7vlG4=")</f>
        <v>#REF!</v>
      </c>
      <c r="DH5" t="e">
        <f>AND('Değerlendirme Formu'!#REF!,"AAAAAG7vlG8=")</f>
        <v>#REF!</v>
      </c>
      <c r="DI5" t="e">
        <f>AND('Değerlendirme Formu'!#REF!,"AAAAAG7vlHA=")</f>
        <v>#REF!</v>
      </c>
      <c r="DJ5" t="e">
        <f>AND('Değerlendirme Formu'!#REF!,"AAAAAG7vlHE=")</f>
        <v>#REF!</v>
      </c>
      <c r="DK5" t="e">
        <f>AND('Değerlendirme Formu'!#REF!,"AAAAAG7vlHI=")</f>
        <v>#REF!</v>
      </c>
      <c r="DL5" t="e">
        <f>AND('Değerlendirme Formu'!#REF!,"AAAAAG7vlHM=")</f>
        <v>#REF!</v>
      </c>
      <c r="DM5" t="e">
        <f>AND('Değerlendirme Formu'!#REF!,"AAAAAG7vlHQ=")</f>
        <v>#REF!</v>
      </c>
      <c r="DN5" t="e">
        <f>AND('Değerlendirme Formu'!#REF!,"AAAAAG7vlHU=")</f>
        <v>#REF!</v>
      </c>
      <c r="DO5" t="e">
        <f>AND('Değerlendirme Formu'!#REF!,"AAAAAG7vlHY=")</f>
        <v>#REF!</v>
      </c>
      <c r="DP5" t="e">
        <f>AND('Değerlendirme Formu'!#REF!,"AAAAAG7vlHc=")</f>
        <v>#REF!</v>
      </c>
      <c r="DQ5" t="e">
        <f>AND('Değerlendirme Formu'!#REF!,"AAAAAG7vlHg=")</f>
        <v>#REF!</v>
      </c>
      <c r="DR5" t="e">
        <f>AND('Değerlendirme Formu'!#REF!,"AAAAAG7vlHk=")</f>
        <v>#REF!</v>
      </c>
      <c r="DS5" t="e">
        <f>AND('Değerlendirme Formu'!#REF!,"AAAAAG7vlHo=")</f>
        <v>#REF!</v>
      </c>
      <c r="DT5" t="e">
        <f>IF('Değerlendirme Formu'!#REF!,"AAAAAG7vlHs=",0)</f>
        <v>#REF!</v>
      </c>
      <c r="DU5" t="e">
        <f>AND('Değerlendirme Formu'!#REF!,"AAAAAG7vlHw=")</f>
        <v>#REF!</v>
      </c>
      <c r="DV5" t="e">
        <f>AND('Değerlendirme Formu'!#REF!,"AAAAAG7vlH0=")</f>
        <v>#REF!</v>
      </c>
      <c r="DW5" t="e">
        <f>AND('Değerlendirme Formu'!#REF!,"AAAAAG7vlH4=")</f>
        <v>#REF!</v>
      </c>
      <c r="DX5" t="e">
        <f>AND('Değerlendirme Formu'!#REF!,"AAAAAG7vlH8=")</f>
        <v>#REF!</v>
      </c>
      <c r="DY5" t="e">
        <f>AND('Değerlendirme Formu'!#REF!,"AAAAAG7vlIA=")</f>
        <v>#REF!</v>
      </c>
      <c r="DZ5" t="e">
        <f>AND('Değerlendirme Formu'!#REF!,"AAAAAG7vlIE=")</f>
        <v>#REF!</v>
      </c>
      <c r="EA5" t="e">
        <f>AND('Değerlendirme Formu'!#REF!,"AAAAAG7vlII=")</f>
        <v>#REF!</v>
      </c>
      <c r="EB5" t="e">
        <f>AND('Değerlendirme Formu'!#REF!,"AAAAAG7vlIM=")</f>
        <v>#REF!</v>
      </c>
      <c r="EC5" t="e">
        <f>AND('Değerlendirme Formu'!#REF!,"AAAAAG7vlIQ=")</f>
        <v>#REF!</v>
      </c>
      <c r="ED5" t="e">
        <f>AND('Değerlendirme Formu'!#REF!,"AAAAAG7vlIU=")</f>
        <v>#REF!</v>
      </c>
      <c r="EE5" t="e">
        <f>AND('Değerlendirme Formu'!#REF!,"AAAAAG7vlIY=")</f>
        <v>#REF!</v>
      </c>
      <c r="EF5" t="e">
        <f>AND('Değerlendirme Formu'!#REF!,"AAAAAG7vlIc=")</f>
        <v>#REF!</v>
      </c>
      <c r="EG5" t="e">
        <f>AND('Değerlendirme Formu'!#REF!,"AAAAAG7vlIg=")</f>
        <v>#REF!</v>
      </c>
      <c r="EH5" t="e">
        <f>AND('Değerlendirme Formu'!#REF!,"AAAAAG7vlIk=")</f>
        <v>#REF!</v>
      </c>
      <c r="EI5" t="e">
        <f>AND('Değerlendirme Formu'!#REF!,"AAAAAG7vlIo=")</f>
        <v>#REF!</v>
      </c>
      <c r="EJ5" t="e">
        <f>AND('Değerlendirme Formu'!#REF!,"AAAAAG7vlIs=")</f>
        <v>#REF!</v>
      </c>
      <c r="EK5" t="e">
        <f>AND('Değerlendirme Formu'!#REF!,"AAAAAG7vlIw=")</f>
        <v>#REF!</v>
      </c>
      <c r="EL5" t="e">
        <f>IF('Değerlendirme Formu'!#REF!,"AAAAAG7vlI0=",0)</f>
        <v>#REF!</v>
      </c>
      <c r="EM5" t="e">
        <f>AND('Değerlendirme Formu'!#REF!,"AAAAAG7vlI4=")</f>
        <v>#REF!</v>
      </c>
      <c r="EN5" t="e">
        <f>AND('Değerlendirme Formu'!#REF!,"AAAAAG7vlI8=")</f>
        <v>#REF!</v>
      </c>
      <c r="EO5" t="e">
        <f>AND('Değerlendirme Formu'!#REF!,"AAAAAG7vlJA=")</f>
        <v>#REF!</v>
      </c>
      <c r="EP5" t="e">
        <f>AND('Değerlendirme Formu'!#REF!,"AAAAAG7vlJE=")</f>
        <v>#REF!</v>
      </c>
      <c r="EQ5" t="e">
        <f>AND('Değerlendirme Formu'!#REF!,"AAAAAG7vlJI=")</f>
        <v>#REF!</v>
      </c>
      <c r="ER5" t="e">
        <f>AND('Değerlendirme Formu'!#REF!,"AAAAAG7vlJM=")</f>
        <v>#REF!</v>
      </c>
      <c r="ES5" t="e">
        <f>AND('Değerlendirme Formu'!#REF!,"AAAAAG7vlJQ=")</f>
        <v>#REF!</v>
      </c>
      <c r="ET5" t="e">
        <f>AND('Değerlendirme Formu'!#REF!,"AAAAAG7vlJU=")</f>
        <v>#REF!</v>
      </c>
      <c r="EU5" t="e">
        <f>AND('Değerlendirme Formu'!#REF!,"AAAAAG7vlJY=")</f>
        <v>#REF!</v>
      </c>
      <c r="EV5" t="e">
        <f>AND('Değerlendirme Formu'!#REF!,"AAAAAG7vlJc=")</f>
        <v>#REF!</v>
      </c>
      <c r="EW5" t="e">
        <f>AND('Değerlendirme Formu'!#REF!,"AAAAAG7vlJg=")</f>
        <v>#REF!</v>
      </c>
      <c r="EX5" t="e">
        <f>AND('Değerlendirme Formu'!#REF!,"AAAAAG7vlJk=")</f>
        <v>#REF!</v>
      </c>
      <c r="EY5" t="e">
        <f>AND('Değerlendirme Formu'!#REF!,"AAAAAG7vlJo=")</f>
        <v>#REF!</v>
      </c>
      <c r="EZ5" t="e">
        <f>AND('Değerlendirme Formu'!#REF!,"AAAAAG7vlJs=")</f>
        <v>#REF!</v>
      </c>
      <c r="FA5" t="e">
        <f>AND('Değerlendirme Formu'!#REF!,"AAAAAG7vlJw=")</f>
        <v>#REF!</v>
      </c>
      <c r="FB5" t="e">
        <f>AND('Değerlendirme Formu'!#REF!,"AAAAAG7vlJ0=")</f>
        <v>#REF!</v>
      </c>
      <c r="FC5" t="e">
        <f>AND('Değerlendirme Formu'!#REF!,"AAAAAG7vlJ4=")</f>
        <v>#REF!</v>
      </c>
      <c r="FD5">
        <f>IF('Değerlendirme Formu'!31:31,"AAAAAG7vlJ8=",0)</f>
        <v>0</v>
      </c>
      <c r="FE5" t="b">
        <f>AND('Değerlendirme Formu'!A31,"AAAAAG7vlKA=")</f>
        <v>1</v>
      </c>
      <c r="FF5" t="e">
        <f>AND('Değerlendirme Formu'!B31,"AAAAAG7vlKE=")</f>
        <v>#VALUE!</v>
      </c>
      <c r="FG5" t="e">
        <f>AND('Değerlendirme Formu'!#REF!,"AAAAAG7vlKI=")</f>
        <v>#REF!</v>
      </c>
      <c r="FH5" t="e">
        <f>AND('Değerlendirme Formu'!C31,"AAAAAG7vlKM=")</f>
        <v>#VALUE!</v>
      </c>
      <c r="FI5" t="b">
        <f>AND('Değerlendirme Formu'!D31,"AAAAAG7vlKQ=")</f>
        <v>1</v>
      </c>
      <c r="FJ5" t="b">
        <f>AND('Değerlendirme Formu'!E31,"AAAAAG7vlKU=")</f>
        <v>0</v>
      </c>
      <c r="FK5" t="e">
        <f>AND('Değerlendirme Formu'!#REF!,"AAAAAG7vlKY=")</f>
        <v>#REF!</v>
      </c>
      <c r="FL5" t="e">
        <f>AND('Değerlendirme Formu'!#REF!,"AAAAAG7vlKc=")</f>
        <v>#REF!</v>
      </c>
      <c r="FM5" t="e">
        <f>AND('Değerlendirme Formu'!F31,"AAAAAG7vlKg=")</f>
        <v>#VALUE!</v>
      </c>
      <c r="FN5" t="e">
        <f>AND('Değerlendirme Formu'!#REF!,"AAAAAG7vlKk=")</f>
        <v>#REF!</v>
      </c>
      <c r="FO5" t="e">
        <f>AND('Değerlendirme Formu'!#REF!,"AAAAAG7vlKo=")</f>
        <v>#REF!</v>
      </c>
      <c r="FP5" t="e">
        <f>AND('Değerlendirme Formu'!#REF!,"AAAAAG7vlKs=")</f>
        <v>#REF!</v>
      </c>
      <c r="FQ5" t="e">
        <f>AND('Değerlendirme Formu'!#REF!,"AAAAAG7vlKw=")</f>
        <v>#REF!</v>
      </c>
      <c r="FR5" t="e">
        <f>AND('Değerlendirme Formu'!#REF!,"AAAAAG7vlK0=")</f>
        <v>#REF!</v>
      </c>
      <c r="FS5" t="e">
        <f>AND('Değerlendirme Formu'!G31,"AAAAAG7vlK4=")</f>
        <v>#VALUE!</v>
      </c>
      <c r="FT5" t="e">
        <f>AND('Değerlendirme Formu'!H31,"AAAAAG7vlK8=")</f>
        <v>#VALUE!</v>
      </c>
      <c r="FU5" t="e">
        <f>AND('Değerlendirme Formu'!I31,"AAAAAG7vlLA=")</f>
        <v>#VALUE!</v>
      </c>
      <c r="FV5">
        <f>IF('Değerlendirme Formu'!32:32,"AAAAAG7vlLE=",0)</f>
        <v>0</v>
      </c>
      <c r="FW5" t="b">
        <f>AND('Değerlendirme Formu'!A32,"AAAAAG7vlLI=")</f>
        <v>1</v>
      </c>
      <c r="FX5" t="e">
        <f>AND('Değerlendirme Formu'!B32,"AAAAAG7vlLM=")</f>
        <v>#VALUE!</v>
      </c>
      <c r="FY5" t="e">
        <f>AND('Değerlendirme Formu'!#REF!,"AAAAAG7vlLQ=")</f>
        <v>#REF!</v>
      </c>
      <c r="FZ5" t="e">
        <f>AND('Değerlendirme Formu'!C32,"AAAAAG7vlLU=")</f>
        <v>#VALUE!</v>
      </c>
      <c r="GA5" t="b">
        <f>AND('Değerlendirme Formu'!D32,"AAAAAG7vlLY=")</f>
        <v>1</v>
      </c>
      <c r="GB5" t="b">
        <f>AND('Değerlendirme Formu'!E32,"AAAAAG7vlLc=")</f>
        <v>0</v>
      </c>
      <c r="GC5" t="e">
        <f>AND('Değerlendirme Formu'!#REF!,"AAAAAG7vlLg=")</f>
        <v>#REF!</v>
      </c>
      <c r="GD5" t="e">
        <f>AND('Değerlendirme Formu'!#REF!,"AAAAAG7vlLk=")</f>
        <v>#REF!</v>
      </c>
      <c r="GE5" t="e">
        <f>AND('Değerlendirme Formu'!F32,"AAAAAG7vlLo=")</f>
        <v>#VALUE!</v>
      </c>
      <c r="GF5" t="e">
        <f>AND('Değerlendirme Formu'!#REF!,"AAAAAG7vlLs=")</f>
        <v>#REF!</v>
      </c>
      <c r="GG5" t="e">
        <f>AND('Değerlendirme Formu'!#REF!,"AAAAAG7vlLw=")</f>
        <v>#REF!</v>
      </c>
      <c r="GH5" t="e">
        <f>AND('Değerlendirme Formu'!#REF!,"AAAAAG7vlL0=")</f>
        <v>#REF!</v>
      </c>
      <c r="GI5" t="e">
        <f>AND('Değerlendirme Formu'!#REF!,"AAAAAG7vlL4=")</f>
        <v>#REF!</v>
      </c>
      <c r="GJ5" t="e">
        <f>AND('Değerlendirme Formu'!#REF!,"AAAAAG7vlL8=")</f>
        <v>#REF!</v>
      </c>
      <c r="GK5" t="e">
        <f>AND('Değerlendirme Formu'!G32,"AAAAAG7vlMA=")</f>
        <v>#VALUE!</v>
      </c>
      <c r="GL5" t="e">
        <f>AND('Değerlendirme Formu'!H32,"AAAAAG7vlME=")</f>
        <v>#VALUE!</v>
      </c>
      <c r="GM5" t="e">
        <f>AND('Değerlendirme Formu'!I32,"AAAAAG7vlMI=")</f>
        <v>#VALUE!</v>
      </c>
      <c r="GN5" t="e">
        <f>IF('Değerlendirme Formu'!#REF!,"AAAAAG7vlMM=",0)</f>
        <v>#REF!</v>
      </c>
      <c r="GO5" t="e">
        <f>AND('Değerlendirme Formu'!#REF!,"AAAAAG7vlMQ=")</f>
        <v>#REF!</v>
      </c>
      <c r="GP5" t="e">
        <f>AND('Değerlendirme Formu'!#REF!,"AAAAAG7vlMU=")</f>
        <v>#REF!</v>
      </c>
      <c r="GQ5" t="e">
        <f>AND('Değerlendirme Formu'!#REF!,"AAAAAG7vlMY=")</f>
        <v>#REF!</v>
      </c>
      <c r="GR5" t="e">
        <f>AND('Değerlendirme Formu'!#REF!,"AAAAAG7vlMc=")</f>
        <v>#REF!</v>
      </c>
      <c r="GS5" t="e">
        <f>AND('Değerlendirme Formu'!#REF!,"AAAAAG7vlMg=")</f>
        <v>#REF!</v>
      </c>
      <c r="GT5" t="e">
        <f>AND('Değerlendirme Formu'!#REF!,"AAAAAG7vlMk=")</f>
        <v>#REF!</v>
      </c>
      <c r="GU5" t="e">
        <f>AND('Değerlendirme Formu'!#REF!,"AAAAAG7vlMo=")</f>
        <v>#REF!</v>
      </c>
      <c r="GV5" t="e">
        <f>AND('Değerlendirme Formu'!#REF!,"AAAAAG7vlMs=")</f>
        <v>#REF!</v>
      </c>
      <c r="GW5" t="e">
        <f>AND('Değerlendirme Formu'!#REF!,"AAAAAG7vlMw=")</f>
        <v>#REF!</v>
      </c>
      <c r="GX5" t="e">
        <f>AND('Değerlendirme Formu'!#REF!,"AAAAAG7vlM0=")</f>
        <v>#REF!</v>
      </c>
      <c r="GY5" t="e">
        <f>AND('Değerlendirme Formu'!#REF!,"AAAAAG7vlM4=")</f>
        <v>#REF!</v>
      </c>
      <c r="GZ5" t="e">
        <f>AND('Değerlendirme Formu'!#REF!,"AAAAAG7vlM8=")</f>
        <v>#REF!</v>
      </c>
      <c r="HA5" t="e">
        <f>AND('Değerlendirme Formu'!#REF!,"AAAAAG7vlNA=")</f>
        <v>#REF!</v>
      </c>
      <c r="HB5" t="e">
        <f>AND('Değerlendirme Formu'!#REF!,"AAAAAG7vlNE=")</f>
        <v>#REF!</v>
      </c>
      <c r="HC5" t="e">
        <f>AND('Değerlendirme Formu'!#REF!,"AAAAAG7vlNI=")</f>
        <v>#REF!</v>
      </c>
      <c r="HD5" t="e">
        <f>AND('Değerlendirme Formu'!#REF!,"AAAAAG7vlNM=")</f>
        <v>#REF!</v>
      </c>
      <c r="HE5" t="e">
        <f>AND('Değerlendirme Formu'!#REF!,"AAAAAG7vlNQ=")</f>
        <v>#REF!</v>
      </c>
      <c r="HF5" t="e">
        <f>IF('Değerlendirme Formu'!#REF!,"AAAAAG7vlNU=",0)</f>
        <v>#REF!</v>
      </c>
      <c r="HG5" t="e">
        <f>AND('Değerlendirme Formu'!#REF!,"AAAAAG7vlNY=")</f>
        <v>#REF!</v>
      </c>
      <c r="HH5" t="e">
        <f>AND('Değerlendirme Formu'!#REF!,"AAAAAG7vlNc=")</f>
        <v>#REF!</v>
      </c>
      <c r="HI5" t="e">
        <f>AND('Değerlendirme Formu'!#REF!,"AAAAAG7vlNg=")</f>
        <v>#REF!</v>
      </c>
      <c r="HJ5" t="e">
        <f>AND('Değerlendirme Formu'!#REF!,"AAAAAG7vlNk=")</f>
        <v>#REF!</v>
      </c>
      <c r="HK5" t="e">
        <f>AND('Değerlendirme Formu'!#REF!,"AAAAAG7vlNo=")</f>
        <v>#REF!</v>
      </c>
      <c r="HL5" t="e">
        <f>AND('Değerlendirme Formu'!#REF!,"AAAAAG7vlNs=")</f>
        <v>#REF!</v>
      </c>
      <c r="HM5" t="e">
        <f>AND('Değerlendirme Formu'!#REF!,"AAAAAG7vlNw=")</f>
        <v>#REF!</v>
      </c>
      <c r="HN5" t="e">
        <f>AND('Değerlendirme Formu'!#REF!,"AAAAAG7vlN0=")</f>
        <v>#REF!</v>
      </c>
      <c r="HO5" t="e">
        <f>AND('Değerlendirme Formu'!#REF!,"AAAAAG7vlN4=")</f>
        <v>#REF!</v>
      </c>
      <c r="HP5" t="e">
        <f>AND('Değerlendirme Formu'!#REF!,"AAAAAG7vlN8=")</f>
        <v>#REF!</v>
      </c>
      <c r="HQ5" t="e">
        <f>AND('Değerlendirme Formu'!#REF!,"AAAAAG7vlOA=")</f>
        <v>#REF!</v>
      </c>
      <c r="HR5" t="e">
        <f>AND('Değerlendirme Formu'!#REF!,"AAAAAG7vlOE=")</f>
        <v>#REF!</v>
      </c>
      <c r="HS5" t="e">
        <f>AND('Değerlendirme Formu'!#REF!,"AAAAAG7vlOI=")</f>
        <v>#REF!</v>
      </c>
      <c r="HT5" t="e">
        <f>AND('Değerlendirme Formu'!#REF!,"AAAAAG7vlOM=")</f>
        <v>#REF!</v>
      </c>
      <c r="HU5" t="e">
        <f>AND('Değerlendirme Formu'!#REF!,"AAAAAG7vlOQ=")</f>
        <v>#REF!</v>
      </c>
      <c r="HV5" t="e">
        <f>AND('Değerlendirme Formu'!#REF!,"AAAAAG7vlOU=")</f>
        <v>#REF!</v>
      </c>
      <c r="HW5" t="e">
        <f>AND('Değerlendirme Formu'!#REF!,"AAAAAG7vlOY=")</f>
        <v>#REF!</v>
      </c>
      <c r="HX5">
        <f>IF('Değerlendirme Formu'!40:40,"AAAAAG7vlOc=",0)</f>
        <v>0</v>
      </c>
      <c r="HY5" t="e">
        <f>AND('Değerlendirme Formu'!A40,"AAAAAG7vlOg=")</f>
        <v>#VALUE!</v>
      </c>
      <c r="HZ5" t="e">
        <f>AND('Değerlendirme Formu'!B40,"AAAAAG7vlOk=")</f>
        <v>#VALUE!</v>
      </c>
      <c r="IA5" t="e">
        <f>AND('Değerlendirme Formu'!#REF!,"AAAAAG7vlOo=")</f>
        <v>#REF!</v>
      </c>
      <c r="IB5" t="e">
        <f>AND('Değerlendirme Formu'!#REF!,"AAAAAG7vlOs=")</f>
        <v>#REF!</v>
      </c>
      <c r="IC5" t="e">
        <f>AND('Değerlendirme Formu'!#REF!,"AAAAAG7vlOw=")</f>
        <v>#REF!</v>
      </c>
      <c r="ID5" t="e">
        <f>AND('Değerlendirme Formu'!#REF!,"AAAAAG7vlO0=")</f>
        <v>#REF!</v>
      </c>
      <c r="IE5" t="e">
        <f>AND('Değerlendirme Formu'!#REF!,"AAAAAG7vlO4=")</f>
        <v>#REF!</v>
      </c>
      <c r="IF5" t="e">
        <f>AND('Değerlendirme Formu'!#REF!,"AAAAAG7vlO8=")</f>
        <v>#REF!</v>
      </c>
      <c r="IG5" t="e">
        <f>AND('Değerlendirme Formu'!F40,"AAAAAG7vlPA=")</f>
        <v>#VALUE!</v>
      </c>
      <c r="IH5" t="e">
        <f>AND('Değerlendirme Formu'!#REF!,"AAAAAG7vlPE=")</f>
        <v>#REF!</v>
      </c>
      <c r="II5" t="b">
        <f>AND('Değerlendirme Formu'!C40,"AAAAAG7vlPI=")</f>
        <v>1</v>
      </c>
      <c r="IJ5" t="b">
        <f>AND('Değerlendirme Formu'!D40,"AAAAAG7vlPM=")</f>
        <v>1</v>
      </c>
      <c r="IK5" t="b">
        <f>AND('Değerlendirme Formu'!E40,"AAAAAG7vlPQ=")</f>
        <v>1</v>
      </c>
      <c r="IL5" t="e">
        <f>AND('Değerlendirme Formu'!#REF!,"AAAAAG7vlPU=")</f>
        <v>#REF!</v>
      </c>
      <c r="IM5" t="e">
        <f>AND('Değerlendirme Formu'!G40,"AAAAAG7vlPY=")</f>
        <v>#VALUE!</v>
      </c>
      <c r="IN5" t="e">
        <f>AND('Değerlendirme Formu'!H40,"AAAAAG7vlPc=")</f>
        <v>#VALUE!</v>
      </c>
      <c r="IO5" t="e">
        <f>AND('Değerlendirme Formu'!I40,"AAAAAG7vlPg=")</f>
        <v>#VALUE!</v>
      </c>
      <c r="IP5" t="e">
        <f>IF('Değerlendirme Formu'!#REF!,"AAAAAG7vlPk=",0)</f>
        <v>#REF!</v>
      </c>
      <c r="IQ5" t="e">
        <f>AND('Değerlendirme Formu'!#REF!,"AAAAAG7vlPo=")</f>
        <v>#REF!</v>
      </c>
      <c r="IR5" t="e">
        <f>AND('Değerlendirme Formu'!#REF!,"AAAAAG7vlPs=")</f>
        <v>#REF!</v>
      </c>
      <c r="IS5" t="e">
        <f>AND('Değerlendirme Formu'!#REF!,"AAAAAG7vlPw=")</f>
        <v>#REF!</v>
      </c>
      <c r="IT5" t="e">
        <f>AND('Değerlendirme Formu'!#REF!,"AAAAAG7vlP0=")</f>
        <v>#REF!</v>
      </c>
      <c r="IU5" t="e">
        <f>AND('Değerlendirme Formu'!#REF!,"AAAAAG7vlP4=")</f>
        <v>#REF!</v>
      </c>
      <c r="IV5" t="e">
        <f>AND('Değerlendirme Formu'!#REF!,"AAAAAG7vlP8=")</f>
        <v>#REF!</v>
      </c>
    </row>
    <row r="6" spans="1:256" x14ac:dyDescent="0.2">
      <c r="A6" t="e">
        <f>AND('Değerlendirme Formu'!#REF!,"AAAAAHf/+AA=")</f>
        <v>#REF!</v>
      </c>
      <c r="B6" t="e">
        <f>AND('Değerlendirme Formu'!#REF!,"AAAAAHf/+AE=")</f>
        <v>#REF!</v>
      </c>
      <c r="C6" t="e">
        <f>AND('Değerlendirme Formu'!#REF!,"AAAAAHf/+AI=")</f>
        <v>#REF!</v>
      </c>
      <c r="D6" t="e">
        <f>AND('Değerlendirme Formu'!#REF!,"AAAAAHf/+AM=")</f>
        <v>#REF!</v>
      </c>
      <c r="E6" t="e">
        <f>AND('Değerlendirme Formu'!#REF!,"AAAAAHf/+AQ=")</f>
        <v>#REF!</v>
      </c>
      <c r="F6" t="e">
        <f>AND('Değerlendirme Formu'!#REF!,"AAAAAHf/+AU=")</f>
        <v>#REF!</v>
      </c>
      <c r="G6" t="e">
        <f>AND('Değerlendirme Formu'!#REF!,"AAAAAHf/+AY=")</f>
        <v>#REF!</v>
      </c>
      <c r="H6" t="e">
        <f>AND('Değerlendirme Formu'!#REF!,"AAAAAHf/+Ac=")</f>
        <v>#REF!</v>
      </c>
      <c r="I6" t="e">
        <f>AND('Değerlendirme Formu'!#REF!,"AAAAAHf/+Ag=")</f>
        <v>#REF!</v>
      </c>
      <c r="J6" t="e">
        <f>AND('Değerlendirme Formu'!#REF!,"AAAAAHf/+Ak=")</f>
        <v>#REF!</v>
      </c>
      <c r="K6" t="e">
        <f>AND('Değerlendirme Formu'!#REF!,"AAAAAHf/+Ao=")</f>
        <v>#REF!</v>
      </c>
      <c r="L6">
        <f>IF('Değerlendirme Formu'!47:47,"AAAAAHf/+As=",0)</f>
        <v>0</v>
      </c>
      <c r="M6" t="e">
        <f>AND('Değerlendirme Formu'!A47,"AAAAAHf/+Aw=")</f>
        <v>#VALUE!</v>
      </c>
      <c r="N6" t="e">
        <f>AND('Değerlendirme Formu'!B47,"AAAAAHf/+A0=")</f>
        <v>#VALUE!</v>
      </c>
      <c r="O6" t="e">
        <f>AND('Değerlendirme Formu'!#REF!,"AAAAAHf/+A4=")</f>
        <v>#REF!</v>
      </c>
      <c r="P6" t="e">
        <f>AND('Değerlendirme Formu'!C47,"AAAAAHf/+A8=")</f>
        <v>#VALUE!</v>
      </c>
      <c r="Q6" t="e">
        <f>AND('Değerlendirme Formu'!D47,"AAAAAHf/+BA=")</f>
        <v>#VALUE!</v>
      </c>
      <c r="R6" t="e">
        <f>AND('Değerlendirme Formu'!E47,"AAAAAHf/+BE=")</f>
        <v>#VALUE!</v>
      </c>
      <c r="S6" t="e">
        <f>AND('Değerlendirme Formu'!#REF!,"AAAAAHf/+BI=")</f>
        <v>#REF!</v>
      </c>
      <c r="T6" t="e">
        <f>AND('Değerlendirme Formu'!#REF!,"AAAAAHf/+BM=")</f>
        <v>#REF!</v>
      </c>
      <c r="U6" t="e">
        <f>AND('Değerlendirme Formu'!F47,"AAAAAHf/+BQ=")</f>
        <v>#VALUE!</v>
      </c>
      <c r="V6" t="e">
        <f>AND('Değerlendirme Formu'!#REF!,"AAAAAHf/+BU=")</f>
        <v>#REF!</v>
      </c>
      <c r="W6" t="e">
        <f>AND('Değerlendirme Formu'!#REF!,"AAAAAHf/+BY=")</f>
        <v>#REF!</v>
      </c>
      <c r="X6" t="e">
        <f>AND('Değerlendirme Formu'!#REF!,"AAAAAHf/+Bc=")</f>
        <v>#REF!</v>
      </c>
      <c r="Y6" t="e">
        <f>AND('Değerlendirme Formu'!#REF!,"AAAAAHf/+Bg=")</f>
        <v>#REF!</v>
      </c>
      <c r="Z6" t="e">
        <f>AND('Değerlendirme Formu'!#REF!,"AAAAAHf/+Bk=")</f>
        <v>#REF!</v>
      </c>
      <c r="AA6" t="e">
        <f>AND('Değerlendirme Formu'!G47,"AAAAAHf/+Bo=")</f>
        <v>#VALUE!</v>
      </c>
      <c r="AB6" t="e">
        <f>AND('Değerlendirme Formu'!H47,"AAAAAHf/+Bs=")</f>
        <v>#VALUE!</v>
      </c>
      <c r="AC6" t="e">
        <f>AND('Değerlendirme Formu'!I47,"AAAAAHf/+Bw=")</f>
        <v>#VALUE!</v>
      </c>
      <c r="AD6">
        <f>IF('Değerlendirme Formu'!48:48,"AAAAAHf/+B0=",0)</f>
        <v>0</v>
      </c>
      <c r="AE6" t="b">
        <f>AND('Değerlendirme Formu'!A48,"AAAAAHf/+B4=")</f>
        <v>1</v>
      </c>
      <c r="AF6" t="e">
        <f>AND('Değerlendirme Formu'!B48,"AAAAAHf/+B8=")</f>
        <v>#VALUE!</v>
      </c>
      <c r="AG6" t="e">
        <f>AND('Değerlendirme Formu'!#REF!,"AAAAAHf/+CA=")</f>
        <v>#REF!</v>
      </c>
      <c r="AH6" t="e">
        <f>AND('Değerlendirme Formu'!C48,"AAAAAHf/+CE=")</f>
        <v>#VALUE!</v>
      </c>
      <c r="AI6" t="b">
        <f>AND('Değerlendirme Formu'!D48,"AAAAAHf/+CI=")</f>
        <v>1</v>
      </c>
      <c r="AJ6" t="b">
        <f>AND('Değerlendirme Formu'!E48,"AAAAAHf/+CM=")</f>
        <v>0</v>
      </c>
      <c r="AK6" t="e">
        <f>AND('Değerlendirme Formu'!#REF!,"AAAAAHf/+CQ=")</f>
        <v>#REF!</v>
      </c>
      <c r="AL6" t="e">
        <f>AND('Değerlendirme Formu'!#REF!,"AAAAAHf/+CU=")</f>
        <v>#REF!</v>
      </c>
      <c r="AM6" t="e">
        <f>AND('Değerlendirme Formu'!F48,"AAAAAHf/+CY=")</f>
        <v>#VALUE!</v>
      </c>
      <c r="AN6" t="e">
        <f>AND('Değerlendirme Formu'!#REF!,"AAAAAHf/+Cc=")</f>
        <v>#REF!</v>
      </c>
      <c r="AO6" t="e">
        <f>AND('Değerlendirme Formu'!#REF!,"AAAAAHf/+Cg=")</f>
        <v>#REF!</v>
      </c>
      <c r="AP6" t="e">
        <f>AND('Değerlendirme Formu'!#REF!,"AAAAAHf/+Ck=")</f>
        <v>#REF!</v>
      </c>
      <c r="AQ6" t="e">
        <f>AND('Değerlendirme Formu'!#REF!,"AAAAAHf/+Co=")</f>
        <v>#REF!</v>
      </c>
      <c r="AR6" t="e">
        <f>AND('Değerlendirme Formu'!#REF!,"AAAAAHf/+Cs=")</f>
        <v>#REF!</v>
      </c>
      <c r="AS6" t="e">
        <f>AND('Değerlendirme Formu'!G48,"AAAAAHf/+Cw=")</f>
        <v>#VALUE!</v>
      </c>
      <c r="AT6" t="e">
        <f>AND('Değerlendirme Formu'!H48,"AAAAAHf/+C0=")</f>
        <v>#VALUE!</v>
      </c>
      <c r="AU6" t="e">
        <f>AND('Değerlendirme Formu'!I48,"AAAAAHf/+C4=")</f>
        <v>#VALUE!</v>
      </c>
      <c r="AV6" t="e">
        <f>IF('Değerlendirme Formu'!#REF!,"AAAAAHf/+C8=",0)</f>
        <v>#REF!</v>
      </c>
      <c r="AW6" t="e">
        <f>AND('Değerlendirme Formu'!#REF!,"AAAAAHf/+DA=")</f>
        <v>#REF!</v>
      </c>
      <c r="AX6" t="e">
        <f>AND('Değerlendirme Formu'!#REF!,"AAAAAHf/+DE=")</f>
        <v>#REF!</v>
      </c>
      <c r="AY6" t="e">
        <f>AND('Değerlendirme Formu'!#REF!,"AAAAAHf/+DI=")</f>
        <v>#REF!</v>
      </c>
      <c r="AZ6" t="e">
        <f>AND('Değerlendirme Formu'!#REF!,"AAAAAHf/+DM=")</f>
        <v>#REF!</v>
      </c>
      <c r="BA6" t="e">
        <f>AND('Değerlendirme Formu'!#REF!,"AAAAAHf/+DQ=")</f>
        <v>#REF!</v>
      </c>
      <c r="BB6" t="e">
        <f>AND('Değerlendirme Formu'!#REF!,"AAAAAHf/+DU=")</f>
        <v>#REF!</v>
      </c>
      <c r="BC6" t="e">
        <f>AND('Değerlendirme Formu'!#REF!,"AAAAAHf/+DY=")</f>
        <v>#REF!</v>
      </c>
      <c r="BD6" t="e">
        <f>AND('Değerlendirme Formu'!#REF!,"AAAAAHf/+Dc=")</f>
        <v>#REF!</v>
      </c>
      <c r="BE6" t="e">
        <f>AND('Değerlendirme Formu'!#REF!,"AAAAAHf/+Dg=")</f>
        <v>#REF!</v>
      </c>
      <c r="BF6" t="e">
        <f>AND('Değerlendirme Formu'!#REF!,"AAAAAHf/+Dk=")</f>
        <v>#REF!</v>
      </c>
      <c r="BG6" t="e">
        <f>AND('Değerlendirme Formu'!#REF!,"AAAAAHf/+Do=")</f>
        <v>#REF!</v>
      </c>
      <c r="BH6" t="e">
        <f>AND('Değerlendirme Formu'!#REF!,"AAAAAHf/+Ds=")</f>
        <v>#REF!</v>
      </c>
      <c r="BI6" t="e">
        <f>AND('Değerlendirme Formu'!#REF!,"AAAAAHf/+Dw=")</f>
        <v>#REF!</v>
      </c>
      <c r="BJ6" t="e">
        <f>AND('Değerlendirme Formu'!#REF!,"AAAAAHf/+D0=")</f>
        <v>#REF!</v>
      </c>
      <c r="BK6" t="e">
        <f>AND('Değerlendirme Formu'!#REF!,"AAAAAHf/+D4=")</f>
        <v>#REF!</v>
      </c>
      <c r="BL6" t="e">
        <f>AND('Değerlendirme Formu'!#REF!,"AAAAAHf/+D8=")</f>
        <v>#REF!</v>
      </c>
      <c r="BM6" t="e">
        <f>AND('Değerlendirme Formu'!#REF!,"AAAAAHf/+EA=")</f>
        <v>#REF!</v>
      </c>
      <c r="BN6">
        <f>IF('Değerlendirme Formu'!49:49,"AAAAAHf/+EE=",0)</f>
        <v>0</v>
      </c>
      <c r="BO6" t="b">
        <f>AND('Değerlendirme Formu'!A49,"AAAAAHf/+EI=")</f>
        <v>1</v>
      </c>
      <c r="BP6" t="e">
        <f>AND('Değerlendirme Formu'!B49,"AAAAAHf/+EM=")</f>
        <v>#VALUE!</v>
      </c>
      <c r="BQ6" t="e">
        <f>AND('Değerlendirme Formu'!#REF!,"AAAAAHf/+EQ=")</f>
        <v>#REF!</v>
      </c>
      <c r="BR6" t="e">
        <f>AND('Değerlendirme Formu'!C49,"AAAAAHf/+EU=")</f>
        <v>#VALUE!</v>
      </c>
      <c r="BS6" t="b">
        <f>AND('Değerlendirme Formu'!D49,"AAAAAHf/+EY=")</f>
        <v>1</v>
      </c>
      <c r="BT6" t="b">
        <f>AND('Değerlendirme Formu'!E49,"AAAAAHf/+Ec=")</f>
        <v>0</v>
      </c>
      <c r="BU6" t="e">
        <f>AND('Değerlendirme Formu'!#REF!,"AAAAAHf/+Eg=")</f>
        <v>#REF!</v>
      </c>
      <c r="BV6" t="e">
        <f>AND('Değerlendirme Formu'!#REF!,"AAAAAHf/+Ek=")</f>
        <v>#REF!</v>
      </c>
      <c r="BW6" t="e">
        <f>AND('Değerlendirme Formu'!F49,"AAAAAHf/+Eo=")</f>
        <v>#VALUE!</v>
      </c>
      <c r="BX6" t="e">
        <f>AND('Değerlendirme Formu'!#REF!,"AAAAAHf/+Es=")</f>
        <v>#REF!</v>
      </c>
      <c r="BY6" t="e">
        <f>AND('Değerlendirme Formu'!#REF!,"AAAAAHf/+Ew=")</f>
        <v>#REF!</v>
      </c>
      <c r="BZ6" t="e">
        <f>AND('Değerlendirme Formu'!#REF!,"AAAAAHf/+E0=")</f>
        <v>#REF!</v>
      </c>
      <c r="CA6" t="e">
        <f>AND('Değerlendirme Formu'!#REF!,"AAAAAHf/+E4=")</f>
        <v>#REF!</v>
      </c>
      <c r="CB6" t="e">
        <f>AND('Değerlendirme Formu'!#REF!,"AAAAAHf/+E8=")</f>
        <v>#REF!</v>
      </c>
      <c r="CC6" t="e">
        <f>AND('Değerlendirme Formu'!G49,"AAAAAHf/+FA=")</f>
        <v>#VALUE!</v>
      </c>
      <c r="CD6" t="e">
        <f>AND('Değerlendirme Formu'!H49,"AAAAAHf/+FE=")</f>
        <v>#VALUE!</v>
      </c>
      <c r="CE6" t="e">
        <f>AND('Değerlendirme Formu'!I49,"AAAAAHf/+FI=")</f>
        <v>#VALUE!</v>
      </c>
      <c r="CF6" t="e">
        <f>IF('Değerlendirme Formu'!#REF!,"AAAAAHf/+FM=",0)</f>
        <v>#REF!</v>
      </c>
      <c r="CG6" t="e">
        <f>AND('Değerlendirme Formu'!#REF!,"AAAAAHf/+FQ=")</f>
        <v>#REF!</v>
      </c>
      <c r="CH6" t="e">
        <f>AND('Değerlendirme Formu'!#REF!,"AAAAAHf/+FU=")</f>
        <v>#REF!</v>
      </c>
      <c r="CI6" t="e">
        <f>AND('Değerlendirme Formu'!#REF!,"AAAAAHf/+FY=")</f>
        <v>#REF!</v>
      </c>
      <c r="CJ6" t="e">
        <f>AND('Değerlendirme Formu'!#REF!,"AAAAAHf/+Fc=")</f>
        <v>#REF!</v>
      </c>
      <c r="CK6" t="e">
        <f>AND('Değerlendirme Formu'!#REF!,"AAAAAHf/+Fg=")</f>
        <v>#REF!</v>
      </c>
      <c r="CL6" t="e">
        <f>AND('Değerlendirme Formu'!#REF!,"AAAAAHf/+Fk=")</f>
        <v>#REF!</v>
      </c>
      <c r="CM6" t="e">
        <f>AND('Değerlendirme Formu'!#REF!,"AAAAAHf/+Fo=")</f>
        <v>#REF!</v>
      </c>
      <c r="CN6" t="e">
        <f>AND('Değerlendirme Formu'!#REF!,"AAAAAHf/+Fs=")</f>
        <v>#REF!</v>
      </c>
      <c r="CO6" t="e">
        <f>AND('Değerlendirme Formu'!#REF!,"AAAAAHf/+Fw=")</f>
        <v>#REF!</v>
      </c>
      <c r="CP6" t="e">
        <f>AND('Değerlendirme Formu'!#REF!,"AAAAAHf/+F0=")</f>
        <v>#REF!</v>
      </c>
      <c r="CQ6" t="e">
        <f>AND('Değerlendirme Formu'!#REF!,"AAAAAHf/+F4=")</f>
        <v>#REF!</v>
      </c>
      <c r="CR6" t="e">
        <f>AND('Değerlendirme Formu'!#REF!,"AAAAAHf/+F8=")</f>
        <v>#REF!</v>
      </c>
      <c r="CS6" t="e">
        <f>AND('Değerlendirme Formu'!#REF!,"AAAAAHf/+GA=")</f>
        <v>#REF!</v>
      </c>
      <c r="CT6" t="e">
        <f>AND('Değerlendirme Formu'!#REF!,"AAAAAHf/+GE=")</f>
        <v>#REF!</v>
      </c>
      <c r="CU6" t="e">
        <f>AND('Değerlendirme Formu'!#REF!,"AAAAAHf/+GI=")</f>
        <v>#REF!</v>
      </c>
      <c r="CV6" t="e">
        <f>AND('Değerlendirme Formu'!#REF!,"AAAAAHf/+GM=")</f>
        <v>#REF!</v>
      </c>
      <c r="CW6" t="e">
        <f>AND('Değerlendirme Formu'!#REF!,"AAAAAHf/+GQ=")</f>
        <v>#REF!</v>
      </c>
      <c r="CX6" t="e">
        <f>IF('Değerlendirme Formu'!#REF!,"AAAAAHf/+GU=",0)</f>
        <v>#REF!</v>
      </c>
      <c r="CY6" t="e">
        <f>AND('Değerlendirme Formu'!#REF!,"AAAAAHf/+GY=")</f>
        <v>#REF!</v>
      </c>
      <c r="CZ6" t="e">
        <f>AND('Değerlendirme Formu'!#REF!,"AAAAAHf/+Gc=")</f>
        <v>#REF!</v>
      </c>
      <c r="DA6" t="e">
        <f>AND('Değerlendirme Formu'!#REF!,"AAAAAHf/+Gg=")</f>
        <v>#REF!</v>
      </c>
      <c r="DB6" t="e">
        <f>AND('Değerlendirme Formu'!#REF!,"AAAAAHf/+Gk=")</f>
        <v>#REF!</v>
      </c>
      <c r="DC6" t="e">
        <f>AND('Değerlendirme Formu'!#REF!,"AAAAAHf/+Go=")</f>
        <v>#REF!</v>
      </c>
      <c r="DD6" t="e">
        <f>AND('Değerlendirme Formu'!#REF!,"AAAAAHf/+Gs=")</f>
        <v>#REF!</v>
      </c>
      <c r="DE6" t="e">
        <f>AND('Değerlendirme Formu'!#REF!,"AAAAAHf/+Gw=")</f>
        <v>#REF!</v>
      </c>
      <c r="DF6" t="e">
        <f>AND('Değerlendirme Formu'!#REF!,"AAAAAHf/+G0=")</f>
        <v>#REF!</v>
      </c>
      <c r="DG6" t="e">
        <f>AND('Değerlendirme Formu'!#REF!,"AAAAAHf/+G4=")</f>
        <v>#REF!</v>
      </c>
      <c r="DH6" t="e">
        <f>AND('Değerlendirme Formu'!#REF!,"AAAAAHf/+G8=")</f>
        <v>#REF!</v>
      </c>
      <c r="DI6" t="e">
        <f>AND('Değerlendirme Formu'!#REF!,"AAAAAHf/+HA=")</f>
        <v>#REF!</v>
      </c>
      <c r="DJ6" t="e">
        <f>AND('Değerlendirme Formu'!#REF!,"AAAAAHf/+HE=")</f>
        <v>#REF!</v>
      </c>
      <c r="DK6" t="e">
        <f>AND('Değerlendirme Formu'!#REF!,"AAAAAHf/+HI=")</f>
        <v>#REF!</v>
      </c>
      <c r="DL6" t="e">
        <f>AND('Değerlendirme Formu'!#REF!,"AAAAAHf/+HM=")</f>
        <v>#REF!</v>
      </c>
      <c r="DM6" t="e">
        <f>AND('Değerlendirme Formu'!#REF!,"AAAAAHf/+HQ=")</f>
        <v>#REF!</v>
      </c>
      <c r="DN6" t="e">
        <f>AND('Değerlendirme Formu'!#REF!,"AAAAAHf/+HU=")</f>
        <v>#REF!</v>
      </c>
      <c r="DO6" t="e">
        <f>AND('Değerlendirme Formu'!#REF!,"AAAAAHf/+HY=")</f>
        <v>#REF!</v>
      </c>
      <c r="DP6" t="e">
        <f>IF('Değerlendirme Formu'!#REF!,"AAAAAHf/+Hc=",0)</f>
        <v>#REF!</v>
      </c>
      <c r="DQ6" t="e">
        <f>AND('Değerlendirme Formu'!#REF!,"AAAAAHf/+Hg=")</f>
        <v>#REF!</v>
      </c>
      <c r="DR6" t="e">
        <f>AND('Değerlendirme Formu'!#REF!,"AAAAAHf/+Hk=")</f>
        <v>#REF!</v>
      </c>
      <c r="DS6" t="e">
        <f>AND('Değerlendirme Formu'!#REF!,"AAAAAHf/+Ho=")</f>
        <v>#REF!</v>
      </c>
      <c r="DT6" t="e">
        <f>AND('Değerlendirme Formu'!#REF!,"AAAAAHf/+Hs=")</f>
        <v>#REF!</v>
      </c>
      <c r="DU6" t="e">
        <f>AND('Değerlendirme Formu'!#REF!,"AAAAAHf/+Hw=")</f>
        <v>#REF!</v>
      </c>
      <c r="DV6" t="e">
        <f>AND('Değerlendirme Formu'!#REF!,"AAAAAHf/+H0=")</f>
        <v>#REF!</v>
      </c>
      <c r="DW6" t="e">
        <f>AND('Değerlendirme Formu'!#REF!,"AAAAAHf/+H4=")</f>
        <v>#REF!</v>
      </c>
      <c r="DX6" t="e">
        <f>AND('Değerlendirme Formu'!#REF!,"AAAAAHf/+H8=")</f>
        <v>#REF!</v>
      </c>
      <c r="DY6" t="e">
        <f>AND('Değerlendirme Formu'!#REF!,"AAAAAHf/+IA=")</f>
        <v>#REF!</v>
      </c>
      <c r="DZ6" t="e">
        <f>AND('Değerlendirme Formu'!#REF!,"AAAAAHf/+IE=")</f>
        <v>#REF!</v>
      </c>
      <c r="EA6" t="e">
        <f>AND('Değerlendirme Formu'!#REF!,"AAAAAHf/+II=")</f>
        <v>#REF!</v>
      </c>
      <c r="EB6" t="e">
        <f>AND('Değerlendirme Formu'!#REF!,"AAAAAHf/+IM=")</f>
        <v>#REF!</v>
      </c>
      <c r="EC6" t="e">
        <f>AND('Değerlendirme Formu'!#REF!,"AAAAAHf/+IQ=")</f>
        <v>#REF!</v>
      </c>
      <c r="ED6" t="e">
        <f>AND('Değerlendirme Formu'!#REF!,"AAAAAHf/+IU=")</f>
        <v>#REF!</v>
      </c>
      <c r="EE6" t="e">
        <f>AND('Değerlendirme Formu'!#REF!,"AAAAAHf/+IY=")</f>
        <v>#REF!</v>
      </c>
      <c r="EF6" t="e">
        <f>AND('Değerlendirme Formu'!#REF!,"AAAAAHf/+Ic=")</f>
        <v>#REF!</v>
      </c>
      <c r="EG6" t="e">
        <f>AND('Değerlendirme Formu'!#REF!,"AAAAAHf/+Ig=")</f>
        <v>#REF!</v>
      </c>
      <c r="EH6" t="e">
        <f>IF('Değerlendirme Formu'!#REF!,"AAAAAHf/+Ik=",0)</f>
        <v>#REF!</v>
      </c>
      <c r="EI6" t="e">
        <f>AND('Değerlendirme Formu'!#REF!,"AAAAAHf/+Io=")</f>
        <v>#REF!</v>
      </c>
      <c r="EJ6" t="e">
        <f>AND('Değerlendirme Formu'!#REF!,"AAAAAHf/+Is=")</f>
        <v>#REF!</v>
      </c>
      <c r="EK6" t="e">
        <f>AND('Değerlendirme Formu'!#REF!,"AAAAAHf/+Iw=")</f>
        <v>#REF!</v>
      </c>
      <c r="EL6" t="e">
        <f>AND('Değerlendirme Formu'!#REF!,"AAAAAHf/+I0=")</f>
        <v>#REF!</v>
      </c>
      <c r="EM6" t="e">
        <f>AND('Değerlendirme Formu'!#REF!,"AAAAAHf/+I4=")</f>
        <v>#REF!</v>
      </c>
      <c r="EN6" t="e">
        <f>AND('Değerlendirme Formu'!#REF!,"AAAAAHf/+I8=")</f>
        <v>#REF!</v>
      </c>
      <c r="EO6" t="e">
        <f>AND('Değerlendirme Formu'!#REF!,"AAAAAHf/+JA=")</f>
        <v>#REF!</v>
      </c>
      <c r="EP6" t="e">
        <f>AND('Değerlendirme Formu'!#REF!,"AAAAAHf/+JE=")</f>
        <v>#REF!</v>
      </c>
      <c r="EQ6" t="e">
        <f>AND('Değerlendirme Formu'!#REF!,"AAAAAHf/+JI=")</f>
        <v>#REF!</v>
      </c>
      <c r="ER6" t="e">
        <f>AND('Değerlendirme Formu'!#REF!,"AAAAAHf/+JM=")</f>
        <v>#REF!</v>
      </c>
      <c r="ES6" t="e">
        <f>AND('Değerlendirme Formu'!#REF!,"AAAAAHf/+JQ=")</f>
        <v>#REF!</v>
      </c>
      <c r="ET6" t="e">
        <f>AND('Değerlendirme Formu'!#REF!,"AAAAAHf/+JU=")</f>
        <v>#REF!</v>
      </c>
      <c r="EU6" t="e">
        <f>AND('Değerlendirme Formu'!#REF!,"AAAAAHf/+JY=")</f>
        <v>#REF!</v>
      </c>
      <c r="EV6" t="e">
        <f>AND('Değerlendirme Formu'!#REF!,"AAAAAHf/+Jc=")</f>
        <v>#REF!</v>
      </c>
      <c r="EW6" t="e">
        <f>AND('Değerlendirme Formu'!#REF!,"AAAAAHf/+Jg=")</f>
        <v>#REF!</v>
      </c>
      <c r="EX6" t="e">
        <f>AND('Değerlendirme Formu'!#REF!,"AAAAAHf/+Jk=")</f>
        <v>#REF!</v>
      </c>
      <c r="EY6" t="e">
        <f>AND('Değerlendirme Formu'!#REF!,"AAAAAHf/+Jo=")</f>
        <v>#REF!</v>
      </c>
      <c r="EZ6" t="e">
        <f>IF('Değerlendirme Formu'!#REF!,"AAAAAHf/+Js=",0)</f>
        <v>#REF!</v>
      </c>
      <c r="FA6" t="e">
        <f>AND('Değerlendirme Formu'!#REF!,"AAAAAHf/+Jw=")</f>
        <v>#REF!</v>
      </c>
      <c r="FB6" t="e">
        <f>AND('Değerlendirme Formu'!#REF!,"AAAAAHf/+J0=")</f>
        <v>#REF!</v>
      </c>
      <c r="FC6" t="e">
        <f>AND('Değerlendirme Formu'!#REF!,"AAAAAHf/+J4=")</f>
        <v>#REF!</v>
      </c>
      <c r="FD6" t="e">
        <f>AND('Değerlendirme Formu'!#REF!,"AAAAAHf/+J8=")</f>
        <v>#REF!</v>
      </c>
      <c r="FE6" t="e">
        <f>AND('Değerlendirme Formu'!#REF!,"AAAAAHf/+KA=")</f>
        <v>#REF!</v>
      </c>
      <c r="FF6" t="e">
        <f>AND('Değerlendirme Formu'!#REF!,"AAAAAHf/+KE=")</f>
        <v>#REF!</v>
      </c>
      <c r="FG6" t="e">
        <f>AND('Değerlendirme Formu'!#REF!,"AAAAAHf/+KI=")</f>
        <v>#REF!</v>
      </c>
      <c r="FH6" t="e">
        <f>AND('Değerlendirme Formu'!#REF!,"AAAAAHf/+KM=")</f>
        <v>#REF!</v>
      </c>
      <c r="FI6" t="e">
        <f>AND('Değerlendirme Formu'!#REF!,"AAAAAHf/+KQ=")</f>
        <v>#REF!</v>
      </c>
      <c r="FJ6" t="e">
        <f>AND('Değerlendirme Formu'!#REF!,"AAAAAHf/+KU=")</f>
        <v>#REF!</v>
      </c>
      <c r="FK6" t="e">
        <f>AND('Değerlendirme Formu'!#REF!,"AAAAAHf/+KY=")</f>
        <v>#REF!</v>
      </c>
      <c r="FL6" t="e">
        <f>AND('Değerlendirme Formu'!#REF!,"AAAAAHf/+Kc=")</f>
        <v>#REF!</v>
      </c>
      <c r="FM6" t="e">
        <f>AND('Değerlendirme Formu'!#REF!,"AAAAAHf/+Kg=")</f>
        <v>#REF!</v>
      </c>
      <c r="FN6" t="e">
        <f>AND('Değerlendirme Formu'!#REF!,"AAAAAHf/+Kk=")</f>
        <v>#REF!</v>
      </c>
      <c r="FO6" t="e">
        <f>AND('Değerlendirme Formu'!#REF!,"AAAAAHf/+Ko=")</f>
        <v>#REF!</v>
      </c>
      <c r="FP6" t="e">
        <f>AND('Değerlendirme Formu'!#REF!,"AAAAAHf/+Ks=")</f>
        <v>#REF!</v>
      </c>
      <c r="FQ6" t="e">
        <f>AND('Değerlendirme Formu'!#REF!,"AAAAAHf/+Kw=")</f>
        <v>#REF!</v>
      </c>
      <c r="FR6" t="e">
        <f>IF('Değerlendirme Formu'!#REF!,"AAAAAHf/+K0=",0)</f>
        <v>#REF!</v>
      </c>
      <c r="FS6" t="e">
        <f>AND('Değerlendirme Formu'!#REF!,"AAAAAHf/+K4=")</f>
        <v>#REF!</v>
      </c>
      <c r="FT6" t="e">
        <f>AND('Değerlendirme Formu'!#REF!,"AAAAAHf/+K8=")</f>
        <v>#REF!</v>
      </c>
      <c r="FU6" t="e">
        <f>AND('Değerlendirme Formu'!#REF!,"AAAAAHf/+LA=")</f>
        <v>#REF!</v>
      </c>
      <c r="FV6" t="e">
        <f>AND('Değerlendirme Formu'!#REF!,"AAAAAHf/+LE=")</f>
        <v>#REF!</v>
      </c>
      <c r="FW6" t="e">
        <f>AND('Değerlendirme Formu'!#REF!,"AAAAAHf/+LI=")</f>
        <v>#REF!</v>
      </c>
      <c r="FX6" t="e">
        <f>AND('Değerlendirme Formu'!#REF!,"AAAAAHf/+LM=")</f>
        <v>#REF!</v>
      </c>
      <c r="FY6" t="e">
        <f>AND('Değerlendirme Formu'!#REF!,"AAAAAHf/+LQ=")</f>
        <v>#REF!</v>
      </c>
      <c r="FZ6" t="e">
        <f>AND('Değerlendirme Formu'!#REF!,"AAAAAHf/+LU=")</f>
        <v>#REF!</v>
      </c>
      <c r="GA6" t="e">
        <f>AND('Değerlendirme Formu'!#REF!,"AAAAAHf/+LY=")</f>
        <v>#REF!</v>
      </c>
      <c r="GB6" t="e">
        <f>AND('Değerlendirme Formu'!#REF!,"AAAAAHf/+Lc=")</f>
        <v>#REF!</v>
      </c>
      <c r="GC6" t="e">
        <f>AND('Değerlendirme Formu'!#REF!,"AAAAAHf/+Lg=")</f>
        <v>#REF!</v>
      </c>
      <c r="GD6" t="e">
        <f>AND('Değerlendirme Formu'!#REF!,"AAAAAHf/+Lk=")</f>
        <v>#REF!</v>
      </c>
      <c r="GE6" t="e">
        <f>AND('Değerlendirme Formu'!#REF!,"AAAAAHf/+Lo=")</f>
        <v>#REF!</v>
      </c>
      <c r="GF6" t="e">
        <f>AND('Değerlendirme Formu'!#REF!,"AAAAAHf/+Ls=")</f>
        <v>#REF!</v>
      </c>
      <c r="GG6" t="e">
        <f>AND('Değerlendirme Formu'!#REF!,"AAAAAHf/+Lw=")</f>
        <v>#REF!</v>
      </c>
      <c r="GH6" t="e">
        <f>AND('Değerlendirme Formu'!#REF!,"AAAAAHf/+L0=")</f>
        <v>#REF!</v>
      </c>
      <c r="GI6" t="e">
        <f>AND('Değerlendirme Formu'!#REF!,"AAAAAHf/+L4=")</f>
        <v>#REF!</v>
      </c>
      <c r="GJ6" t="e">
        <f>IF('Değerlendirme Formu'!#REF!,"AAAAAHf/+L8=",0)</f>
        <v>#REF!</v>
      </c>
      <c r="GK6" t="e">
        <f>AND('Değerlendirme Formu'!#REF!,"AAAAAHf/+MA=")</f>
        <v>#REF!</v>
      </c>
      <c r="GL6" t="e">
        <f>AND('Değerlendirme Formu'!#REF!,"AAAAAHf/+ME=")</f>
        <v>#REF!</v>
      </c>
      <c r="GM6" t="e">
        <f>AND('Değerlendirme Formu'!#REF!,"AAAAAHf/+MI=")</f>
        <v>#REF!</v>
      </c>
      <c r="GN6" t="e">
        <f>AND('Değerlendirme Formu'!#REF!,"AAAAAHf/+MM=")</f>
        <v>#REF!</v>
      </c>
      <c r="GO6" t="e">
        <f>AND('Değerlendirme Formu'!#REF!,"AAAAAHf/+MQ=")</f>
        <v>#REF!</v>
      </c>
      <c r="GP6" t="e">
        <f>AND('Değerlendirme Formu'!#REF!,"AAAAAHf/+MU=")</f>
        <v>#REF!</v>
      </c>
      <c r="GQ6" t="e">
        <f>AND('Değerlendirme Formu'!#REF!,"AAAAAHf/+MY=")</f>
        <v>#REF!</v>
      </c>
      <c r="GR6" t="e">
        <f>AND('Değerlendirme Formu'!#REF!,"AAAAAHf/+Mc=")</f>
        <v>#REF!</v>
      </c>
      <c r="GS6" t="e">
        <f>AND('Değerlendirme Formu'!#REF!,"AAAAAHf/+Mg=")</f>
        <v>#REF!</v>
      </c>
      <c r="GT6" t="e">
        <f>AND('Değerlendirme Formu'!#REF!,"AAAAAHf/+Mk=")</f>
        <v>#REF!</v>
      </c>
      <c r="GU6" t="e">
        <f>AND('Değerlendirme Formu'!#REF!,"AAAAAHf/+Mo=")</f>
        <v>#REF!</v>
      </c>
      <c r="GV6" t="e">
        <f>AND('Değerlendirme Formu'!#REF!,"AAAAAHf/+Ms=")</f>
        <v>#REF!</v>
      </c>
      <c r="GW6" t="e">
        <f>AND('Değerlendirme Formu'!#REF!,"AAAAAHf/+Mw=")</f>
        <v>#REF!</v>
      </c>
      <c r="GX6" t="e">
        <f>AND('Değerlendirme Formu'!#REF!,"AAAAAHf/+M0=")</f>
        <v>#REF!</v>
      </c>
      <c r="GY6" t="e">
        <f>AND('Değerlendirme Formu'!#REF!,"AAAAAHf/+M4=")</f>
        <v>#REF!</v>
      </c>
      <c r="GZ6" t="e">
        <f>AND('Değerlendirme Formu'!#REF!,"AAAAAHf/+M8=")</f>
        <v>#REF!</v>
      </c>
      <c r="HA6" t="e">
        <f>AND('Değerlendirme Formu'!#REF!,"AAAAAHf/+NA=")</f>
        <v>#REF!</v>
      </c>
      <c r="HB6" t="e">
        <f>IF('Değerlendirme Formu'!#REF!,"AAAAAHf/+NE=",0)</f>
        <v>#REF!</v>
      </c>
      <c r="HC6" t="e">
        <f>AND('Değerlendirme Formu'!#REF!,"AAAAAHf/+NI=")</f>
        <v>#REF!</v>
      </c>
      <c r="HD6" t="e">
        <f>AND('Değerlendirme Formu'!#REF!,"AAAAAHf/+NM=")</f>
        <v>#REF!</v>
      </c>
      <c r="HE6" t="e">
        <f>AND('Değerlendirme Formu'!#REF!,"AAAAAHf/+NQ=")</f>
        <v>#REF!</v>
      </c>
      <c r="HF6" t="e">
        <f>AND('Değerlendirme Formu'!#REF!,"AAAAAHf/+NU=")</f>
        <v>#REF!</v>
      </c>
      <c r="HG6" t="e">
        <f>AND('Değerlendirme Formu'!#REF!,"AAAAAHf/+NY=")</f>
        <v>#REF!</v>
      </c>
      <c r="HH6" t="e">
        <f>AND('Değerlendirme Formu'!#REF!,"AAAAAHf/+Nc=")</f>
        <v>#REF!</v>
      </c>
      <c r="HI6" t="e">
        <f>AND('Değerlendirme Formu'!#REF!,"AAAAAHf/+Ng=")</f>
        <v>#REF!</v>
      </c>
      <c r="HJ6" t="e">
        <f>AND('Değerlendirme Formu'!#REF!,"AAAAAHf/+Nk=")</f>
        <v>#REF!</v>
      </c>
      <c r="HK6" t="e">
        <f>AND('Değerlendirme Formu'!#REF!,"AAAAAHf/+No=")</f>
        <v>#REF!</v>
      </c>
      <c r="HL6" t="e">
        <f>AND('Değerlendirme Formu'!#REF!,"AAAAAHf/+Ns=")</f>
        <v>#REF!</v>
      </c>
      <c r="HM6" t="e">
        <f>AND('Değerlendirme Formu'!#REF!,"AAAAAHf/+Nw=")</f>
        <v>#REF!</v>
      </c>
      <c r="HN6" t="e">
        <f>AND('Değerlendirme Formu'!#REF!,"AAAAAHf/+N0=")</f>
        <v>#REF!</v>
      </c>
      <c r="HO6" t="e">
        <f>AND('Değerlendirme Formu'!#REF!,"AAAAAHf/+N4=")</f>
        <v>#REF!</v>
      </c>
      <c r="HP6" t="e">
        <f>AND('Değerlendirme Formu'!#REF!,"AAAAAHf/+N8=")</f>
        <v>#REF!</v>
      </c>
      <c r="HQ6" t="e">
        <f>AND('Değerlendirme Formu'!#REF!,"AAAAAHf/+OA=")</f>
        <v>#REF!</v>
      </c>
      <c r="HR6" t="e">
        <f>AND('Değerlendirme Formu'!#REF!,"AAAAAHf/+OE=")</f>
        <v>#REF!</v>
      </c>
      <c r="HS6" t="e">
        <f>AND('Değerlendirme Formu'!#REF!,"AAAAAHf/+OI=")</f>
        <v>#REF!</v>
      </c>
      <c r="HT6" t="e">
        <f>IF('Değerlendirme Formu'!#REF!,"AAAAAHf/+OM=",0)</f>
        <v>#REF!</v>
      </c>
      <c r="HU6" t="e">
        <f>AND('Değerlendirme Formu'!#REF!,"AAAAAHf/+OQ=")</f>
        <v>#REF!</v>
      </c>
      <c r="HV6" t="e">
        <f>AND('Değerlendirme Formu'!#REF!,"AAAAAHf/+OU=")</f>
        <v>#REF!</v>
      </c>
      <c r="HW6" t="e">
        <f>AND('Değerlendirme Formu'!#REF!,"AAAAAHf/+OY=")</f>
        <v>#REF!</v>
      </c>
      <c r="HX6" t="e">
        <f>AND('Değerlendirme Formu'!#REF!,"AAAAAHf/+Oc=")</f>
        <v>#REF!</v>
      </c>
      <c r="HY6" t="e">
        <f>AND('Değerlendirme Formu'!#REF!,"AAAAAHf/+Og=")</f>
        <v>#REF!</v>
      </c>
      <c r="HZ6" t="e">
        <f>AND('Değerlendirme Formu'!#REF!,"AAAAAHf/+Ok=")</f>
        <v>#REF!</v>
      </c>
      <c r="IA6" t="e">
        <f>AND('Değerlendirme Formu'!#REF!,"AAAAAHf/+Oo=")</f>
        <v>#REF!</v>
      </c>
      <c r="IB6" t="e">
        <f>AND('Değerlendirme Formu'!#REF!,"AAAAAHf/+Os=")</f>
        <v>#REF!</v>
      </c>
      <c r="IC6" t="e">
        <f>AND('Değerlendirme Formu'!#REF!,"AAAAAHf/+Ow=")</f>
        <v>#REF!</v>
      </c>
      <c r="ID6" t="e">
        <f>AND('Değerlendirme Formu'!#REF!,"AAAAAHf/+O0=")</f>
        <v>#REF!</v>
      </c>
      <c r="IE6" t="e">
        <f>AND('Değerlendirme Formu'!#REF!,"AAAAAHf/+O4=")</f>
        <v>#REF!</v>
      </c>
      <c r="IF6" t="e">
        <f>AND('Değerlendirme Formu'!#REF!,"AAAAAHf/+O8=")</f>
        <v>#REF!</v>
      </c>
      <c r="IG6" t="e">
        <f>AND('Değerlendirme Formu'!#REF!,"AAAAAHf/+PA=")</f>
        <v>#REF!</v>
      </c>
      <c r="IH6" t="e">
        <f>AND('Değerlendirme Formu'!#REF!,"AAAAAHf/+PE=")</f>
        <v>#REF!</v>
      </c>
      <c r="II6" t="e">
        <f>AND('Değerlendirme Formu'!#REF!,"AAAAAHf/+PI=")</f>
        <v>#REF!</v>
      </c>
      <c r="IJ6" t="e">
        <f>AND('Değerlendirme Formu'!#REF!,"AAAAAHf/+PM=")</f>
        <v>#REF!</v>
      </c>
      <c r="IK6" t="e">
        <f>AND('Değerlendirme Formu'!#REF!,"AAAAAHf/+PQ=")</f>
        <v>#REF!</v>
      </c>
      <c r="IL6" t="e">
        <f>IF('Değerlendirme Formu'!#REF!,"AAAAAHf/+PU=",0)</f>
        <v>#REF!</v>
      </c>
      <c r="IM6" t="e">
        <f>AND('Değerlendirme Formu'!#REF!,"AAAAAHf/+PY=")</f>
        <v>#REF!</v>
      </c>
      <c r="IN6" t="e">
        <f>AND('Değerlendirme Formu'!#REF!,"AAAAAHf/+Pc=")</f>
        <v>#REF!</v>
      </c>
      <c r="IO6" t="e">
        <f>AND('Değerlendirme Formu'!#REF!,"AAAAAHf/+Pg=")</f>
        <v>#REF!</v>
      </c>
      <c r="IP6" t="e">
        <f>AND('Değerlendirme Formu'!#REF!,"AAAAAHf/+Pk=")</f>
        <v>#REF!</v>
      </c>
      <c r="IQ6" t="e">
        <f>AND('Değerlendirme Formu'!#REF!,"AAAAAHf/+Po=")</f>
        <v>#REF!</v>
      </c>
      <c r="IR6" t="e">
        <f>AND('Değerlendirme Formu'!#REF!,"AAAAAHf/+Ps=")</f>
        <v>#REF!</v>
      </c>
      <c r="IS6" t="e">
        <f>AND('Değerlendirme Formu'!#REF!,"AAAAAHf/+Pw=")</f>
        <v>#REF!</v>
      </c>
      <c r="IT6" t="e">
        <f>AND('Değerlendirme Formu'!#REF!,"AAAAAHf/+P0=")</f>
        <v>#REF!</v>
      </c>
      <c r="IU6" t="e">
        <f>AND('Değerlendirme Formu'!#REF!,"AAAAAHf/+P4=")</f>
        <v>#REF!</v>
      </c>
      <c r="IV6" t="e">
        <f>AND('Değerlendirme Formu'!#REF!,"AAAAAHf/+P8=")</f>
        <v>#REF!</v>
      </c>
    </row>
    <row r="7" spans="1:256" x14ac:dyDescent="0.2">
      <c r="A7" t="e">
        <f>AND('Değerlendirme Formu'!#REF!,"AAAAADvg/gA=")</f>
        <v>#REF!</v>
      </c>
      <c r="B7" t="e">
        <f>AND('Değerlendirme Formu'!#REF!,"AAAAADvg/gE=")</f>
        <v>#REF!</v>
      </c>
      <c r="C7" t="e">
        <f>AND('Değerlendirme Formu'!#REF!,"AAAAADvg/gI=")</f>
        <v>#REF!</v>
      </c>
      <c r="D7" t="e">
        <f>AND('Değerlendirme Formu'!#REF!,"AAAAADvg/gM=")</f>
        <v>#REF!</v>
      </c>
      <c r="E7" t="e">
        <f>AND('Değerlendirme Formu'!#REF!,"AAAAADvg/gQ=")</f>
        <v>#REF!</v>
      </c>
      <c r="F7" t="e">
        <f>AND('Değerlendirme Formu'!#REF!,"AAAAADvg/gU=")</f>
        <v>#REF!</v>
      </c>
      <c r="G7" t="e">
        <f>AND('Değerlendirme Formu'!#REF!,"AAAAADvg/gY=")</f>
        <v>#REF!</v>
      </c>
      <c r="H7" t="e">
        <f>IF('Değerlendirme Formu'!#REF!,"AAAAADvg/gc=",0)</f>
        <v>#REF!</v>
      </c>
      <c r="I7" t="e">
        <f>AND('Değerlendirme Formu'!#REF!,"AAAAADvg/gg=")</f>
        <v>#REF!</v>
      </c>
      <c r="J7" t="e">
        <f>AND('Değerlendirme Formu'!#REF!,"AAAAADvg/gk=")</f>
        <v>#REF!</v>
      </c>
      <c r="K7" t="e">
        <f>AND('Değerlendirme Formu'!#REF!,"AAAAADvg/go=")</f>
        <v>#REF!</v>
      </c>
      <c r="L7" t="e">
        <f>AND('Değerlendirme Formu'!#REF!,"AAAAADvg/gs=")</f>
        <v>#REF!</v>
      </c>
      <c r="M7" t="e">
        <f>AND('Değerlendirme Formu'!#REF!,"AAAAADvg/gw=")</f>
        <v>#REF!</v>
      </c>
      <c r="N7" t="e">
        <f>AND('Değerlendirme Formu'!#REF!,"AAAAADvg/g0=")</f>
        <v>#REF!</v>
      </c>
      <c r="O7" t="e">
        <f>AND('Değerlendirme Formu'!#REF!,"AAAAADvg/g4=")</f>
        <v>#REF!</v>
      </c>
      <c r="P7" t="e">
        <f>AND('Değerlendirme Formu'!#REF!,"AAAAADvg/g8=")</f>
        <v>#REF!</v>
      </c>
      <c r="Q7" t="e">
        <f>AND('Değerlendirme Formu'!#REF!,"AAAAADvg/hA=")</f>
        <v>#REF!</v>
      </c>
      <c r="R7" t="e">
        <f>AND('Değerlendirme Formu'!#REF!,"AAAAADvg/hE=")</f>
        <v>#REF!</v>
      </c>
      <c r="S7" t="e">
        <f>AND('Değerlendirme Formu'!#REF!,"AAAAADvg/hI=")</f>
        <v>#REF!</v>
      </c>
      <c r="T7" t="e">
        <f>AND('Değerlendirme Formu'!#REF!,"AAAAADvg/hM=")</f>
        <v>#REF!</v>
      </c>
      <c r="U7" t="e">
        <f>AND('Değerlendirme Formu'!#REF!,"AAAAADvg/hQ=")</f>
        <v>#REF!</v>
      </c>
      <c r="V7" t="e">
        <f>AND('Değerlendirme Formu'!#REF!,"AAAAADvg/hU=")</f>
        <v>#REF!</v>
      </c>
      <c r="W7" t="e">
        <f>AND('Değerlendirme Formu'!#REF!,"AAAAADvg/hY=")</f>
        <v>#REF!</v>
      </c>
      <c r="X7" t="e">
        <f>AND('Değerlendirme Formu'!#REF!,"AAAAADvg/hc=")</f>
        <v>#REF!</v>
      </c>
      <c r="Y7" t="e">
        <f>AND('Değerlendirme Formu'!#REF!,"AAAAADvg/hg=")</f>
        <v>#REF!</v>
      </c>
      <c r="Z7" t="e">
        <f>IF('Değerlendirme Formu'!#REF!,"AAAAADvg/hk=",0)</f>
        <v>#REF!</v>
      </c>
      <c r="AA7" t="e">
        <f>AND('Değerlendirme Formu'!#REF!,"AAAAADvg/ho=")</f>
        <v>#REF!</v>
      </c>
      <c r="AB7" t="e">
        <f>AND('Değerlendirme Formu'!#REF!,"AAAAADvg/hs=")</f>
        <v>#REF!</v>
      </c>
      <c r="AC7" t="e">
        <f>AND('Değerlendirme Formu'!#REF!,"AAAAADvg/hw=")</f>
        <v>#REF!</v>
      </c>
      <c r="AD7" t="e">
        <f>AND('Değerlendirme Formu'!#REF!,"AAAAADvg/h0=")</f>
        <v>#REF!</v>
      </c>
      <c r="AE7" t="e">
        <f>AND('Değerlendirme Formu'!#REF!,"AAAAADvg/h4=")</f>
        <v>#REF!</v>
      </c>
      <c r="AF7" t="e">
        <f>AND('Değerlendirme Formu'!#REF!,"AAAAADvg/h8=")</f>
        <v>#REF!</v>
      </c>
      <c r="AG7" t="e">
        <f>AND('Değerlendirme Formu'!#REF!,"AAAAADvg/iA=")</f>
        <v>#REF!</v>
      </c>
      <c r="AH7" t="e">
        <f>AND('Değerlendirme Formu'!#REF!,"AAAAADvg/iE=")</f>
        <v>#REF!</v>
      </c>
      <c r="AI7" t="e">
        <f>AND('Değerlendirme Formu'!#REF!,"AAAAADvg/iI=")</f>
        <v>#REF!</v>
      </c>
      <c r="AJ7" t="e">
        <f>AND('Değerlendirme Formu'!#REF!,"AAAAADvg/iM=")</f>
        <v>#REF!</v>
      </c>
      <c r="AK7" t="e">
        <f>AND('Değerlendirme Formu'!#REF!,"AAAAADvg/iQ=")</f>
        <v>#REF!</v>
      </c>
      <c r="AL7" t="e">
        <f>AND('Değerlendirme Formu'!#REF!,"AAAAADvg/iU=")</f>
        <v>#REF!</v>
      </c>
      <c r="AM7" t="e">
        <f>AND('Değerlendirme Formu'!#REF!,"AAAAADvg/iY=")</f>
        <v>#REF!</v>
      </c>
      <c r="AN7" t="e">
        <f>AND('Değerlendirme Formu'!#REF!,"AAAAADvg/ic=")</f>
        <v>#REF!</v>
      </c>
      <c r="AO7" t="e">
        <f>AND('Değerlendirme Formu'!#REF!,"AAAAADvg/ig=")</f>
        <v>#REF!</v>
      </c>
      <c r="AP7" t="e">
        <f>AND('Değerlendirme Formu'!#REF!,"AAAAADvg/ik=")</f>
        <v>#REF!</v>
      </c>
      <c r="AQ7" t="e">
        <f>AND('Değerlendirme Formu'!#REF!,"AAAAADvg/io=")</f>
        <v>#REF!</v>
      </c>
      <c r="AR7">
        <f>IF('Değerlendirme Formu'!53:53,"AAAAADvg/is=",0)</f>
        <v>0</v>
      </c>
      <c r="AS7" t="e">
        <f>AND('Değerlendirme Formu'!A53,"AAAAADvg/iw=")</f>
        <v>#VALUE!</v>
      </c>
      <c r="AT7" t="e">
        <f>AND('Değerlendirme Formu'!B53,"AAAAADvg/i0=")</f>
        <v>#VALUE!</v>
      </c>
      <c r="AU7" t="e">
        <f>AND('Değerlendirme Formu'!#REF!,"AAAAADvg/i4=")</f>
        <v>#REF!</v>
      </c>
      <c r="AV7" t="e">
        <f>AND('Değerlendirme Formu'!C53,"AAAAADvg/i8=")</f>
        <v>#VALUE!</v>
      </c>
      <c r="AW7" t="e">
        <f>AND('Değerlendirme Formu'!D53,"AAAAADvg/jA=")</f>
        <v>#VALUE!</v>
      </c>
      <c r="AX7" t="e">
        <f>AND('Değerlendirme Formu'!E53,"AAAAADvg/jE=")</f>
        <v>#VALUE!</v>
      </c>
      <c r="AY7" t="e">
        <f>AND('Değerlendirme Formu'!#REF!,"AAAAADvg/jI=")</f>
        <v>#REF!</v>
      </c>
      <c r="AZ7" t="e">
        <f>AND('Değerlendirme Formu'!#REF!,"AAAAADvg/jM=")</f>
        <v>#REF!</v>
      </c>
      <c r="BA7" t="e">
        <f>AND('Değerlendirme Formu'!F53,"AAAAADvg/jQ=")</f>
        <v>#VALUE!</v>
      </c>
      <c r="BB7" t="e">
        <f>AND('Değerlendirme Formu'!#REF!,"AAAAADvg/jU=")</f>
        <v>#REF!</v>
      </c>
      <c r="BC7" t="e">
        <f>AND('Değerlendirme Formu'!#REF!,"AAAAADvg/jY=")</f>
        <v>#REF!</v>
      </c>
      <c r="BD7" t="e">
        <f>AND('Değerlendirme Formu'!#REF!,"AAAAADvg/jc=")</f>
        <v>#REF!</v>
      </c>
      <c r="BE7" t="e">
        <f>AND('Değerlendirme Formu'!#REF!,"AAAAADvg/jg=")</f>
        <v>#REF!</v>
      </c>
      <c r="BF7" t="e">
        <f>AND('Değerlendirme Formu'!#REF!,"AAAAADvg/jk=")</f>
        <v>#REF!</v>
      </c>
      <c r="BG7" t="e">
        <f>AND('Değerlendirme Formu'!G53,"AAAAADvg/jo=")</f>
        <v>#VALUE!</v>
      </c>
      <c r="BH7" t="e">
        <f>AND('Değerlendirme Formu'!H53,"AAAAADvg/js=")</f>
        <v>#VALUE!</v>
      </c>
      <c r="BI7" t="e">
        <f>AND('Değerlendirme Formu'!I53,"AAAAADvg/jw=")</f>
        <v>#VALUE!</v>
      </c>
      <c r="BJ7" t="e">
        <f>IF('Değerlendirme Formu'!#REF!,"AAAAADvg/j0=",0)</f>
        <v>#REF!</v>
      </c>
      <c r="BK7" t="e">
        <f>AND('Değerlendirme Formu'!#REF!,"AAAAADvg/j4=")</f>
        <v>#REF!</v>
      </c>
      <c r="BL7" t="e">
        <f>AND('Değerlendirme Formu'!#REF!,"AAAAADvg/j8=")</f>
        <v>#REF!</v>
      </c>
      <c r="BM7" t="e">
        <f>AND('Değerlendirme Formu'!#REF!,"AAAAADvg/kA=")</f>
        <v>#REF!</v>
      </c>
      <c r="BN7" t="e">
        <f>AND('Değerlendirme Formu'!#REF!,"AAAAADvg/kE=")</f>
        <v>#REF!</v>
      </c>
      <c r="BO7" t="e">
        <f>AND('Değerlendirme Formu'!#REF!,"AAAAADvg/kI=")</f>
        <v>#REF!</v>
      </c>
      <c r="BP7" t="e">
        <f>AND('Değerlendirme Formu'!#REF!,"AAAAADvg/kM=")</f>
        <v>#REF!</v>
      </c>
      <c r="BQ7" t="e">
        <f>AND('Değerlendirme Formu'!#REF!,"AAAAADvg/kQ=")</f>
        <v>#REF!</v>
      </c>
      <c r="BR7" t="e">
        <f>AND('Değerlendirme Formu'!#REF!,"AAAAADvg/kU=")</f>
        <v>#REF!</v>
      </c>
      <c r="BS7" t="e">
        <f>AND('Değerlendirme Formu'!#REF!,"AAAAADvg/kY=")</f>
        <v>#REF!</v>
      </c>
      <c r="BT7" t="e">
        <f>AND('Değerlendirme Formu'!#REF!,"AAAAADvg/kc=")</f>
        <v>#REF!</v>
      </c>
      <c r="BU7" t="e">
        <f>AND('Değerlendirme Formu'!#REF!,"AAAAADvg/kg=")</f>
        <v>#REF!</v>
      </c>
      <c r="BV7" t="e">
        <f>AND('Değerlendirme Formu'!#REF!,"AAAAADvg/kk=")</f>
        <v>#REF!</v>
      </c>
      <c r="BW7" t="e">
        <f>AND('Değerlendirme Formu'!#REF!,"AAAAADvg/ko=")</f>
        <v>#REF!</v>
      </c>
      <c r="BX7" t="e">
        <f>AND('Değerlendirme Formu'!#REF!,"AAAAADvg/ks=")</f>
        <v>#REF!</v>
      </c>
      <c r="BY7" t="e">
        <f>AND('Değerlendirme Formu'!#REF!,"AAAAADvg/kw=")</f>
        <v>#REF!</v>
      </c>
      <c r="BZ7" t="e">
        <f>AND('Değerlendirme Formu'!#REF!,"AAAAADvg/k0=")</f>
        <v>#REF!</v>
      </c>
      <c r="CA7" t="e">
        <f>AND('Değerlendirme Formu'!#REF!,"AAAAADvg/k4=")</f>
        <v>#REF!</v>
      </c>
      <c r="CB7" t="e">
        <f>IF('Değerlendirme Formu'!#REF!,"AAAAADvg/k8=",0)</f>
        <v>#REF!</v>
      </c>
      <c r="CC7" t="e">
        <f>AND('Değerlendirme Formu'!#REF!,"AAAAADvg/lA=")</f>
        <v>#REF!</v>
      </c>
      <c r="CD7" t="e">
        <f>AND('Değerlendirme Formu'!#REF!,"AAAAADvg/lE=")</f>
        <v>#REF!</v>
      </c>
      <c r="CE7" t="e">
        <f>AND('Değerlendirme Formu'!#REF!,"AAAAADvg/lI=")</f>
        <v>#REF!</v>
      </c>
      <c r="CF7" t="e">
        <f>AND('Değerlendirme Formu'!#REF!,"AAAAADvg/lM=")</f>
        <v>#REF!</v>
      </c>
      <c r="CG7" t="e">
        <f>AND('Değerlendirme Formu'!#REF!,"AAAAADvg/lQ=")</f>
        <v>#REF!</v>
      </c>
      <c r="CH7" t="e">
        <f>AND('Değerlendirme Formu'!#REF!,"AAAAADvg/lU=")</f>
        <v>#REF!</v>
      </c>
      <c r="CI7" t="e">
        <f>AND('Değerlendirme Formu'!#REF!,"AAAAADvg/lY=")</f>
        <v>#REF!</v>
      </c>
      <c r="CJ7" t="e">
        <f>AND('Değerlendirme Formu'!#REF!,"AAAAADvg/lc=")</f>
        <v>#REF!</v>
      </c>
      <c r="CK7" t="e">
        <f>AND('Değerlendirme Formu'!#REF!,"AAAAADvg/lg=")</f>
        <v>#REF!</v>
      </c>
      <c r="CL7" t="e">
        <f>AND('Değerlendirme Formu'!#REF!,"AAAAADvg/lk=")</f>
        <v>#REF!</v>
      </c>
      <c r="CM7" t="e">
        <f>AND('Değerlendirme Formu'!#REF!,"AAAAADvg/lo=")</f>
        <v>#REF!</v>
      </c>
      <c r="CN7" t="e">
        <f>AND('Değerlendirme Formu'!#REF!,"AAAAADvg/ls=")</f>
        <v>#REF!</v>
      </c>
      <c r="CO7" t="e">
        <f>AND('Değerlendirme Formu'!#REF!,"AAAAADvg/lw=")</f>
        <v>#REF!</v>
      </c>
      <c r="CP7" t="e">
        <f>AND('Değerlendirme Formu'!#REF!,"AAAAADvg/l0=")</f>
        <v>#REF!</v>
      </c>
      <c r="CQ7" t="e">
        <f>AND('Değerlendirme Formu'!#REF!,"AAAAADvg/l4=")</f>
        <v>#REF!</v>
      </c>
      <c r="CR7" t="e">
        <f>AND('Değerlendirme Formu'!#REF!,"AAAAADvg/l8=")</f>
        <v>#REF!</v>
      </c>
      <c r="CS7" t="e">
        <f>AND('Değerlendirme Formu'!#REF!,"AAAAADvg/mA=")</f>
        <v>#REF!</v>
      </c>
      <c r="CT7">
        <f>IF('Değerlendirme Formu'!54:54,"AAAAADvg/mE=",0)</f>
        <v>0</v>
      </c>
      <c r="CU7" t="b">
        <f>AND('Değerlendirme Formu'!A54,"AAAAADvg/mI=")</f>
        <v>1</v>
      </c>
      <c r="CV7" t="e">
        <f>AND('Değerlendirme Formu'!B54,"AAAAADvg/mM=")</f>
        <v>#VALUE!</v>
      </c>
      <c r="CW7" t="e">
        <f>AND('Değerlendirme Formu'!#REF!,"AAAAADvg/mQ=")</f>
        <v>#REF!</v>
      </c>
      <c r="CX7" t="e">
        <f>AND('Değerlendirme Formu'!C54,"AAAAADvg/mU=")</f>
        <v>#VALUE!</v>
      </c>
      <c r="CY7" t="b">
        <f>AND('Değerlendirme Formu'!D54,"AAAAADvg/mY=")</f>
        <v>1</v>
      </c>
      <c r="CZ7" t="b">
        <f>AND('Değerlendirme Formu'!E54,"AAAAADvg/mc=")</f>
        <v>0</v>
      </c>
      <c r="DA7" t="e">
        <f>AND('Değerlendirme Formu'!#REF!,"AAAAADvg/mg=")</f>
        <v>#REF!</v>
      </c>
      <c r="DB7" t="e">
        <f>AND('Değerlendirme Formu'!#REF!,"AAAAADvg/mk=")</f>
        <v>#REF!</v>
      </c>
      <c r="DC7" t="e">
        <f>AND('Değerlendirme Formu'!F54,"AAAAADvg/mo=")</f>
        <v>#VALUE!</v>
      </c>
      <c r="DD7" t="e">
        <f>AND('Değerlendirme Formu'!#REF!,"AAAAADvg/ms=")</f>
        <v>#REF!</v>
      </c>
      <c r="DE7" t="e">
        <f>AND('Değerlendirme Formu'!#REF!,"AAAAADvg/mw=")</f>
        <v>#REF!</v>
      </c>
      <c r="DF7" t="e">
        <f>AND('Değerlendirme Formu'!#REF!,"AAAAADvg/m0=")</f>
        <v>#REF!</v>
      </c>
      <c r="DG7" t="e">
        <f>AND('Değerlendirme Formu'!#REF!,"AAAAADvg/m4=")</f>
        <v>#REF!</v>
      </c>
      <c r="DH7" t="e">
        <f>AND('Değerlendirme Formu'!#REF!,"AAAAADvg/m8=")</f>
        <v>#REF!</v>
      </c>
      <c r="DI7" t="e">
        <f>AND('Değerlendirme Formu'!G54,"AAAAADvg/nA=")</f>
        <v>#VALUE!</v>
      </c>
      <c r="DJ7" t="e">
        <f>AND('Değerlendirme Formu'!H54,"AAAAADvg/nE=")</f>
        <v>#VALUE!</v>
      </c>
      <c r="DK7" t="e">
        <f>AND('Değerlendirme Formu'!I54,"AAAAADvg/nI=")</f>
        <v>#VALUE!</v>
      </c>
      <c r="DL7" t="e">
        <f>IF('Değerlendirme Formu'!#REF!,"AAAAADvg/nM=",0)</f>
        <v>#REF!</v>
      </c>
      <c r="DM7" t="e">
        <f>AND('Değerlendirme Formu'!#REF!,"AAAAADvg/nQ=")</f>
        <v>#REF!</v>
      </c>
      <c r="DN7" t="e">
        <f>AND('Değerlendirme Formu'!#REF!,"AAAAADvg/nU=")</f>
        <v>#REF!</v>
      </c>
      <c r="DO7" t="e">
        <f>AND('Değerlendirme Formu'!#REF!,"AAAAADvg/nY=")</f>
        <v>#REF!</v>
      </c>
      <c r="DP7" t="e">
        <f>AND('Değerlendirme Formu'!#REF!,"AAAAADvg/nc=")</f>
        <v>#REF!</v>
      </c>
      <c r="DQ7" t="e">
        <f>AND('Değerlendirme Formu'!#REF!,"AAAAADvg/ng=")</f>
        <v>#REF!</v>
      </c>
      <c r="DR7" t="e">
        <f>AND('Değerlendirme Formu'!#REF!,"AAAAADvg/nk=")</f>
        <v>#REF!</v>
      </c>
      <c r="DS7" t="e">
        <f>AND('Değerlendirme Formu'!#REF!,"AAAAADvg/no=")</f>
        <v>#REF!</v>
      </c>
      <c r="DT7" t="e">
        <f>AND('Değerlendirme Formu'!#REF!,"AAAAADvg/ns=")</f>
        <v>#REF!</v>
      </c>
      <c r="DU7" t="e">
        <f>AND('Değerlendirme Formu'!#REF!,"AAAAADvg/nw=")</f>
        <v>#REF!</v>
      </c>
      <c r="DV7" t="e">
        <f>AND('Değerlendirme Formu'!#REF!,"AAAAADvg/n0=")</f>
        <v>#REF!</v>
      </c>
      <c r="DW7" t="e">
        <f>AND('Değerlendirme Formu'!#REF!,"AAAAADvg/n4=")</f>
        <v>#REF!</v>
      </c>
      <c r="DX7" t="e">
        <f>AND('Değerlendirme Formu'!#REF!,"AAAAADvg/n8=")</f>
        <v>#REF!</v>
      </c>
      <c r="DY7" t="e">
        <f>AND('Değerlendirme Formu'!#REF!,"AAAAADvg/oA=")</f>
        <v>#REF!</v>
      </c>
      <c r="DZ7" t="e">
        <f>AND('Değerlendirme Formu'!#REF!,"AAAAADvg/oE=")</f>
        <v>#REF!</v>
      </c>
      <c r="EA7" t="e">
        <f>AND('Değerlendirme Formu'!#REF!,"AAAAADvg/oI=")</f>
        <v>#REF!</v>
      </c>
      <c r="EB7" t="e">
        <f>AND('Değerlendirme Formu'!#REF!,"AAAAADvg/oM=")</f>
        <v>#REF!</v>
      </c>
      <c r="EC7" t="e">
        <f>AND('Değerlendirme Formu'!#REF!,"AAAAADvg/oQ=")</f>
        <v>#REF!</v>
      </c>
      <c r="ED7" t="e">
        <f>IF('Değerlendirme Formu'!#REF!,"AAAAADvg/oU=",0)</f>
        <v>#REF!</v>
      </c>
      <c r="EE7" t="e">
        <f>AND('Değerlendirme Formu'!#REF!,"AAAAADvg/oY=")</f>
        <v>#REF!</v>
      </c>
      <c r="EF7" t="e">
        <f>AND('Değerlendirme Formu'!#REF!,"AAAAADvg/oc=")</f>
        <v>#REF!</v>
      </c>
      <c r="EG7" t="e">
        <f>AND('Değerlendirme Formu'!#REF!,"AAAAADvg/og=")</f>
        <v>#REF!</v>
      </c>
      <c r="EH7" t="e">
        <f>AND('Değerlendirme Formu'!#REF!,"AAAAADvg/ok=")</f>
        <v>#REF!</v>
      </c>
      <c r="EI7" t="e">
        <f>AND('Değerlendirme Formu'!#REF!,"AAAAADvg/oo=")</f>
        <v>#REF!</v>
      </c>
      <c r="EJ7" t="e">
        <f>AND('Değerlendirme Formu'!#REF!,"AAAAADvg/os=")</f>
        <v>#REF!</v>
      </c>
      <c r="EK7" t="e">
        <f>AND('Değerlendirme Formu'!#REF!,"AAAAADvg/ow=")</f>
        <v>#REF!</v>
      </c>
      <c r="EL7" t="e">
        <f>AND('Değerlendirme Formu'!#REF!,"AAAAADvg/o0=")</f>
        <v>#REF!</v>
      </c>
      <c r="EM7" t="e">
        <f>AND('Değerlendirme Formu'!#REF!,"AAAAADvg/o4=")</f>
        <v>#REF!</v>
      </c>
      <c r="EN7" t="e">
        <f>AND('Değerlendirme Formu'!#REF!,"AAAAADvg/o8=")</f>
        <v>#REF!</v>
      </c>
      <c r="EO7" t="e">
        <f>AND('Değerlendirme Formu'!#REF!,"AAAAADvg/pA=")</f>
        <v>#REF!</v>
      </c>
      <c r="EP7" t="e">
        <f>AND('Değerlendirme Formu'!#REF!,"AAAAADvg/pE=")</f>
        <v>#REF!</v>
      </c>
      <c r="EQ7" t="e">
        <f>AND('Değerlendirme Formu'!#REF!,"AAAAADvg/pI=")</f>
        <v>#REF!</v>
      </c>
      <c r="ER7" t="e">
        <f>AND('Değerlendirme Formu'!#REF!,"AAAAADvg/pM=")</f>
        <v>#REF!</v>
      </c>
      <c r="ES7" t="e">
        <f>AND('Değerlendirme Formu'!#REF!,"AAAAADvg/pQ=")</f>
        <v>#REF!</v>
      </c>
      <c r="ET7" t="e">
        <f>AND('Değerlendirme Formu'!#REF!,"AAAAADvg/pU=")</f>
        <v>#REF!</v>
      </c>
      <c r="EU7" t="e">
        <f>AND('Değerlendirme Formu'!#REF!,"AAAAADvg/pY=")</f>
        <v>#REF!</v>
      </c>
      <c r="EV7">
        <f>IF('Değerlendirme Formu'!55:55,"AAAAADvg/pc=",0)</f>
        <v>0</v>
      </c>
      <c r="EW7" t="b">
        <f>AND('Değerlendirme Formu'!A55,"AAAAADvg/pg=")</f>
        <v>1</v>
      </c>
      <c r="EX7" t="e">
        <f>AND('Değerlendirme Formu'!B55,"AAAAADvg/pk=")</f>
        <v>#VALUE!</v>
      </c>
      <c r="EY7" t="e">
        <f>AND('Değerlendirme Formu'!#REF!,"AAAAADvg/po=")</f>
        <v>#REF!</v>
      </c>
      <c r="EZ7" t="e">
        <f>AND('Değerlendirme Formu'!C55,"AAAAADvg/ps=")</f>
        <v>#VALUE!</v>
      </c>
      <c r="FA7" t="b">
        <f>AND('Değerlendirme Formu'!D55,"AAAAADvg/pw=")</f>
        <v>1</v>
      </c>
      <c r="FB7" t="b">
        <f>AND('Değerlendirme Formu'!E55,"AAAAADvg/p0=")</f>
        <v>0</v>
      </c>
      <c r="FC7" t="e">
        <f>AND('Değerlendirme Formu'!#REF!,"AAAAADvg/p4=")</f>
        <v>#REF!</v>
      </c>
      <c r="FD7" t="e">
        <f>AND('Değerlendirme Formu'!#REF!,"AAAAADvg/p8=")</f>
        <v>#REF!</v>
      </c>
      <c r="FE7" t="e">
        <f>AND('Değerlendirme Formu'!F55,"AAAAADvg/qA=")</f>
        <v>#VALUE!</v>
      </c>
      <c r="FF7" t="e">
        <f>AND('Değerlendirme Formu'!#REF!,"AAAAADvg/qE=")</f>
        <v>#REF!</v>
      </c>
      <c r="FG7" t="e">
        <f>AND('Değerlendirme Formu'!#REF!,"AAAAADvg/qI=")</f>
        <v>#REF!</v>
      </c>
      <c r="FH7" t="e">
        <f>AND('Değerlendirme Formu'!#REF!,"AAAAADvg/qM=")</f>
        <v>#REF!</v>
      </c>
      <c r="FI7" t="e">
        <f>AND('Değerlendirme Formu'!#REF!,"AAAAADvg/qQ=")</f>
        <v>#REF!</v>
      </c>
      <c r="FJ7" t="e">
        <f>AND('Değerlendirme Formu'!#REF!,"AAAAADvg/qU=")</f>
        <v>#REF!</v>
      </c>
      <c r="FK7" t="e">
        <f>AND('Değerlendirme Formu'!G55,"AAAAADvg/qY=")</f>
        <v>#VALUE!</v>
      </c>
      <c r="FL7" t="e">
        <f>AND('Değerlendirme Formu'!H55,"AAAAADvg/qc=")</f>
        <v>#VALUE!</v>
      </c>
      <c r="FM7" t="e">
        <f>AND('Değerlendirme Formu'!I55,"AAAAADvg/qg=")</f>
        <v>#VALUE!</v>
      </c>
      <c r="FN7" t="e">
        <f>IF('Değerlendirme Formu'!#REF!,"AAAAADvg/qk=",0)</f>
        <v>#REF!</v>
      </c>
      <c r="FO7" t="e">
        <f>AND('Değerlendirme Formu'!#REF!,"AAAAADvg/qo=")</f>
        <v>#REF!</v>
      </c>
      <c r="FP7" t="e">
        <f>AND('Değerlendirme Formu'!#REF!,"AAAAADvg/qs=")</f>
        <v>#REF!</v>
      </c>
      <c r="FQ7" t="e">
        <f>AND('Değerlendirme Formu'!#REF!,"AAAAADvg/qw=")</f>
        <v>#REF!</v>
      </c>
      <c r="FR7" t="e">
        <f>AND('Değerlendirme Formu'!#REF!,"AAAAADvg/q0=")</f>
        <v>#REF!</v>
      </c>
      <c r="FS7" t="e">
        <f>AND('Değerlendirme Formu'!#REF!,"AAAAADvg/q4=")</f>
        <v>#REF!</v>
      </c>
      <c r="FT7" t="e">
        <f>AND('Değerlendirme Formu'!#REF!,"AAAAADvg/q8=")</f>
        <v>#REF!</v>
      </c>
      <c r="FU7" t="e">
        <f>AND('Değerlendirme Formu'!#REF!,"AAAAADvg/rA=")</f>
        <v>#REF!</v>
      </c>
      <c r="FV7" t="e">
        <f>AND('Değerlendirme Formu'!#REF!,"AAAAADvg/rE=")</f>
        <v>#REF!</v>
      </c>
      <c r="FW7" t="e">
        <f>AND('Değerlendirme Formu'!#REF!,"AAAAADvg/rI=")</f>
        <v>#REF!</v>
      </c>
      <c r="FX7" t="e">
        <f>AND('Değerlendirme Formu'!#REF!,"AAAAADvg/rM=")</f>
        <v>#REF!</v>
      </c>
      <c r="FY7" t="e">
        <f>AND('Değerlendirme Formu'!#REF!,"AAAAADvg/rQ=")</f>
        <v>#REF!</v>
      </c>
      <c r="FZ7" t="e">
        <f>AND('Değerlendirme Formu'!#REF!,"AAAAADvg/rU=")</f>
        <v>#REF!</v>
      </c>
      <c r="GA7" t="e">
        <f>AND('Değerlendirme Formu'!#REF!,"AAAAADvg/rY=")</f>
        <v>#REF!</v>
      </c>
      <c r="GB7" t="e">
        <f>AND('Değerlendirme Formu'!#REF!,"AAAAADvg/rc=")</f>
        <v>#REF!</v>
      </c>
      <c r="GC7" t="e">
        <f>AND('Değerlendirme Formu'!#REF!,"AAAAADvg/rg=")</f>
        <v>#REF!</v>
      </c>
      <c r="GD7" t="e">
        <f>AND('Değerlendirme Formu'!#REF!,"AAAAADvg/rk=")</f>
        <v>#REF!</v>
      </c>
      <c r="GE7" t="e">
        <f>AND('Değerlendirme Formu'!#REF!,"AAAAADvg/ro=")</f>
        <v>#REF!</v>
      </c>
      <c r="GF7" t="e">
        <f>IF('Değerlendirme Formu'!#REF!,"AAAAADvg/rs=",0)</f>
        <v>#REF!</v>
      </c>
      <c r="GG7" t="e">
        <f>AND('Değerlendirme Formu'!#REF!,"AAAAADvg/rw=")</f>
        <v>#REF!</v>
      </c>
      <c r="GH7" t="e">
        <f>AND('Değerlendirme Formu'!#REF!,"AAAAADvg/r0=")</f>
        <v>#REF!</v>
      </c>
      <c r="GI7" t="e">
        <f>AND('Değerlendirme Formu'!#REF!,"AAAAADvg/r4=")</f>
        <v>#REF!</v>
      </c>
      <c r="GJ7" t="e">
        <f>AND('Değerlendirme Formu'!#REF!,"AAAAADvg/r8=")</f>
        <v>#REF!</v>
      </c>
      <c r="GK7" t="e">
        <f>AND('Değerlendirme Formu'!#REF!,"AAAAADvg/sA=")</f>
        <v>#REF!</v>
      </c>
      <c r="GL7" t="e">
        <f>AND('Değerlendirme Formu'!#REF!,"AAAAADvg/sE=")</f>
        <v>#REF!</v>
      </c>
      <c r="GM7" t="e">
        <f>AND('Değerlendirme Formu'!#REF!,"AAAAADvg/sI=")</f>
        <v>#REF!</v>
      </c>
      <c r="GN7" t="e">
        <f>AND('Değerlendirme Formu'!#REF!,"AAAAADvg/sM=")</f>
        <v>#REF!</v>
      </c>
      <c r="GO7" t="e">
        <f>AND('Değerlendirme Formu'!#REF!,"AAAAADvg/sQ=")</f>
        <v>#REF!</v>
      </c>
      <c r="GP7" t="e">
        <f>AND('Değerlendirme Formu'!#REF!,"AAAAADvg/sU=")</f>
        <v>#REF!</v>
      </c>
      <c r="GQ7" t="e">
        <f>AND('Değerlendirme Formu'!#REF!,"AAAAADvg/sY=")</f>
        <v>#REF!</v>
      </c>
      <c r="GR7" t="e">
        <f>AND('Değerlendirme Formu'!#REF!,"AAAAADvg/sc=")</f>
        <v>#REF!</v>
      </c>
      <c r="GS7" t="e">
        <f>AND('Değerlendirme Formu'!#REF!,"AAAAADvg/sg=")</f>
        <v>#REF!</v>
      </c>
      <c r="GT7" t="e">
        <f>AND('Değerlendirme Formu'!#REF!,"AAAAADvg/sk=")</f>
        <v>#REF!</v>
      </c>
      <c r="GU7" t="e">
        <f>AND('Değerlendirme Formu'!#REF!,"AAAAADvg/so=")</f>
        <v>#REF!</v>
      </c>
      <c r="GV7" t="e">
        <f>AND('Değerlendirme Formu'!#REF!,"AAAAADvg/ss=")</f>
        <v>#REF!</v>
      </c>
      <c r="GW7" t="e">
        <f>AND('Değerlendirme Formu'!#REF!,"AAAAADvg/sw=")</f>
        <v>#REF!</v>
      </c>
      <c r="GX7" t="e">
        <f>IF('Değerlendirme Formu'!#REF!,"AAAAADvg/s0=",0)</f>
        <v>#REF!</v>
      </c>
      <c r="GY7" t="e">
        <f>AND('Değerlendirme Formu'!#REF!,"AAAAADvg/s4=")</f>
        <v>#REF!</v>
      </c>
      <c r="GZ7" t="e">
        <f>AND('Değerlendirme Formu'!#REF!,"AAAAADvg/s8=")</f>
        <v>#REF!</v>
      </c>
      <c r="HA7" t="e">
        <f>AND('Değerlendirme Formu'!#REF!,"AAAAADvg/tA=")</f>
        <v>#REF!</v>
      </c>
      <c r="HB7" t="e">
        <f>AND('Değerlendirme Formu'!#REF!,"AAAAADvg/tE=")</f>
        <v>#REF!</v>
      </c>
      <c r="HC7" t="e">
        <f>AND('Değerlendirme Formu'!#REF!,"AAAAADvg/tI=")</f>
        <v>#REF!</v>
      </c>
      <c r="HD7" t="e">
        <f>AND('Değerlendirme Formu'!#REF!,"AAAAADvg/tM=")</f>
        <v>#REF!</v>
      </c>
      <c r="HE7" t="e">
        <f>AND('Değerlendirme Formu'!#REF!,"AAAAADvg/tQ=")</f>
        <v>#REF!</v>
      </c>
      <c r="HF7" t="e">
        <f>AND('Değerlendirme Formu'!#REF!,"AAAAADvg/tU=")</f>
        <v>#REF!</v>
      </c>
      <c r="HG7" t="e">
        <f>AND('Değerlendirme Formu'!#REF!,"AAAAADvg/tY=")</f>
        <v>#REF!</v>
      </c>
      <c r="HH7" t="e">
        <f>AND('Değerlendirme Formu'!#REF!,"AAAAADvg/tc=")</f>
        <v>#REF!</v>
      </c>
      <c r="HI7" t="e">
        <f>AND('Değerlendirme Formu'!#REF!,"AAAAADvg/tg=")</f>
        <v>#REF!</v>
      </c>
      <c r="HJ7" t="e">
        <f>AND('Değerlendirme Formu'!#REF!,"AAAAADvg/tk=")</f>
        <v>#REF!</v>
      </c>
      <c r="HK7" t="e">
        <f>AND('Değerlendirme Formu'!#REF!,"AAAAADvg/to=")</f>
        <v>#REF!</v>
      </c>
      <c r="HL7" t="e">
        <f>AND('Değerlendirme Formu'!#REF!,"AAAAADvg/ts=")</f>
        <v>#REF!</v>
      </c>
      <c r="HM7" t="e">
        <f>AND('Değerlendirme Formu'!#REF!,"AAAAADvg/tw=")</f>
        <v>#REF!</v>
      </c>
      <c r="HN7" t="e">
        <f>AND('Değerlendirme Formu'!#REF!,"AAAAADvg/t0=")</f>
        <v>#REF!</v>
      </c>
      <c r="HO7" t="e">
        <f>AND('Değerlendirme Formu'!#REF!,"AAAAADvg/t4=")</f>
        <v>#REF!</v>
      </c>
      <c r="HP7" t="e">
        <f>IF('Değerlendirme Formu'!#REF!,"AAAAADvg/t8=",0)</f>
        <v>#REF!</v>
      </c>
      <c r="HQ7" t="e">
        <f>AND('Değerlendirme Formu'!#REF!,"AAAAADvg/uA=")</f>
        <v>#REF!</v>
      </c>
      <c r="HR7" t="e">
        <f>AND('Değerlendirme Formu'!#REF!,"AAAAADvg/uE=")</f>
        <v>#REF!</v>
      </c>
      <c r="HS7" t="e">
        <f>AND('Değerlendirme Formu'!#REF!,"AAAAADvg/uI=")</f>
        <v>#REF!</v>
      </c>
      <c r="HT7" t="e">
        <f>AND('Değerlendirme Formu'!#REF!,"AAAAADvg/uM=")</f>
        <v>#REF!</v>
      </c>
      <c r="HU7" t="e">
        <f>AND('Değerlendirme Formu'!#REF!,"AAAAADvg/uQ=")</f>
        <v>#REF!</v>
      </c>
      <c r="HV7" t="e">
        <f>AND('Değerlendirme Formu'!#REF!,"AAAAADvg/uU=")</f>
        <v>#REF!</v>
      </c>
      <c r="HW7" t="e">
        <f>AND('Değerlendirme Formu'!#REF!,"AAAAADvg/uY=")</f>
        <v>#REF!</v>
      </c>
      <c r="HX7" t="e">
        <f>AND('Değerlendirme Formu'!#REF!,"AAAAADvg/uc=")</f>
        <v>#REF!</v>
      </c>
      <c r="HY7" t="e">
        <f>AND('Değerlendirme Formu'!#REF!,"AAAAADvg/ug=")</f>
        <v>#REF!</v>
      </c>
      <c r="HZ7" t="e">
        <f>AND('Değerlendirme Formu'!#REF!,"AAAAADvg/uk=")</f>
        <v>#REF!</v>
      </c>
      <c r="IA7" t="e">
        <f>AND('Değerlendirme Formu'!#REF!,"AAAAADvg/uo=")</f>
        <v>#REF!</v>
      </c>
      <c r="IB7" t="e">
        <f>AND('Değerlendirme Formu'!#REF!,"AAAAADvg/us=")</f>
        <v>#REF!</v>
      </c>
      <c r="IC7" t="e">
        <f>AND('Değerlendirme Formu'!#REF!,"AAAAADvg/uw=")</f>
        <v>#REF!</v>
      </c>
      <c r="ID7" t="e">
        <f>AND('Değerlendirme Formu'!#REF!,"AAAAADvg/u0=")</f>
        <v>#REF!</v>
      </c>
      <c r="IE7" t="e">
        <f>AND('Değerlendirme Formu'!#REF!,"AAAAADvg/u4=")</f>
        <v>#REF!</v>
      </c>
      <c r="IF7" t="e">
        <f>AND('Değerlendirme Formu'!#REF!,"AAAAADvg/u8=")</f>
        <v>#REF!</v>
      </c>
      <c r="IG7" t="e">
        <f>AND('Değerlendirme Formu'!#REF!,"AAAAADvg/vA=")</f>
        <v>#REF!</v>
      </c>
      <c r="IH7" t="e">
        <f>IF('Değerlendirme Formu'!#REF!,"AAAAADvg/vE=",0)</f>
        <v>#REF!</v>
      </c>
      <c r="II7" t="e">
        <f>AND('Değerlendirme Formu'!#REF!,"AAAAADvg/vI=")</f>
        <v>#REF!</v>
      </c>
      <c r="IJ7" t="e">
        <f>AND('Değerlendirme Formu'!#REF!,"AAAAADvg/vM=")</f>
        <v>#REF!</v>
      </c>
      <c r="IK7" t="e">
        <f>AND('Değerlendirme Formu'!#REF!,"AAAAADvg/vQ=")</f>
        <v>#REF!</v>
      </c>
      <c r="IL7" t="e">
        <f>AND('Değerlendirme Formu'!#REF!,"AAAAADvg/vU=")</f>
        <v>#REF!</v>
      </c>
      <c r="IM7" t="e">
        <f>AND('Değerlendirme Formu'!#REF!,"AAAAADvg/vY=")</f>
        <v>#REF!</v>
      </c>
      <c r="IN7" t="e">
        <f>AND('Değerlendirme Formu'!#REF!,"AAAAADvg/vc=")</f>
        <v>#REF!</v>
      </c>
      <c r="IO7" t="e">
        <f>AND('Değerlendirme Formu'!#REF!,"AAAAADvg/vg=")</f>
        <v>#REF!</v>
      </c>
      <c r="IP7" t="e">
        <f>AND('Değerlendirme Formu'!#REF!,"AAAAADvg/vk=")</f>
        <v>#REF!</v>
      </c>
      <c r="IQ7" t="e">
        <f>AND('Değerlendirme Formu'!#REF!,"AAAAADvg/vo=")</f>
        <v>#REF!</v>
      </c>
      <c r="IR7" t="e">
        <f>AND('Değerlendirme Formu'!#REF!,"AAAAADvg/vs=")</f>
        <v>#REF!</v>
      </c>
      <c r="IS7" t="e">
        <f>AND('Değerlendirme Formu'!#REF!,"AAAAADvg/vw=")</f>
        <v>#REF!</v>
      </c>
      <c r="IT7" t="e">
        <f>AND('Değerlendirme Formu'!#REF!,"AAAAADvg/v0=")</f>
        <v>#REF!</v>
      </c>
      <c r="IU7" t="e">
        <f>AND('Değerlendirme Formu'!#REF!,"AAAAADvg/v4=")</f>
        <v>#REF!</v>
      </c>
      <c r="IV7" t="e">
        <f>AND('Değerlendirme Formu'!#REF!,"AAAAADvg/v8=")</f>
        <v>#REF!</v>
      </c>
    </row>
    <row r="8" spans="1:256" x14ac:dyDescent="0.2">
      <c r="A8" t="e">
        <f>AND('Değerlendirme Formu'!#REF!,"AAAAAH037gA=")</f>
        <v>#REF!</v>
      </c>
      <c r="B8" t="e">
        <f>AND('Değerlendirme Formu'!#REF!,"AAAAAH037gE=")</f>
        <v>#REF!</v>
      </c>
      <c r="C8" t="e">
        <f>AND('Değerlendirme Formu'!#REF!,"AAAAAH037gI=")</f>
        <v>#REF!</v>
      </c>
      <c r="D8" t="e">
        <f>IF('Değerlendirme Formu'!#REF!,"AAAAAH037gM=",0)</f>
        <v>#REF!</v>
      </c>
      <c r="E8" t="e">
        <f>AND('Değerlendirme Formu'!#REF!,"AAAAAH037gQ=")</f>
        <v>#REF!</v>
      </c>
      <c r="F8" t="e">
        <f>AND('Değerlendirme Formu'!#REF!,"AAAAAH037gU=")</f>
        <v>#REF!</v>
      </c>
      <c r="G8" t="e">
        <f>AND('Değerlendirme Formu'!#REF!,"AAAAAH037gY=")</f>
        <v>#REF!</v>
      </c>
      <c r="H8" t="e">
        <f>AND('Değerlendirme Formu'!#REF!,"AAAAAH037gc=")</f>
        <v>#REF!</v>
      </c>
      <c r="I8" t="e">
        <f>AND('Değerlendirme Formu'!#REF!,"AAAAAH037gg=")</f>
        <v>#REF!</v>
      </c>
      <c r="J8" t="e">
        <f>AND('Değerlendirme Formu'!#REF!,"AAAAAH037gk=")</f>
        <v>#REF!</v>
      </c>
      <c r="K8" t="e">
        <f>AND('Değerlendirme Formu'!#REF!,"AAAAAH037go=")</f>
        <v>#REF!</v>
      </c>
      <c r="L8" t="e">
        <f>AND('Değerlendirme Formu'!#REF!,"AAAAAH037gs=")</f>
        <v>#REF!</v>
      </c>
      <c r="M8" t="e">
        <f>AND('Değerlendirme Formu'!#REF!,"AAAAAH037gw=")</f>
        <v>#REF!</v>
      </c>
      <c r="N8" t="e">
        <f>AND('Değerlendirme Formu'!#REF!,"AAAAAH037g0=")</f>
        <v>#REF!</v>
      </c>
      <c r="O8" t="e">
        <f>AND('Değerlendirme Formu'!#REF!,"AAAAAH037g4=")</f>
        <v>#REF!</v>
      </c>
      <c r="P8" t="e">
        <f>AND('Değerlendirme Formu'!#REF!,"AAAAAH037g8=")</f>
        <v>#REF!</v>
      </c>
      <c r="Q8" t="e">
        <f>AND('Değerlendirme Formu'!#REF!,"AAAAAH037hA=")</f>
        <v>#REF!</v>
      </c>
      <c r="R8" t="e">
        <f>AND('Değerlendirme Formu'!#REF!,"AAAAAH037hE=")</f>
        <v>#REF!</v>
      </c>
      <c r="S8" t="e">
        <f>AND('Değerlendirme Formu'!#REF!,"AAAAAH037hI=")</f>
        <v>#REF!</v>
      </c>
      <c r="T8" t="e">
        <f>AND('Değerlendirme Formu'!#REF!,"AAAAAH037hM=")</f>
        <v>#REF!</v>
      </c>
      <c r="U8" t="e">
        <f>AND('Değerlendirme Formu'!#REF!,"AAAAAH037hQ=")</f>
        <v>#REF!</v>
      </c>
      <c r="V8" t="e">
        <f>IF('Değerlendirme Formu'!#REF!,"AAAAAH037hU=",0)</f>
        <v>#REF!</v>
      </c>
      <c r="W8" t="e">
        <f>AND('Değerlendirme Formu'!#REF!,"AAAAAH037hY=")</f>
        <v>#REF!</v>
      </c>
      <c r="X8" t="e">
        <f>AND('Değerlendirme Formu'!#REF!,"AAAAAH037hc=")</f>
        <v>#REF!</v>
      </c>
      <c r="Y8" t="e">
        <f>AND('Değerlendirme Formu'!#REF!,"AAAAAH037hg=")</f>
        <v>#REF!</v>
      </c>
      <c r="Z8" t="e">
        <f>AND('Değerlendirme Formu'!#REF!,"AAAAAH037hk=")</f>
        <v>#REF!</v>
      </c>
      <c r="AA8" t="e">
        <f>AND('Değerlendirme Formu'!#REF!,"AAAAAH037ho=")</f>
        <v>#REF!</v>
      </c>
      <c r="AB8" t="e">
        <f>AND('Değerlendirme Formu'!#REF!,"AAAAAH037hs=")</f>
        <v>#REF!</v>
      </c>
      <c r="AC8" t="e">
        <f>AND('Değerlendirme Formu'!#REF!,"AAAAAH037hw=")</f>
        <v>#REF!</v>
      </c>
      <c r="AD8" t="e">
        <f>AND('Değerlendirme Formu'!#REF!,"AAAAAH037h0=")</f>
        <v>#REF!</v>
      </c>
      <c r="AE8" t="e">
        <f>AND('Değerlendirme Formu'!#REF!,"AAAAAH037h4=")</f>
        <v>#REF!</v>
      </c>
      <c r="AF8" t="e">
        <f>AND('Değerlendirme Formu'!#REF!,"AAAAAH037h8=")</f>
        <v>#REF!</v>
      </c>
      <c r="AG8" t="e">
        <f>AND('Değerlendirme Formu'!#REF!,"AAAAAH037iA=")</f>
        <v>#REF!</v>
      </c>
      <c r="AH8" t="e">
        <f>AND('Değerlendirme Formu'!#REF!,"AAAAAH037iE=")</f>
        <v>#REF!</v>
      </c>
      <c r="AI8" t="e">
        <f>AND('Değerlendirme Formu'!#REF!,"AAAAAH037iI=")</f>
        <v>#REF!</v>
      </c>
      <c r="AJ8" t="e">
        <f>AND('Değerlendirme Formu'!#REF!,"AAAAAH037iM=")</f>
        <v>#REF!</v>
      </c>
      <c r="AK8" t="e">
        <f>AND('Değerlendirme Formu'!#REF!,"AAAAAH037iQ=")</f>
        <v>#REF!</v>
      </c>
      <c r="AL8" t="e">
        <f>AND('Değerlendirme Formu'!#REF!,"AAAAAH037iU=")</f>
        <v>#REF!</v>
      </c>
      <c r="AM8" t="e">
        <f>AND('Değerlendirme Formu'!#REF!,"AAAAAH037iY=")</f>
        <v>#REF!</v>
      </c>
      <c r="AN8" t="e">
        <f>IF('Değerlendirme Formu'!#REF!,"AAAAAH037ic=",0)</f>
        <v>#REF!</v>
      </c>
      <c r="AO8" t="e">
        <f>AND('Değerlendirme Formu'!#REF!,"AAAAAH037ig=")</f>
        <v>#REF!</v>
      </c>
      <c r="AP8" t="e">
        <f>AND('Değerlendirme Formu'!#REF!,"AAAAAH037ik=")</f>
        <v>#REF!</v>
      </c>
      <c r="AQ8" t="e">
        <f>AND('Değerlendirme Formu'!#REF!,"AAAAAH037io=")</f>
        <v>#REF!</v>
      </c>
      <c r="AR8" t="e">
        <f>AND('Değerlendirme Formu'!#REF!,"AAAAAH037is=")</f>
        <v>#REF!</v>
      </c>
      <c r="AS8" t="e">
        <f>AND('Değerlendirme Formu'!#REF!,"AAAAAH037iw=")</f>
        <v>#REF!</v>
      </c>
      <c r="AT8" t="e">
        <f>AND('Değerlendirme Formu'!#REF!,"AAAAAH037i0=")</f>
        <v>#REF!</v>
      </c>
      <c r="AU8" t="e">
        <f>AND('Değerlendirme Formu'!#REF!,"AAAAAH037i4=")</f>
        <v>#REF!</v>
      </c>
      <c r="AV8" t="e">
        <f>AND('Değerlendirme Formu'!#REF!,"AAAAAH037i8=")</f>
        <v>#REF!</v>
      </c>
      <c r="AW8" t="e">
        <f>AND('Değerlendirme Formu'!#REF!,"AAAAAH037jA=")</f>
        <v>#REF!</v>
      </c>
      <c r="AX8" t="e">
        <f>AND('Değerlendirme Formu'!#REF!,"AAAAAH037jE=")</f>
        <v>#REF!</v>
      </c>
      <c r="AY8" t="e">
        <f>AND('Değerlendirme Formu'!#REF!,"AAAAAH037jI=")</f>
        <v>#REF!</v>
      </c>
      <c r="AZ8" t="e">
        <f>AND('Değerlendirme Formu'!#REF!,"AAAAAH037jM=")</f>
        <v>#REF!</v>
      </c>
      <c r="BA8" t="e">
        <f>AND('Değerlendirme Formu'!#REF!,"AAAAAH037jQ=")</f>
        <v>#REF!</v>
      </c>
      <c r="BB8" t="e">
        <f>AND('Değerlendirme Formu'!#REF!,"AAAAAH037jU=")</f>
        <v>#REF!</v>
      </c>
      <c r="BC8" t="e">
        <f>AND('Değerlendirme Formu'!#REF!,"AAAAAH037jY=")</f>
        <v>#REF!</v>
      </c>
      <c r="BD8" t="e">
        <f>AND('Değerlendirme Formu'!#REF!,"AAAAAH037jc=")</f>
        <v>#REF!</v>
      </c>
      <c r="BE8" t="e">
        <f>AND('Değerlendirme Formu'!#REF!,"AAAAAH037jg=")</f>
        <v>#REF!</v>
      </c>
      <c r="BF8" t="e">
        <f>IF('Değerlendirme Formu'!#REF!,"AAAAAH037jk=",0)</f>
        <v>#REF!</v>
      </c>
      <c r="BG8" t="e">
        <f>AND('Değerlendirme Formu'!#REF!,"AAAAAH037jo=")</f>
        <v>#REF!</v>
      </c>
      <c r="BH8" t="e">
        <f>AND('Değerlendirme Formu'!#REF!,"AAAAAH037js=")</f>
        <v>#REF!</v>
      </c>
      <c r="BI8" t="e">
        <f>AND('Değerlendirme Formu'!#REF!,"AAAAAH037jw=")</f>
        <v>#REF!</v>
      </c>
      <c r="BJ8" t="e">
        <f>AND('Değerlendirme Formu'!#REF!,"AAAAAH037j0=")</f>
        <v>#REF!</v>
      </c>
      <c r="BK8" t="e">
        <f>AND('Değerlendirme Formu'!#REF!,"AAAAAH037j4=")</f>
        <v>#REF!</v>
      </c>
      <c r="BL8" t="e">
        <f>AND('Değerlendirme Formu'!#REF!,"AAAAAH037j8=")</f>
        <v>#REF!</v>
      </c>
      <c r="BM8" t="e">
        <f>AND('Değerlendirme Formu'!#REF!,"AAAAAH037kA=")</f>
        <v>#REF!</v>
      </c>
      <c r="BN8" t="e">
        <f>AND('Değerlendirme Formu'!#REF!,"AAAAAH037kE=")</f>
        <v>#REF!</v>
      </c>
      <c r="BO8" t="e">
        <f>AND('Değerlendirme Formu'!#REF!,"AAAAAH037kI=")</f>
        <v>#REF!</v>
      </c>
      <c r="BP8" t="e">
        <f>AND('Değerlendirme Formu'!#REF!,"AAAAAH037kM=")</f>
        <v>#REF!</v>
      </c>
      <c r="BQ8" t="e">
        <f>AND('Değerlendirme Formu'!#REF!,"AAAAAH037kQ=")</f>
        <v>#REF!</v>
      </c>
      <c r="BR8" t="e">
        <f>AND('Değerlendirme Formu'!#REF!,"AAAAAH037kU=")</f>
        <v>#REF!</v>
      </c>
      <c r="BS8" t="e">
        <f>AND('Değerlendirme Formu'!#REF!,"AAAAAH037kY=")</f>
        <v>#REF!</v>
      </c>
      <c r="BT8" t="e">
        <f>AND('Değerlendirme Formu'!#REF!,"AAAAAH037kc=")</f>
        <v>#REF!</v>
      </c>
      <c r="BU8" t="e">
        <f>AND('Değerlendirme Formu'!#REF!,"AAAAAH037kg=")</f>
        <v>#REF!</v>
      </c>
      <c r="BV8" t="e">
        <f>AND('Değerlendirme Formu'!#REF!,"AAAAAH037kk=")</f>
        <v>#REF!</v>
      </c>
      <c r="BW8" t="e">
        <f>AND('Değerlendirme Formu'!#REF!,"AAAAAH037ko=")</f>
        <v>#REF!</v>
      </c>
      <c r="BX8" t="e">
        <f>IF('Değerlendirme Formu'!#REF!,"AAAAAH037ks=",0)</f>
        <v>#REF!</v>
      </c>
      <c r="BY8" t="e">
        <f>AND('Değerlendirme Formu'!#REF!,"AAAAAH037kw=")</f>
        <v>#REF!</v>
      </c>
      <c r="BZ8" t="e">
        <f>AND('Değerlendirme Formu'!#REF!,"AAAAAH037k0=")</f>
        <v>#REF!</v>
      </c>
      <c r="CA8" t="e">
        <f>AND('Değerlendirme Formu'!#REF!,"AAAAAH037k4=")</f>
        <v>#REF!</v>
      </c>
      <c r="CB8" t="e">
        <f>AND('Değerlendirme Formu'!#REF!,"AAAAAH037k8=")</f>
        <v>#REF!</v>
      </c>
      <c r="CC8" t="e">
        <f>AND('Değerlendirme Formu'!#REF!,"AAAAAH037lA=")</f>
        <v>#REF!</v>
      </c>
      <c r="CD8" t="e">
        <f>AND('Değerlendirme Formu'!#REF!,"AAAAAH037lE=")</f>
        <v>#REF!</v>
      </c>
      <c r="CE8" t="e">
        <f>AND('Değerlendirme Formu'!#REF!,"AAAAAH037lI=")</f>
        <v>#REF!</v>
      </c>
      <c r="CF8" t="e">
        <f>AND('Değerlendirme Formu'!#REF!,"AAAAAH037lM=")</f>
        <v>#REF!</v>
      </c>
      <c r="CG8" t="e">
        <f>AND('Değerlendirme Formu'!#REF!,"AAAAAH037lQ=")</f>
        <v>#REF!</v>
      </c>
      <c r="CH8" t="e">
        <f>AND('Değerlendirme Formu'!#REF!,"AAAAAH037lU=")</f>
        <v>#REF!</v>
      </c>
      <c r="CI8" t="e">
        <f>AND('Değerlendirme Formu'!#REF!,"AAAAAH037lY=")</f>
        <v>#REF!</v>
      </c>
      <c r="CJ8" t="e">
        <f>AND('Değerlendirme Formu'!#REF!,"AAAAAH037lc=")</f>
        <v>#REF!</v>
      </c>
      <c r="CK8" t="e">
        <f>AND('Değerlendirme Formu'!#REF!,"AAAAAH037lg=")</f>
        <v>#REF!</v>
      </c>
      <c r="CL8" t="e">
        <f>AND('Değerlendirme Formu'!#REF!,"AAAAAH037lk=")</f>
        <v>#REF!</v>
      </c>
      <c r="CM8" t="e">
        <f>AND('Değerlendirme Formu'!#REF!,"AAAAAH037lo=")</f>
        <v>#REF!</v>
      </c>
      <c r="CN8" t="e">
        <f>AND('Değerlendirme Formu'!#REF!,"AAAAAH037ls=")</f>
        <v>#REF!</v>
      </c>
      <c r="CO8" t="e">
        <f>AND('Değerlendirme Formu'!#REF!,"AAAAAH037lw=")</f>
        <v>#REF!</v>
      </c>
      <c r="CP8" t="e">
        <f>IF('Değerlendirme Formu'!#REF!,"AAAAAH037l0=",0)</f>
        <v>#REF!</v>
      </c>
      <c r="CQ8" t="e">
        <f>AND('Değerlendirme Formu'!#REF!,"AAAAAH037l4=")</f>
        <v>#REF!</v>
      </c>
      <c r="CR8" t="e">
        <f>AND('Değerlendirme Formu'!#REF!,"AAAAAH037l8=")</f>
        <v>#REF!</v>
      </c>
      <c r="CS8" t="e">
        <f>AND('Değerlendirme Formu'!#REF!,"AAAAAH037mA=")</f>
        <v>#REF!</v>
      </c>
      <c r="CT8" t="e">
        <f>AND('Değerlendirme Formu'!#REF!,"AAAAAH037mE=")</f>
        <v>#REF!</v>
      </c>
      <c r="CU8" t="e">
        <f>AND('Değerlendirme Formu'!#REF!,"AAAAAH037mI=")</f>
        <v>#REF!</v>
      </c>
      <c r="CV8" t="e">
        <f>AND('Değerlendirme Formu'!#REF!,"AAAAAH037mM=")</f>
        <v>#REF!</v>
      </c>
      <c r="CW8" t="e">
        <f>AND('Değerlendirme Formu'!#REF!,"AAAAAH037mQ=")</f>
        <v>#REF!</v>
      </c>
      <c r="CX8" t="e">
        <f>AND('Değerlendirme Formu'!#REF!,"AAAAAH037mU=")</f>
        <v>#REF!</v>
      </c>
      <c r="CY8" t="e">
        <f>AND('Değerlendirme Formu'!#REF!,"AAAAAH037mY=")</f>
        <v>#REF!</v>
      </c>
      <c r="CZ8" t="e">
        <f>AND('Değerlendirme Formu'!#REF!,"AAAAAH037mc=")</f>
        <v>#REF!</v>
      </c>
      <c r="DA8" t="e">
        <f>AND('Değerlendirme Formu'!#REF!,"AAAAAH037mg=")</f>
        <v>#REF!</v>
      </c>
      <c r="DB8" t="e">
        <f>AND('Değerlendirme Formu'!#REF!,"AAAAAH037mk=")</f>
        <v>#REF!</v>
      </c>
      <c r="DC8" t="e">
        <f>AND('Değerlendirme Formu'!#REF!,"AAAAAH037mo=")</f>
        <v>#REF!</v>
      </c>
      <c r="DD8" t="e">
        <f>AND('Değerlendirme Formu'!#REF!,"AAAAAH037ms=")</f>
        <v>#REF!</v>
      </c>
      <c r="DE8" t="e">
        <f>AND('Değerlendirme Formu'!#REF!,"AAAAAH037mw=")</f>
        <v>#REF!</v>
      </c>
      <c r="DF8" t="e">
        <f>AND('Değerlendirme Formu'!#REF!,"AAAAAH037m0=")</f>
        <v>#REF!</v>
      </c>
      <c r="DG8" t="e">
        <f>AND('Değerlendirme Formu'!#REF!,"AAAAAH037m4=")</f>
        <v>#REF!</v>
      </c>
      <c r="DH8" t="e">
        <f>IF('Değerlendirme Formu'!#REF!,"AAAAAH037m8=",0)</f>
        <v>#REF!</v>
      </c>
      <c r="DI8" t="e">
        <f>AND('Değerlendirme Formu'!#REF!,"AAAAAH037nA=")</f>
        <v>#REF!</v>
      </c>
      <c r="DJ8" t="e">
        <f>AND('Değerlendirme Formu'!#REF!,"AAAAAH037nE=")</f>
        <v>#REF!</v>
      </c>
      <c r="DK8" t="e">
        <f>AND('Değerlendirme Formu'!#REF!,"AAAAAH037nI=")</f>
        <v>#REF!</v>
      </c>
      <c r="DL8" t="e">
        <f>AND('Değerlendirme Formu'!#REF!,"AAAAAH037nM=")</f>
        <v>#REF!</v>
      </c>
      <c r="DM8" t="e">
        <f>AND('Değerlendirme Formu'!#REF!,"AAAAAH037nQ=")</f>
        <v>#REF!</v>
      </c>
      <c r="DN8" t="e">
        <f>AND('Değerlendirme Formu'!#REF!,"AAAAAH037nU=")</f>
        <v>#REF!</v>
      </c>
      <c r="DO8" t="e">
        <f>AND('Değerlendirme Formu'!#REF!,"AAAAAH037nY=")</f>
        <v>#REF!</v>
      </c>
      <c r="DP8" t="e">
        <f>AND('Değerlendirme Formu'!#REF!,"AAAAAH037nc=")</f>
        <v>#REF!</v>
      </c>
      <c r="DQ8" t="e">
        <f>AND('Değerlendirme Formu'!#REF!,"AAAAAH037ng=")</f>
        <v>#REF!</v>
      </c>
      <c r="DR8" t="e">
        <f>AND('Değerlendirme Formu'!#REF!,"AAAAAH037nk=")</f>
        <v>#REF!</v>
      </c>
      <c r="DS8" t="e">
        <f>AND('Değerlendirme Formu'!#REF!,"AAAAAH037no=")</f>
        <v>#REF!</v>
      </c>
      <c r="DT8" t="e">
        <f>AND('Değerlendirme Formu'!#REF!,"AAAAAH037ns=")</f>
        <v>#REF!</v>
      </c>
      <c r="DU8" t="e">
        <f>AND('Değerlendirme Formu'!#REF!,"AAAAAH037nw=")</f>
        <v>#REF!</v>
      </c>
      <c r="DV8" t="e">
        <f>AND('Değerlendirme Formu'!#REF!,"AAAAAH037n0=")</f>
        <v>#REF!</v>
      </c>
      <c r="DW8" t="e">
        <f>AND('Değerlendirme Formu'!#REF!,"AAAAAH037n4=")</f>
        <v>#REF!</v>
      </c>
      <c r="DX8" t="e">
        <f>AND('Değerlendirme Formu'!#REF!,"AAAAAH037n8=")</f>
        <v>#REF!</v>
      </c>
      <c r="DY8" t="e">
        <f>AND('Değerlendirme Formu'!#REF!,"AAAAAH037oA=")</f>
        <v>#REF!</v>
      </c>
      <c r="DZ8">
        <f>IF('Değerlendirme Formu'!58:58,"AAAAAH037oE=",0)</f>
        <v>0</v>
      </c>
      <c r="EA8" t="e">
        <f>AND('Değerlendirme Formu'!A58,"AAAAAH037oI=")</f>
        <v>#VALUE!</v>
      </c>
      <c r="EB8" t="e">
        <f>AND('Değerlendirme Formu'!B58,"AAAAAH037oM=")</f>
        <v>#VALUE!</v>
      </c>
      <c r="EC8" t="e">
        <f>AND('Değerlendirme Formu'!#REF!,"AAAAAH037oQ=")</f>
        <v>#REF!</v>
      </c>
      <c r="ED8" t="b">
        <f>AND('Değerlendirme Formu'!C58,"AAAAAH037oU=")</f>
        <v>1</v>
      </c>
      <c r="EE8" t="b">
        <f>AND('Değerlendirme Formu'!D58,"AAAAAH037oY=")</f>
        <v>1</v>
      </c>
      <c r="EF8" t="b">
        <f>AND('Değerlendirme Formu'!E58,"AAAAAH037oc=")</f>
        <v>1</v>
      </c>
      <c r="EG8" t="e">
        <f>AND('Değerlendirme Formu'!#REF!,"AAAAAH037og=")</f>
        <v>#REF!</v>
      </c>
      <c r="EH8" t="e">
        <f>AND('Değerlendirme Formu'!#REF!,"AAAAAH037ok=")</f>
        <v>#REF!</v>
      </c>
      <c r="EI8" t="e">
        <f>AND('Değerlendirme Formu'!F58,"AAAAAH037oo=")</f>
        <v>#VALUE!</v>
      </c>
      <c r="EJ8" t="e">
        <f>AND('Değerlendirme Formu'!#REF!,"AAAAAH037os=")</f>
        <v>#REF!</v>
      </c>
      <c r="EK8" t="e">
        <f>AND('Değerlendirme Formu'!#REF!,"AAAAAH037ow=")</f>
        <v>#REF!</v>
      </c>
      <c r="EL8" t="e">
        <f>AND('Değerlendirme Formu'!#REF!,"AAAAAH037o0=")</f>
        <v>#REF!</v>
      </c>
      <c r="EM8" t="e">
        <f>AND('Değerlendirme Formu'!#REF!,"AAAAAH037o4=")</f>
        <v>#REF!</v>
      </c>
      <c r="EN8" t="e">
        <f>AND('Değerlendirme Formu'!#REF!,"AAAAAH037o8=")</f>
        <v>#REF!</v>
      </c>
      <c r="EO8" t="e">
        <f>AND('Değerlendirme Formu'!G58,"AAAAAH037pA=")</f>
        <v>#VALUE!</v>
      </c>
      <c r="EP8" t="e">
        <f>AND('Değerlendirme Formu'!H58,"AAAAAH037pE=")</f>
        <v>#VALUE!</v>
      </c>
      <c r="EQ8" t="e">
        <f>AND('Değerlendirme Formu'!I58,"AAAAAH037pI=")</f>
        <v>#VALUE!</v>
      </c>
      <c r="ER8">
        <f>IF('Değerlendirme Formu'!85:85,"AAAAAH037pM=",0)</f>
        <v>0</v>
      </c>
      <c r="ES8" t="e">
        <f>AND('Değerlendirme Formu'!A85,"AAAAAH037pQ=")</f>
        <v>#VALUE!</v>
      </c>
      <c r="ET8" t="e">
        <f>AND('Değerlendirme Formu'!B85,"AAAAAH037pU=")</f>
        <v>#VALUE!</v>
      </c>
      <c r="EU8" t="e">
        <f>AND('Değerlendirme Formu'!#REF!,"AAAAAH037pY=")</f>
        <v>#REF!</v>
      </c>
      <c r="EV8" t="e">
        <f>AND('Değerlendirme Formu'!C85,"AAAAAH037pc=")</f>
        <v>#VALUE!</v>
      </c>
      <c r="EW8" t="e">
        <f>AND('Değerlendirme Formu'!D85,"AAAAAH037pg=")</f>
        <v>#VALUE!</v>
      </c>
      <c r="EX8" t="e">
        <f>AND('Değerlendirme Formu'!E85,"AAAAAH037pk=")</f>
        <v>#VALUE!</v>
      </c>
      <c r="EY8" t="e">
        <f>AND('Değerlendirme Formu'!#REF!,"AAAAAH037po=")</f>
        <v>#REF!</v>
      </c>
      <c r="EZ8" t="e">
        <f>AND('Değerlendirme Formu'!#REF!,"AAAAAH037ps=")</f>
        <v>#REF!</v>
      </c>
      <c r="FA8" t="e">
        <f>AND('Değerlendirme Formu'!F85,"AAAAAH037pw=")</f>
        <v>#VALUE!</v>
      </c>
      <c r="FB8" t="e">
        <f>AND('Değerlendirme Formu'!#REF!,"AAAAAH037p0=")</f>
        <v>#REF!</v>
      </c>
      <c r="FC8" t="e">
        <f>AND('Değerlendirme Formu'!#REF!,"AAAAAH037p4=")</f>
        <v>#REF!</v>
      </c>
      <c r="FD8" t="e">
        <f>AND('Değerlendirme Formu'!#REF!,"AAAAAH037p8=")</f>
        <v>#REF!</v>
      </c>
      <c r="FE8" t="e">
        <f>AND('Değerlendirme Formu'!#REF!,"AAAAAH037qA=")</f>
        <v>#REF!</v>
      </c>
      <c r="FF8" t="e">
        <f>AND('Değerlendirme Formu'!#REF!,"AAAAAH037qE=")</f>
        <v>#REF!</v>
      </c>
      <c r="FG8" t="e">
        <f>AND('Değerlendirme Formu'!G85,"AAAAAH037qI=")</f>
        <v>#VALUE!</v>
      </c>
      <c r="FH8" t="e">
        <f>AND('Değerlendirme Formu'!H85,"AAAAAH037qM=")</f>
        <v>#VALUE!</v>
      </c>
      <c r="FI8" t="e">
        <f>AND('Değerlendirme Formu'!I85,"AAAAAH037qQ=")</f>
        <v>#VALUE!</v>
      </c>
      <c r="FJ8" t="e">
        <f>IF('Değerlendirme Formu'!#REF!,"AAAAAH037qU=",0)</f>
        <v>#REF!</v>
      </c>
      <c r="FK8" t="e">
        <f>AND('Değerlendirme Formu'!#REF!,"AAAAAH037qY=")</f>
        <v>#REF!</v>
      </c>
      <c r="FL8" t="e">
        <f>AND('Değerlendirme Formu'!#REF!,"AAAAAH037qc=")</f>
        <v>#REF!</v>
      </c>
      <c r="FM8" t="e">
        <f>AND('Değerlendirme Formu'!#REF!,"AAAAAH037qg=")</f>
        <v>#REF!</v>
      </c>
      <c r="FN8" t="e">
        <f>AND('Değerlendirme Formu'!#REF!,"AAAAAH037qk=")</f>
        <v>#REF!</v>
      </c>
      <c r="FO8" t="e">
        <f>AND('Değerlendirme Formu'!#REF!,"AAAAAH037qo=")</f>
        <v>#REF!</v>
      </c>
      <c r="FP8" t="e">
        <f>AND('Değerlendirme Formu'!#REF!,"AAAAAH037qs=")</f>
        <v>#REF!</v>
      </c>
      <c r="FQ8" t="e">
        <f>AND('Değerlendirme Formu'!#REF!,"AAAAAH037qw=")</f>
        <v>#REF!</v>
      </c>
      <c r="FR8" t="e">
        <f>AND('Değerlendirme Formu'!#REF!,"AAAAAH037q0=")</f>
        <v>#REF!</v>
      </c>
      <c r="FS8" t="e">
        <f>AND('Değerlendirme Formu'!#REF!,"AAAAAH037q4=")</f>
        <v>#REF!</v>
      </c>
      <c r="FT8" t="e">
        <f>AND('Değerlendirme Formu'!#REF!,"AAAAAH037q8=")</f>
        <v>#REF!</v>
      </c>
      <c r="FU8" t="e">
        <f>AND('Değerlendirme Formu'!#REF!,"AAAAAH037rA=")</f>
        <v>#REF!</v>
      </c>
      <c r="FV8" t="e">
        <f>AND('Değerlendirme Formu'!#REF!,"AAAAAH037rE=")</f>
        <v>#REF!</v>
      </c>
      <c r="FW8" t="e">
        <f>AND('Değerlendirme Formu'!#REF!,"AAAAAH037rI=")</f>
        <v>#REF!</v>
      </c>
      <c r="FX8" t="e">
        <f>AND('Değerlendirme Formu'!#REF!,"AAAAAH037rM=")</f>
        <v>#REF!</v>
      </c>
      <c r="FY8" t="e">
        <f>AND('Değerlendirme Formu'!#REF!,"AAAAAH037rQ=")</f>
        <v>#REF!</v>
      </c>
      <c r="FZ8" t="e">
        <f>AND('Değerlendirme Formu'!#REF!,"AAAAAH037rU=")</f>
        <v>#REF!</v>
      </c>
      <c r="GA8" t="e">
        <f>AND('Değerlendirme Formu'!#REF!,"AAAAAH037rY=")</f>
        <v>#REF!</v>
      </c>
      <c r="GB8" t="e">
        <f>IF('Değerlendirme Formu'!#REF!,"AAAAAH037rc=",0)</f>
        <v>#REF!</v>
      </c>
      <c r="GC8" t="e">
        <f>AND('Değerlendirme Formu'!#REF!,"AAAAAH037rg=")</f>
        <v>#REF!</v>
      </c>
      <c r="GD8" t="e">
        <f>AND('Değerlendirme Formu'!#REF!,"AAAAAH037rk=")</f>
        <v>#REF!</v>
      </c>
      <c r="GE8" t="e">
        <f>AND('Değerlendirme Formu'!#REF!,"AAAAAH037ro=")</f>
        <v>#REF!</v>
      </c>
      <c r="GF8" t="e">
        <f>AND('Değerlendirme Formu'!#REF!,"AAAAAH037rs=")</f>
        <v>#REF!</v>
      </c>
      <c r="GG8" t="e">
        <f>AND('Değerlendirme Formu'!#REF!,"AAAAAH037rw=")</f>
        <v>#REF!</v>
      </c>
      <c r="GH8" t="e">
        <f>AND('Değerlendirme Formu'!#REF!,"AAAAAH037r0=")</f>
        <v>#REF!</v>
      </c>
      <c r="GI8" t="e">
        <f>AND('Değerlendirme Formu'!#REF!,"AAAAAH037r4=")</f>
        <v>#REF!</v>
      </c>
      <c r="GJ8" t="e">
        <f>AND('Değerlendirme Formu'!#REF!,"AAAAAH037r8=")</f>
        <v>#REF!</v>
      </c>
      <c r="GK8" t="e">
        <f>AND('Değerlendirme Formu'!#REF!,"AAAAAH037sA=")</f>
        <v>#REF!</v>
      </c>
      <c r="GL8" t="e">
        <f>AND('Değerlendirme Formu'!#REF!,"AAAAAH037sE=")</f>
        <v>#REF!</v>
      </c>
      <c r="GM8" t="e">
        <f>AND('Değerlendirme Formu'!#REF!,"AAAAAH037sI=")</f>
        <v>#REF!</v>
      </c>
      <c r="GN8" t="e">
        <f>AND('Değerlendirme Formu'!#REF!,"AAAAAH037sM=")</f>
        <v>#REF!</v>
      </c>
      <c r="GO8" t="e">
        <f>AND('Değerlendirme Formu'!#REF!,"AAAAAH037sQ=")</f>
        <v>#REF!</v>
      </c>
      <c r="GP8" t="e">
        <f>AND('Değerlendirme Formu'!#REF!,"AAAAAH037sU=")</f>
        <v>#REF!</v>
      </c>
      <c r="GQ8" t="e">
        <f>AND('Değerlendirme Formu'!#REF!,"AAAAAH037sY=")</f>
        <v>#REF!</v>
      </c>
      <c r="GR8" t="e">
        <f>AND('Değerlendirme Formu'!#REF!,"AAAAAH037sc=")</f>
        <v>#REF!</v>
      </c>
      <c r="GS8" t="e">
        <f>AND('Değerlendirme Formu'!#REF!,"AAAAAH037sg=")</f>
        <v>#REF!</v>
      </c>
      <c r="GT8" t="e">
        <f>IF('Değerlendirme Formu'!#REF!,"AAAAAH037sk=",0)</f>
        <v>#REF!</v>
      </c>
      <c r="GU8" t="e">
        <f>AND('Değerlendirme Formu'!#REF!,"AAAAAH037so=")</f>
        <v>#REF!</v>
      </c>
      <c r="GV8" t="e">
        <f>AND('Değerlendirme Formu'!#REF!,"AAAAAH037ss=")</f>
        <v>#REF!</v>
      </c>
      <c r="GW8" t="e">
        <f>AND('Değerlendirme Formu'!#REF!,"AAAAAH037sw=")</f>
        <v>#REF!</v>
      </c>
      <c r="GX8" t="e">
        <f>AND('Değerlendirme Formu'!#REF!,"AAAAAH037s0=")</f>
        <v>#REF!</v>
      </c>
      <c r="GY8" t="e">
        <f>AND('Değerlendirme Formu'!#REF!,"AAAAAH037s4=")</f>
        <v>#REF!</v>
      </c>
      <c r="GZ8" t="e">
        <f>AND('Değerlendirme Formu'!#REF!,"AAAAAH037s8=")</f>
        <v>#REF!</v>
      </c>
      <c r="HA8" t="e">
        <f>AND('Değerlendirme Formu'!#REF!,"AAAAAH037tA=")</f>
        <v>#REF!</v>
      </c>
      <c r="HB8" t="e">
        <f>AND('Değerlendirme Formu'!#REF!,"AAAAAH037tE=")</f>
        <v>#REF!</v>
      </c>
      <c r="HC8" t="e">
        <f>AND('Değerlendirme Formu'!#REF!,"AAAAAH037tI=")</f>
        <v>#REF!</v>
      </c>
      <c r="HD8" t="e">
        <f>AND('Değerlendirme Formu'!#REF!,"AAAAAH037tM=")</f>
        <v>#REF!</v>
      </c>
      <c r="HE8" t="e">
        <f>AND('Değerlendirme Formu'!#REF!,"AAAAAH037tQ=")</f>
        <v>#REF!</v>
      </c>
      <c r="HF8" t="e">
        <f>AND('Değerlendirme Formu'!#REF!,"AAAAAH037tU=")</f>
        <v>#REF!</v>
      </c>
      <c r="HG8" t="e">
        <f>AND('Değerlendirme Formu'!#REF!,"AAAAAH037tY=")</f>
        <v>#REF!</v>
      </c>
      <c r="HH8" t="e">
        <f>AND('Değerlendirme Formu'!#REF!,"AAAAAH037tc=")</f>
        <v>#REF!</v>
      </c>
      <c r="HI8" t="e">
        <f>AND('Değerlendirme Formu'!#REF!,"AAAAAH037tg=")</f>
        <v>#REF!</v>
      </c>
      <c r="HJ8" t="e">
        <f>AND('Değerlendirme Formu'!#REF!,"AAAAAH037tk=")</f>
        <v>#REF!</v>
      </c>
      <c r="HK8" t="e">
        <f>AND('Değerlendirme Formu'!#REF!,"AAAAAH037to=")</f>
        <v>#REF!</v>
      </c>
      <c r="HL8" t="e">
        <f>IF('Değerlendirme Formu'!#REF!,"AAAAAH037ts=",0)</f>
        <v>#REF!</v>
      </c>
      <c r="HM8" t="e">
        <f>AND('Değerlendirme Formu'!#REF!,"AAAAAH037tw=")</f>
        <v>#REF!</v>
      </c>
      <c r="HN8" t="e">
        <f>AND('Değerlendirme Formu'!#REF!,"AAAAAH037t0=")</f>
        <v>#REF!</v>
      </c>
      <c r="HO8" t="e">
        <f>AND('Değerlendirme Formu'!#REF!,"AAAAAH037t4=")</f>
        <v>#REF!</v>
      </c>
      <c r="HP8" t="e">
        <f>AND('Değerlendirme Formu'!#REF!,"AAAAAH037t8=")</f>
        <v>#REF!</v>
      </c>
      <c r="HQ8" t="e">
        <f>AND('Değerlendirme Formu'!#REF!,"AAAAAH037uA=")</f>
        <v>#REF!</v>
      </c>
      <c r="HR8" t="e">
        <f>AND('Değerlendirme Formu'!#REF!,"AAAAAH037uE=")</f>
        <v>#REF!</v>
      </c>
      <c r="HS8" t="e">
        <f>AND('Değerlendirme Formu'!#REF!,"AAAAAH037uI=")</f>
        <v>#REF!</v>
      </c>
      <c r="HT8" t="e">
        <f>AND('Değerlendirme Formu'!#REF!,"AAAAAH037uM=")</f>
        <v>#REF!</v>
      </c>
      <c r="HU8" t="e">
        <f>AND('Değerlendirme Formu'!#REF!,"AAAAAH037uQ=")</f>
        <v>#REF!</v>
      </c>
      <c r="HV8" t="e">
        <f>AND('Değerlendirme Formu'!#REF!,"AAAAAH037uU=")</f>
        <v>#REF!</v>
      </c>
      <c r="HW8" t="e">
        <f>AND('Değerlendirme Formu'!#REF!,"AAAAAH037uY=")</f>
        <v>#REF!</v>
      </c>
      <c r="HX8" t="e">
        <f>AND('Değerlendirme Formu'!#REF!,"AAAAAH037uc=")</f>
        <v>#REF!</v>
      </c>
      <c r="HY8" t="e">
        <f>AND('Değerlendirme Formu'!#REF!,"AAAAAH037ug=")</f>
        <v>#REF!</v>
      </c>
      <c r="HZ8" t="e">
        <f>AND('Değerlendirme Formu'!#REF!,"AAAAAH037uk=")</f>
        <v>#REF!</v>
      </c>
      <c r="IA8" t="e">
        <f>AND('Değerlendirme Formu'!#REF!,"AAAAAH037uo=")</f>
        <v>#REF!</v>
      </c>
      <c r="IB8" t="e">
        <f>AND('Değerlendirme Formu'!#REF!,"AAAAAH037us=")</f>
        <v>#REF!</v>
      </c>
      <c r="IC8" t="e">
        <f>AND('Değerlendirme Formu'!#REF!,"AAAAAH037uw=")</f>
        <v>#REF!</v>
      </c>
      <c r="ID8">
        <f>IF('Değerlendirme Formu'!86:86,"AAAAAH037u0=",0)</f>
        <v>0</v>
      </c>
      <c r="IE8" t="b">
        <f>AND('Değerlendirme Formu'!A86,"AAAAAH037u4=")</f>
        <v>1</v>
      </c>
      <c r="IF8" t="e">
        <f>AND('Değerlendirme Formu'!B86,"AAAAAH037u8=")</f>
        <v>#VALUE!</v>
      </c>
      <c r="IG8" t="e">
        <f>AND('Değerlendirme Formu'!#REF!,"AAAAAH037vA=")</f>
        <v>#REF!</v>
      </c>
      <c r="IH8" t="e">
        <f>AND('Değerlendirme Formu'!C86,"AAAAAH037vE=")</f>
        <v>#VALUE!</v>
      </c>
      <c r="II8" t="b">
        <f>AND('Değerlendirme Formu'!D86,"AAAAAH037vI=")</f>
        <v>1</v>
      </c>
      <c r="IJ8" t="b">
        <f>AND('Değerlendirme Formu'!E86,"AAAAAH037vM=")</f>
        <v>0</v>
      </c>
      <c r="IK8" t="e">
        <f>AND('Değerlendirme Formu'!#REF!,"AAAAAH037vQ=")</f>
        <v>#REF!</v>
      </c>
      <c r="IL8" t="e">
        <f>AND('Değerlendirme Formu'!#REF!,"AAAAAH037vU=")</f>
        <v>#REF!</v>
      </c>
      <c r="IM8" t="e">
        <f>AND('Değerlendirme Formu'!F86,"AAAAAH037vY=")</f>
        <v>#VALUE!</v>
      </c>
      <c r="IN8" t="e">
        <f>AND('Değerlendirme Formu'!#REF!,"AAAAAH037vc=")</f>
        <v>#REF!</v>
      </c>
      <c r="IO8" t="e">
        <f>AND('Değerlendirme Formu'!#REF!,"AAAAAH037vg=")</f>
        <v>#REF!</v>
      </c>
      <c r="IP8" t="e">
        <f>AND('Değerlendirme Formu'!#REF!,"AAAAAH037vk=")</f>
        <v>#REF!</v>
      </c>
      <c r="IQ8" t="e">
        <f>AND('Değerlendirme Formu'!#REF!,"AAAAAH037vo=")</f>
        <v>#REF!</v>
      </c>
      <c r="IR8" t="e">
        <f>AND('Değerlendirme Formu'!#REF!,"AAAAAH037vs=")</f>
        <v>#REF!</v>
      </c>
      <c r="IS8" t="e">
        <f>AND('Değerlendirme Formu'!G86,"AAAAAH037vw=")</f>
        <v>#VALUE!</v>
      </c>
      <c r="IT8" t="e">
        <f>AND('Değerlendirme Formu'!H86,"AAAAAH037v0=")</f>
        <v>#VALUE!</v>
      </c>
      <c r="IU8" t="e">
        <f>AND('Değerlendirme Formu'!I86,"AAAAAH037v4=")</f>
        <v>#VALUE!</v>
      </c>
      <c r="IV8" t="e">
        <f>IF('Değerlendirme Formu'!#REF!,"AAAAAH037v8=",0)</f>
        <v>#REF!</v>
      </c>
    </row>
    <row r="9" spans="1:256" x14ac:dyDescent="0.2">
      <c r="A9" t="e">
        <f>AND('Değerlendirme Formu'!#REF!,"AAAAAC/V7wA=")</f>
        <v>#REF!</v>
      </c>
      <c r="B9" t="e">
        <f>AND('Değerlendirme Formu'!#REF!,"AAAAAC/V7wE=")</f>
        <v>#REF!</v>
      </c>
      <c r="C9" t="e">
        <f>AND('Değerlendirme Formu'!#REF!,"AAAAAC/V7wI=")</f>
        <v>#REF!</v>
      </c>
      <c r="D9" t="e">
        <f>AND('Değerlendirme Formu'!#REF!,"AAAAAC/V7wM=")</f>
        <v>#REF!</v>
      </c>
      <c r="E9" t="e">
        <f>AND('Değerlendirme Formu'!#REF!,"AAAAAC/V7wQ=")</f>
        <v>#REF!</v>
      </c>
      <c r="F9" t="e">
        <f>AND('Değerlendirme Formu'!#REF!,"AAAAAC/V7wU=")</f>
        <v>#REF!</v>
      </c>
      <c r="G9" t="e">
        <f>AND('Değerlendirme Formu'!#REF!,"AAAAAC/V7wY=")</f>
        <v>#REF!</v>
      </c>
      <c r="H9" t="e">
        <f>AND('Değerlendirme Formu'!#REF!,"AAAAAC/V7wc=")</f>
        <v>#REF!</v>
      </c>
      <c r="I9" t="e">
        <f>AND('Değerlendirme Formu'!#REF!,"AAAAAC/V7wg=")</f>
        <v>#REF!</v>
      </c>
      <c r="J9" t="e">
        <f>AND('Değerlendirme Formu'!#REF!,"AAAAAC/V7wk=")</f>
        <v>#REF!</v>
      </c>
      <c r="K9" t="e">
        <f>AND('Değerlendirme Formu'!#REF!,"AAAAAC/V7wo=")</f>
        <v>#REF!</v>
      </c>
      <c r="L9" t="e">
        <f>AND('Değerlendirme Formu'!#REF!,"AAAAAC/V7ws=")</f>
        <v>#REF!</v>
      </c>
      <c r="M9" t="e">
        <f>AND('Değerlendirme Formu'!#REF!,"AAAAAC/V7ww=")</f>
        <v>#REF!</v>
      </c>
      <c r="N9" t="e">
        <f>AND('Değerlendirme Formu'!#REF!,"AAAAAC/V7w0=")</f>
        <v>#REF!</v>
      </c>
      <c r="O9" t="e">
        <f>AND('Değerlendirme Formu'!#REF!,"AAAAAC/V7w4=")</f>
        <v>#REF!</v>
      </c>
      <c r="P9" t="e">
        <f>AND('Değerlendirme Formu'!#REF!,"AAAAAC/V7w8=")</f>
        <v>#REF!</v>
      </c>
      <c r="Q9" t="e">
        <f>AND('Değerlendirme Formu'!#REF!,"AAAAAC/V7xA=")</f>
        <v>#REF!</v>
      </c>
      <c r="R9" t="e">
        <f>IF('Değerlendirme Formu'!#REF!,"AAAAAC/V7xE=",0)</f>
        <v>#REF!</v>
      </c>
      <c r="S9" t="e">
        <f>AND('Değerlendirme Formu'!#REF!,"AAAAAC/V7xI=")</f>
        <v>#REF!</v>
      </c>
      <c r="T9" t="e">
        <f>AND('Değerlendirme Formu'!#REF!,"AAAAAC/V7xM=")</f>
        <v>#REF!</v>
      </c>
      <c r="U9" t="e">
        <f>AND('Değerlendirme Formu'!#REF!,"AAAAAC/V7xQ=")</f>
        <v>#REF!</v>
      </c>
      <c r="V9" t="e">
        <f>AND('Değerlendirme Formu'!#REF!,"AAAAAC/V7xU=")</f>
        <v>#REF!</v>
      </c>
      <c r="W9" t="e">
        <f>AND('Değerlendirme Formu'!#REF!,"AAAAAC/V7xY=")</f>
        <v>#REF!</v>
      </c>
      <c r="X9" t="e">
        <f>AND('Değerlendirme Formu'!#REF!,"AAAAAC/V7xc=")</f>
        <v>#REF!</v>
      </c>
      <c r="Y9" t="e">
        <f>AND('Değerlendirme Formu'!#REF!,"AAAAAC/V7xg=")</f>
        <v>#REF!</v>
      </c>
      <c r="Z9" t="e">
        <f>AND('Değerlendirme Formu'!#REF!,"AAAAAC/V7xk=")</f>
        <v>#REF!</v>
      </c>
      <c r="AA9" t="e">
        <f>AND('Değerlendirme Formu'!#REF!,"AAAAAC/V7xo=")</f>
        <v>#REF!</v>
      </c>
      <c r="AB9" t="e">
        <f>AND('Değerlendirme Formu'!#REF!,"AAAAAC/V7xs=")</f>
        <v>#REF!</v>
      </c>
      <c r="AC9" t="e">
        <f>AND('Değerlendirme Formu'!#REF!,"AAAAAC/V7xw=")</f>
        <v>#REF!</v>
      </c>
      <c r="AD9" t="e">
        <f>AND('Değerlendirme Formu'!#REF!,"AAAAAC/V7x0=")</f>
        <v>#REF!</v>
      </c>
      <c r="AE9" t="e">
        <f>AND('Değerlendirme Formu'!#REF!,"AAAAAC/V7x4=")</f>
        <v>#REF!</v>
      </c>
      <c r="AF9" t="e">
        <f>AND('Değerlendirme Formu'!#REF!,"AAAAAC/V7x8=")</f>
        <v>#REF!</v>
      </c>
      <c r="AG9" t="e">
        <f>AND('Değerlendirme Formu'!#REF!,"AAAAAC/V7yA=")</f>
        <v>#REF!</v>
      </c>
      <c r="AH9" t="e">
        <f>AND('Değerlendirme Formu'!#REF!,"AAAAAC/V7yE=")</f>
        <v>#REF!</v>
      </c>
      <c r="AI9" t="e">
        <f>AND('Değerlendirme Formu'!#REF!,"AAAAAC/V7yI=")</f>
        <v>#REF!</v>
      </c>
      <c r="AJ9" t="e">
        <f>IF('Değerlendirme Formu'!#REF!,"AAAAAC/V7yM=",0)</f>
        <v>#REF!</v>
      </c>
      <c r="AK9" t="e">
        <f>AND('Değerlendirme Formu'!#REF!,"AAAAAC/V7yQ=")</f>
        <v>#REF!</v>
      </c>
      <c r="AL9" t="e">
        <f>AND('Değerlendirme Formu'!#REF!,"AAAAAC/V7yU=")</f>
        <v>#REF!</v>
      </c>
      <c r="AM9" t="e">
        <f>AND('Değerlendirme Formu'!#REF!,"AAAAAC/V7yY=")</f>
        <v>#REF!</v>
      </c>
      <c r="AN9" t="e">
        <f>AND('Değerlendirme Formu'!#REF!,"AAAAAC/V7yc=")</f>
        <v>#REF!</v>
      </c>
      <c r="AO9" t="e">
        <f>AND('Değerlendirme Formu'!#REF!,"AAAAAC/V7yg=")</f>
        <v>#REF!</v>
      </c>
      <c r="AP9" t="e">
        <f>AND('Değerlendirme Formu'!#REF!,"AAAAAC/V7yk=")</f>
        <v>#REF!</v>
      </c>
      <c r="AQ9" t="e">
        <f>AND('Değerlendirme Formu'!#REF!,"AAAAAC/V7yo=")</f>
        <v>#REF!</v>
      </c>
      <c r="AR9" t="e">
        <f>AND('Değerlendirme Formu'!#REF!,"AAAAAC/V7ys=")</f>
        <v>#REF!</v>
      </c>
      <c r="AS9" t="e">
        <f>AND('Değerlendirme Formu'!#REF!,"AAAAAC/V7yw=")</f>
        <v>#REF!</v>
      </c>
      <c r="AT9" t="e">
        <f>AND('Değerlendirme Formu'!#REF!,"AAAAAC/V7y0=")</f>
        <v>#REF!</v>
      </c>
      <c r="AU9" t="e">
        <f>AND('Değerlendirme Formu'!#REF!,"AAAAAC/V7y4=")</f>
        <v>#REF!</v>
      </c>
      <c r="AV9" t="e">
        <f>AND('Değerlendirme Formu'!#REF!,"AAAAAC/V7y8=")</f>
        <v>#REF!</v>
      </c>
      <c r="AW9" t="e">
        <f>AND('Değerlendirme Formu'!#REF!,"AAAAAC/V7zA=")</f>
        <v>#REF!</v>
      </c>
      <c r="AX9" t="e">
        <f>AND('Değerlendirme Formu'!#REF!,"AAAAAC/V7zE=")</f>
        <v>#REF!</v>
      </c>
      <c r="AY9" t="e">
        <f>AND('Değerlendirme Formu'!#REF!,"AAAAAC/V7zI=")</f>
        <v>#REF!</v>
      </c>
      <c r="AZ9" t="e">
        <f>AND('Değerlendirme Formu'!#REF!,"AAAAAC/V7zM=")</f>
        <v>#REF!</v>
      </c>
      <c r="BA9" t="e">
        <f>AND('Değerlendirme Formu'!#REF!,"AAAAAC/V7zQ=")</f>
        <v>#REF!</v>
      </c>
      <c r="BB9" t="e">
        <f>IF('Değerlendirme Formu'!#REF!,"AAAAAC/V7zU=",0)</f>
        <v>#REF!</v>
      </c>
      <c r="BC9" t="e">
        <f>AND('Değerlendirme Formu'!#REF!,"AAAAAC/V7zY=")</f>
        <v>#REF!</v>
      </c>
      <c r="BD9" t="e">
        <f>AND('Değerlendirme Formu'!#REF!,"AAAAAC/V7zc=")</f>
        <v>#REF!</v>
      </c>
      <c r="BE9" t="e">
        <f>AND('Değerlendirme Formu'!#REF!,"AAAAAC/V7zg=")</f>
        <v>#REF!</v>
      </c>
      <c r="BF9" t="e">
        <f>AND('Değerlendirme Formu'!#REF!,"AAAAAC/V7zk=")</f>
        <v>#REF!</v>
      </c>
      <c r="BG9" t="e">
        <f>AND('Değerlendirme Formu'!#REF!,"AAAAAC/V7zo=")</f>
        <v>#REF!</v>
      </c>
      <c r="BH9" t="e">
        <f>AND('Değerlendirme Formu'!#REF!,"AAAAAC/V7zs=")</f>
        <v>#REF!</v>
      </c>
      <c r="BI9" t="e">
        <f>AND('Değerlendirme Formu'!#REF!,"AAAAAC/V7zw=")</f>
        <v>#REF!</v>
      </c>
      <c r="BJ9" t="e">
        <f>AND('Değerlendirme Formu'!#REF!,"AAAAAC/V7z0=")</f>
        <v>#REF!</v>
      </c>
      <c r="BK9" t="e">
        <f>AND('Değerlendirme Formu'!#REF!,"AAAAAC/V7z4=")</f>
        <v>#REF!</v>
      </c>
      <c r="BL9" t="e">
        <f>AND('Değerlendirme Formu'!#REF!,"AAAAAC/V7z8=")</f>
        <v>#REF!</v>
      </c>
      <c r="BM9" t="e">
        <f>AND('Değerlendirme Formu'!#REF!,"AAAAAC/V70A=")</f>
        <v>#REF!</v>
      </c>
      <c r="BN9" t="e">
        <f>AND('Değerlendirme Formu'!#REF!,"AAAAAC/V70E=")</f>
        <v>#REF!</v>
      </c>
      <c r="BO9" t="e">
        <f>AND('Değerlendirme Formu'!#REF!,"AAAAAC/V70I=")</f>
        <v>#REF!</v>
      </c>
      <c r="BP9" t="e">
        <f>AND('Değerlendirme Formu'!#REF!,"AAAAAC/V70M=")</f>
        <v>#REF!</v>
      </c>
      <c r="BQ9" t="e">
        <f>AND('Değerlendirme Formu'!#REF!,"AAAAAC/V70Q=")</f>
        <v>#REF!</v>
      </c>
      <c r="BR9" t="e">
        <f>AND('Değerlendirme Formu'!#REF!,"AAAAAC/V70U=")</f>
        <v>#REF!</v>
      </c>
      <c r="BS9" t="e">
        <f>AND('Değerlendirme Formu'!#REF!,"AAAAAC/V70Y=")</f>
        <v>#REF!</v>
      </c>
      <c r="BT9">
        <f>IF('Değerlendirme Formu'!92:92,"AAAAAC/V70c=",0)</f>
        <v>0</v>
      </c>
      <c r="BU9" t="e">
        <f>AND('Değerlendirme Formu'!A92,"AAAAAC/V70g=")</f>
        <v>#VALUE!</v>
      </c>
      <c r="BV9" t="e">
        <f>AND('Değerlendirme Formu'!B92,"AAAAAC/V70k=")</f>
        <v>#VALUE!</v>
      </c>
      <c r="BW9" t="e">
        <f>AND('Değerlendirme Formu'!#REF!,"AAAAAC/V70o=")</f>
        <v>#REF!</v>
      </c>
      <c r="BX9" t="b">
        <f>AND('Değerlendirme Formu'!C92,"AAAAAC/V70s=")</f>
        <v>1</v>
      </c>
      <c r="BY9" t="b">
        <f>AND('Değerlendirme Formu'!D92,"AAAAAC/V70w=")</f>
        <v>1</v>
      </c>
      <c r="BZ9" t="b">
        <f>AND('Değerlendirme Formu'!E92,"AAAAAC/V700=")</f>
        <v>1</v>
      </c>
      <c r="CA9" t="e">
        <f>AND('Değerlendirme Formu'!#REF!,"AAAAAC/V704=")</f>
        <v>#REF!</v>
      </c>
      <c r="CB9" t="e">
        <f>AND('Değerlendirme Formu'!#REF!,"AAAAAC/V708=")</f>
        <v>#REF!</v>
      </c>
      <c r="CC9" t="e">
        <f>AND('Değerlendirme Formu'!F92,"AAAAAC/V71A=")</f>
        <v>#VALUE!</v>
      </c>
      <c r="CD9" t="e">
        <f>AND('Değerlendirme Formu'!#REF!,"AAAAAC/V71E=")</f>
        <v>#REF!</v>
      </c>
      <c r="CE9" t="e">
        <f>AND('Değerlendirme Formu'!#REF!,"AAAAAC/V71I=")</f>
        <v>#REF!</v>
      </c>
      <c r="CF9" t="e">
        <f>AND('Değerlendirme Formu'!#REF!,"AAAAAC/V71M=")</f>
        <v>#REF!</v>
      </c>
      <c r="CG9" t="e">
        <f>AND('Değerlendirme Formu'!#REF!,"AAAAAC/V71Q=")</f>
        <v>#REF!</v>
      </c>
      <c r="CH9" t="e">
        <f>AND('Değerlendirme Formu'!#REF!,"AAAAAC/V71U=")</f>
        <v>#REF!</v>
      </c>
      <c r="CI9" t="e">
        <f>AND('Değerlendirme Formu'!G92,"AAAAAC/V71Y=")</f>
        <v>#VALUE!</v>
      </c>
      <c r="CJ9" t="e">
        <f>AND('Değerlendirme Formu'!H92,"AAAAAC/V71c=")</f>
        <v>#VALUE!</v>
      </c>
      <c r="CK9" t="e">
        <f>AND('Değerlendirme Formu'!I92,"AAAAAC/V71g=")</f>
        <v>#VALUE!</v>
      </c>
      <c r="CL9" t="e">
        <f>IF('Değerlendirme Formu'!#REF!,"AAAAAC/V71k=",0)</f>
        <v>#REF!</v>
      </c>
      <c r="CM9" t="e">
        <f>AND('Değerlendirme Formu'!#REF!,"AAAAAC/V71o=")</f>
        <v>#REF!</v>
      </c>
      <c r="CN9" t="e">
        <f>AND('Değerlendirme Formu'!#REF!,"AAAAAC/V71s=")</f>
        <v>#REF!</v>
      </c>
      <c r="CO9" t="e">
        <f>AND('Değerlendirme Formu'!#REF!,"AAAAAC/V71w=")</f>
        <v>#REF!</v>
      </c>
      <c r="CP9" t="e">
        <f>AND('Değerlendirme Formu'!#REF!,"AAAAAC/V710=")</f>
        <v>#REF!</v>
      </c>
      <c r="CQ9" t="e">
        <f>AND('Değerlendirme Formu'!#REF!,"AAAAAC/V714=")</f>
        <v>#REF!</v>
      </c>
      <c r="CR9" t="e">
        <f>AND('Değerlendirme Formu'!#REF!,"AAAAAC/V718=")</f>
        <v>#REF!</v>
      </c>
      <c r="CS9" t="e">
        <f>AND('Değerlendirme Formu'!#REF!,"AAAAAC/V72A=")</f>
        <v>#REF!</v>
      </c>
      <c r="CT9" t="e">
        <f>AND('Değerlendirme Formu'!#REF!,"AAAAAC/V72E=")</f>
        <v>#REF!</v>
      </c>
      <c r="CU9" t="e">
        <f>AND('Değerlendirme Formu'!#REF!,"AAAAAC/V72I=")</f>
        <v>#REF!</v>
      </c>
      <c r="CV9" t="e">
        <f>AND('Değerlendirme Formu'!#REF!,"AAAAAC/V72M=")</f>
        <v>#REF!</v>
      </c>
      <c r="CW9" t="e">
        <f>AND('Değerlendirme Formu'!#REF!,"AAAAAC/V72Q=")</f>
        <v>#REF!</v>
      </c>
      <c r="CX9" t="e">
        <f>AND('Değerlendirme Formu'!#REF!,"AAAAAC/V72U=")</f>
        <v>#REF!</v>
      </c>
      <c r="CY9" t="e">
        <f>AND('Değerlendirme Formu'!#REF!,"AAAAAC/V72Y=")</f>
        <v>#REF!</v>
      </c>
      <c r="CZ9" t="e">
        <f>AND('Değerlendirme Formu'!#REF!,"AAAAAC/V72c=")</f>
        <v>#REF!</v>
      </c>
      <c r="DA9" t="e">
        <f>AND('Değerlendirme Formu'!#REF!,"AAAAAC/V72g=")</f>
        <v>#REF!</v>
      </c>
      <c r="DB9" t="e">
        <f>AND('Değerlendirme Formu'!#REF!,"AAAAAC/V72k=")</f>
        <v>#REF!</v>
      </c>
      <c r="DC9" t="e">
        <f>AND('Değerlendirme Formu'!#REF!,"AAAAAC/V72o=")</f>
        <v>#REF!</v>
      </c>
      <c r="DD9">
        <f>IF('Değerlendirme Formu'!100:100,"AAAAAC/V72s=",0)</f>
        <v>0</v>
      </c>
      <c r="DE9" t="e">
        <f>AND('Değerlendirme Formu'!A100,"AAAAAC/V72w=")</f>
        <v>#VALUE!</v>
      </c>
      <c r="DF9" t="e">
        <f>AND('Değerlendirme Formu'!B100,"AAAAAC/V720=")</f>
        <v>#VALUE!</v>
      </c>
      <c r="DG9" t="e">
        <f>AND('Değerlendirme Formu'!#REF!,"AAAAAC/V724=")</f>
        <v>#REF!</v>
      </c>
      <c r="DH9" t="e">
        <f>AND('Değerlendirme Formu'!C100,"AAAAAC/V728=")</f>
        <v>#VALUE!</v>
      </c>
      <c r="DI9" t="e">
        <f>AND('Değerlendirme Formu'!D100,"AAAAAC/V73A=")</f>
        <v>#VALUE!</v>
      </c>
      <c r="DJ9" t="e">
        <f>AND('Değerlendirme Formu'!E100,"AAAAAC/V73E=")</f>
        <v>#VALUE!</v>
      </c>
      <c r="DK9" t="e">
        <f>AND('Değerlendirme Formu'!#REF!,"AAAAAC/V73I=")</f>
        <v>#REF!</v>
      </c>
      <c r="DL9" t="e">
        <f>AND('Değerlendirme Formu'!#REF!,"AAAAAC/V73M=")</f>
        <v>#REF!</v>
      </c>
      <c r="DM9" t="e">
        <f>AND('Değerlendirme Formu'!F100,"AAAAAC/V73Q=")</f>
        <v>#VALUE!</v>
      </c>
      <c r="DN9" t="e">
        <f>AND('Değerlendirme Formu'!#REF!,"AAAAAC/V73U=")</f>
        <v>#REF!</v>
      </c>
      <c r="DO9" t="e">
        <f>AND('Değerlendirme Formu'!#REF!,"AAAAAC/V73Y=")</f>
        <v>#REF!</v>
      </c>
      <c r="DP9" t="e">
        <f>AND('Değerlendirme Formu'!#REF!,"AAAAAC/V73c=")</f>
        <v>#REF!</v>
      </c>
      <c r="DQ9" t="e">
        <f>AND('Değerlendirme Formu'!#REF!,"AAAAAC/V73g=")</f>
        <v>#REF!</v>
      </c>
      <c r="DR9" t="e">
        <f>AND('Değerlendirme Formu'!#REF!,"AAAAAC/V73k=")</f>
        <v>#REF!</v>
      </c>
      <c r="DS9" t="e">
        <f>AND('Değerlendirme Formu'!G100,"AAAAAC/V73o=")</f>
        <v>#VALUE!</v>
      </c>
      <c r="DT9" t="e">
        <f>AND('Değerlendirme Formu'!H100,"AAAAAC/V73s=")</f>
        <v>#VALUE!</v>
      </c>
      <c r="DU9" t="e">
        <f>AND('Değerlendirme Formu'!I100,"AAAAAC/V73w=")</f>
        <v>#VALUE!</v>
      </c>
      <c r="DV9" t="e">
        <f>IF('Değerlendirme Formu'!#REF!,"AAAAAC/V730=",0)</f>
        <v>#REF!</v>
      </c>
      <c r="DW9" t="e">
        <f>AND('Değerlendirme Formu'!#REF!,"AAAAAC/V734=")</f>
        <v>#REF!</v>
      </c>
      <c r="DX9" t="e">
        <f>AND('Değerlendirme Formu'!#REF!,"AAAAAC/V738=")</f>
        <v>#REF!</v>
      </c>
      <c r="DY9" t="e">
        <f>AND('Değerlendirme Formu'!#REF!,"AAAAAC/V74A=")</f>
        <v>#REF!</v>
      </c>
      <c r="DZ9" t="e">
        <f>AND('Değerlendirme Formu'!#REF!,"AAAAAC/V74E=")</f>
        <v>#REF!</v>
      </c>
      <c r="EA9" t="e">
        <f>AND('Değerlendirme Formu'!#REF!,"AAAAAC/V74I=")</f>
        <v>#REF!</v>
      </c>
      <c r="EB9" t="e">
        <f>AND('Değerlendirme Formu'!#REF!,"AAAAAC/V74M=")</f>
        <v>#REF!</v>
      </c>
      <c r="EC9" t="e">
        <f>AND('Değerlendirme Formu'!#REF!,"AAAAAC/V74Q=")</f>
        <v>#REF!</v>
      </c>
      <c r="ED9" t="e">
        <f>AND('Değerlendirme Formu'!#REF!,"AAAAAC/V74U=")</f>
        <v>#REF!</v>
      </c>
      <c r="EE9" t="e">
        <f>AND('Değerlendirme Formu'!#REF!,"AAAAAC/V74Y=")</f>
        <v>#REF!</v>
      </c>
      <c r="EF9" t="e">
        <f>AND('Değerlendirme Formu'!#REF!,"AAAAAC/V74c=")</f>
        <v>#REF!</v>
      </c>
      <c r="EG9" t="e">
        <f>AND('Değerlendirme Formu'!#REF!,"AAAAAC/V74g=")</f>
        <v>#REF!</v>
      </c>
      <c r="EH9" t="e">
        <f>AND('Değerlendirme Formu'!#REF!,"AAAAAC/V74k=")</f>
        <v>#REF!</v>
      </c>
      <c r="EI9" t="e">
        <f>AND('Değerlendirme Formu'!#REF!,"AAAAAC/V74o=")</f>
        <v>#REF!</v>
      </c>
      <c r="EJ9" t="e">
        <f>AND('Değerlendirme Formu'!#REF!,"AAAAAC/V74s=")</f>
        <v>#REF!</v>
      </c>
      <c r="EK9" t="e">
        <f>AND('Değerlendirme Formu'!#REF!,"AAAAAC/V74w=")</f>
        <v>#REF!</v>
      </c>
      <c r="EL9" t="e">
        <f>AND('Değerlendirme Formu'!#REF!,"AAAAAC/V740=")</f>
        <v>#REF!</v>
      </c>
      <c r="EM9" t="e">
        <f>AND('Değerlendirme Formu'!#REF!,"AAAAAC/V744=")</f>
        <v>#REF!</v>
      </c>
      <c r="EN9" t="e">
        <f>IF('Değerlendirme Formu'!#REF!,"AAAAAC/V748=",0)</f>
        <v>#REF!</v>
      </c>
      <c r="EO9" t="e">
        <f>AND('Değerlendirme Formu'!#REF!,"AAAAAC/V75A=")</f>
        <v>#REF!</v>
      </c>
      <c r="EP9" t="e">
        <f>AND('Değerlendirme Formu'!#REF!,"AAAAAC/V75E=")</f>
        <v>#REF!</v>
      </c>
      <c r="EQ9" t="e">
        <f>AND('Değerlendirme Formu'!#REF!,"AAAAAC/V75I=")</f>
        <v>#REF!</v>
      </c>
      <c r="ER9" t="e">
        <f>AND('Değerlendirme Formu'!#REF!,"AAAAAC/V75M=")</f>
        <v>#REF!</v>
      </c>
      <c r="ES9" t="e">
        <f>AND('Değerlendirme Formu'!#REF!,"AAAAAC/V75Q=")</f>
        <v>#REF!</v>
      </c>
      <c r="ET9" t="e">
        <f>AND('Değerlendirme Formu'!#REF!,"AAAAAC/V75U=")</f>
        <v>#REF!</v>
      </c>
      <c r="EU9" t="e">
        <f>AND('Değerlendirme Formu'!#REF!,"AAAAAC/V75Y=")</f>
        <v>#REF!</v>
      </c>
      <c r="EV9" t="e">
        <f>AND('Değerlendirme Formu'!#REF!,"AAAAAC/V75c=")</f>
        <v>#REF!</v>
      </c>
      <c r="EW9" t="e">
        <f>AND('Değerlendirme Formu'!#REF!,"AAAAAC/V75g=")</f>
        <v>#REF!</v>
      </c>
      <c r="EX9" t="e">
        <f>AND('Değerlendirme Formu'!#REF!,"AAAAAC/V75k=")</f>
        <v>#REF!</v>
      </c>
      <c r="EY9" t="e">
        <f>AND('Değerlendirme Formu'!#REF!,"AAAAAC/V75o=")</f>
        <v>#REF!</v>
      </c>
      <c r="EZ9" t="e">
        <f>AND('Değerlendirme Formu'!#REF!,"AAAAAC/V75s=")</f>
        <v>#REF!</v>
      </c>
      <c r="FA9" t="e">
        <f>AND('Değerlendirme Formu'!#REF!,"AAAAAC/V75w=")</f>
        <v>#REF!</v>
      </c>
      <c r="FB9" t="e">
        <f>AND('Değerlendirme Formu'!#REF!,"AAAAAC/V750=")</f>
        <v>#REF!</v>
      </c>
      <c r="FC9" t="e">
        <f>AND('Değerlendirme Formu'!#REF!,"AAAAAC/V754=")</f>
        <v>#REF!</v>
      </c>
      <c r="FD9" t="e">
        <f>AND('Değerlendirme Formu'!#REF!,"AAAAAC/V758=")</f>
        <v>#REF!</v>
      </c>
      <c r="FE9" t="e">
        <f>AND('Değerlendirme Formu'!#REF!,"AAAAAC/V76A=")</f>
        <v>#REF!</v>
      </c>
      <c r="FF9">
        <f>IF('Değerlendirme Formu'!101:101,"AAAAAC/V76E=",0)</f>
        <v>0</v>
      </c>
      <c r="FG9" t="b">
        <f>AND('Değerlendirme Formu'!A101,"AAAAAC/V76I=")</f>
        <v>1</v>
      </c>
      <c r="FH9" t="e">
        <f>AND('Değerlendirme Formu'!B101,"AAAAAC/V76M=")</f>
        <v>#VALUE!</v>
      </c>
      <c r="FI9" t="e">
        <f>AND('Değerlendirme Formu'!#REF!,"AAAAAC/V76Q=")</f>
        <v>#REF!</v>
      </c>
      <c r="FJ9" t="e">
        <f>AND('Değerlendirme Formu'!C101,"AAAAAC/V76U=")</f>
        <v>#VALUE!</v>
      </c>
      <c r="FK9" t="b">
        <f>AND('Değerlendirme Formu'!D101,"AAAAAC/V76Y=")</f>
        <v>1</v>
      </c>
      <c r="FL9" t="b">
        <f>AND('Değerlendirme Formu'!E101,"AAAAAC/V76c=")</f>
        <v>0</v>
      </c>
      <c r="FM9" t="e">
        <f>AND('Değerlendirme Formu'!#REF!,"AAAAAC/V76g=")</f>
        <v>#REF!</v>
      </c>
      <c r="FN9" t="e">
        <f>AND('Değerlendirme Formu'!#REF!,"AAAAAC/V76k=")</f>
        <v>#REF!</v>
      </c>
      <c r="FO9" t="e">
        <f>AND('Değerlendirme Formu'!F101,"AAAAAC/V76o=")</f>
        <v>#VALUE!</v>
      </c>
      <c r="FP9" t="e">
        <f>AND('Değerlendirme Formu'!#REF!,"AAAAAC/V76s=")</f>
        <v>#REF!</v>
      </c>
      <c r="FQ9" t="e">
        <f>AND('Değerlendirme Formu'!#REF!,"AAAAAC/V76w=")</f>
        <v>#REF!</v>
      </c>
      <c r="FR9" t="e">
        <f>AND('Değerlendirme Formu'!#REF!,"AAAAAC/V760=")</f>
        <v>#REF!</v>
      </c>
      <c r="FS9" t="e">
        <f>AND('Değerlendirme Formu'!#REF!,"AAAAAC/V764=")</f>
        <v>#REF!</v>
      </c>
      <c r="FT9" t="e">
        <f>AND('Değerlendirme Formu'!#REF!,"AAAAAC/V768=")</f>
        <v>#REF!</v>
      </c>
      <c r="FU9" t="e">
        <f>AND('Değerlendirme Formu'!G101,"AAAAAC/V77A=")</f>
        <v>#VALUE!</v>
      </c>
      <c r="FV9" t="e">
        <f>AND('Değerlendirme Formu'!H101,"AAAAAC/V77E=")</f>
        <v>#VALUE!</v>
      </c>
      <c r="FW9" t="e">
        <f>AND('Değerlendirme Formu'!I101,"AAAAAC/V77I=")</f>
        <v>#VALUE!</v>
      </c>
      <c r="FX9">
        <f>IF('Değerlendirme Formu'!102:102,"AAAAAC/V77M=",0)</f>
        <v>0</v>
      </c>
      <c r="FY9" t="b">
        <f>AND('Değerlendirme Formu'!A102,"AAAAAC/V77Q=")</f>
        <v>1</v>
      </c>
      <c r="FZ9" t="e">
        <f>AND('Değerlendirme Formu'!B102,"AAAAAC/V77U=")</f>
        <v>#VALUE!</v>
      </c>
      <c r="GA9" t="e">
        <f>AND('Değerlendirme Formu'!#REF!,"AAAAAC/V77Y=")</f>
        <v>#REF!</v>
      </c>
      <c r="GB9" t="e">
        <f>AND('Değerlendirme Formu'!C102,"AAAAAC/V77c=")</f>
        <v>#VALUE!</v>
      </c>
      <c r="GC9" t="b">
        <f>AND('Değerlendirme Formu'!D102,"AAAAAC/V77g=")</f>
        <v>1</v>
      </c>
      <c r="GD9" t="b">
        <f>AND('Değerlendirme Formu'!E102,"AAAAAC/V77k=")</f>
        <v>0</v>
      </c>
      <c r="GE9" t="e">
        <f>AND('Değerlendirme Formu'!#REF!,"AAAAAC/V77o=")</f>
        <v>#REF!</v>
      </c>
      <c r="GF9" t="e">
        <f>AND('Değerlendirme Formu'!#REF!,"AAAAAC/V77s=")</f>
        <v>#REF!</v>
      </c>
      <c r="GG9" t="e">
        <f>AND('Değerlendirme Formu'!F102,"AAAAAC/V77w=")</f>
        <v>#VALUE!</v>
      </c>
      <c r="GH9" t="e">
        <f>AND('Değerlendirme Formu'!#REF!,"AAAAAC/V770=")</f>
        <v>#REF!</v>
      </c>
      <c r="GI9" t="e">
        <f>AND('Değerlendirme Formu'!#REF!,"AAAAAC/V774=")</f>
        <v>#REF!</v>
      </c>
      <c r="GJ9" t="e">
        <f>AND('Değerlendirme Formu'!#REF!,"AAAAAC/V778=")</f>
        <v>#REF!</v>
      </c>
      <c r="GK9" t="e">
        <f>AND('Değerlendirme Formu'!#REF!,"AAAAAC/V78A=")</f>
        <v>#REF!</v>
      </c>
      <c r="GL9" t="e">
        <f>AND('Değerlendirme Formu'!#REF!,"AAAAAC/V78E=")</f>
        <v>#REF!</v>
      </c>
      <c r="GM9" t="e">
        <f>AND('Değerlendirme Formu'!G102,"AAAAAC/V78I=")</f>
        <v>#VALUE!</v>
      </c>
      <c r="GN9" t="e">
        <f>AND('Değerlendirme Formu'!H102,"AAAAAC/V78M=")</f>
        <v>#VALUE!</v>
      </c>
      <c r="GO9" t="e">
        <f>AND('Değerlendirme Formu'!I102,"AAAAAC/V78Q=")</f>
        <v>#VALUE!</v>
      </c>
      <c r="GP9">
        <f>IF('Değerlendirme Formu'!103:103,"AAAAAC/V78U=",0)</f>
        <v>0</v>
      </c>
      <c r="GQ9" t="b">
        <f>AND('Değerlendirme Formu'!A103,"AAAAAC/V78Y=")</f>
        <v>1</v>
      </c>
      <c r="GR9" t="e">
        <f>AND('Değerlendirme Formu'!B103,"AAAAAC/V78c=")</f>
        <v>#VALUE!</v>
      </c>
      <c r="GS9" t="e">
        <f>AND('Değerlendirme Formu'!#REF!,"AAAAAC/V78g=")</f>
        <v>#REF!</v>
      </c>
      <c r="GT9" t="e">
        <f>AND('Değerlendirme Formu'!C103,"AAAAAC/V78k=")</f>
        <v>#VALUE!</v>
      </c>
      <c r="GU9" t="b">
        <f>AND('Değerlendirme Formu'!D103,"AAAAAC/V78o=")</f>
        <v>1</v>
      </c>
      <c r="GV9" t="b">
        <f>AND('Değerlendirme Formu'!E103,"AAAAAC/V78s=")</f>
        <v>0</v>
      </c>
      <c r="GW9" t="e">
        <f>AND('Değerlendirme Formu'!#REF!,"AAAAAC/V78w=")</f>
        <v>#REF!</v>
      </c>
      <c r="GX9" t="e">
        <f>AND('Değerlendirme Formu'!#REF!,"AAAAAC/V780=")</f>
        <v>#REF!</v>
      </c>
      <c r="GY9" t="e">
        <f>AND('Değerlendirme Formu'!F103,"AAAAAC/V784=")</f>
        <v>#VALUE!</v>
      </c>
      <c r="GZ9" t="e">
        <f>AND('Değerlendirme Formu'!#REF!,"AAAAAC/V788=")</f>
        <v>#REF!</v>
      </c>
      <c r="HA9" t="e">
        <f>AND('Değerlendirme Formu'!#REF!,"AAAAAC/V79A=")</f>
        <v>#REF!</v>
      </c>
      <c r="HB9" t="e">
        <f>AND('Değerlendirme Formu'!#REF!,"AAAAAC/V79E=")</f>
        <v>#REF!</v>
      </c>
      <c r="HC9" t="e">
        <f>AND('Değerlendirme Formu'!#REF!,"AAAAAC/V79I=")</f>
        <v>#REF!</v>
      </c>
      <c r="HD9" t="e">
        <f>AND('Değerlendirme Formu'!#REF!,"AAAAAC/V79M=")</f>
        <v>#REF!</v>
      </c>
      <c r="HE9" t="e">
        <f>AND('Değerlendirme Formu'!G103,"AAAAAC/V79Q=")</f>
        <v>#VALUE!</v>
      </c>
      <c r="HF9" t="e">
        <f>AND('Değerlendirme Formu'!H103,"AAAAAC/V79U=")</f>
        <v>#VALUE!</v>
      </c>
      <c r="HG9" t="e">
        <f>AND('Değerlendirme Formu'!I103,"AAAAAC/V79Y=")</f>
        <v>#VALUE!</v>
      </c>
      <c r="HH9">
        <f>IF('Değerlendirme Formu'!105:105,"AAAAAC/V79c=",0)</f>
        <v>0</v>
      </c>
      <c r="HI9" t="b">
        <f>AND('Değerlendirme Formu'!A105,"AAAAAC/V79g=")</f>
        <v>1</v>
      </c>
      <c r="HJ9" t="e">
        <f>AND('Değerlendirme Formu'!B105,"AAAAAC/V79k=")</f>
        <v>#VALUE!</v>
      </c>
      <c r="HK9" t="e">
        <f>AND('Değerlendirme Formu'!#REF!,"AAAAAC/V79o=")</f>
        <v>#REF!</v>
      </c>
      <c r="HL9" t="e">
        <f>AND('Değerlendirme Formu'!C105,"AAAAAC/V79s=")</f>
        <v>#VALUE!</v>
      </c>
      <c r="HM9" t="b">
        <f>AND('Değerlendirme Formu'!D105,"AAAAAC/V79w=")</f>
        <v>1</v>
      </c>
      <c r="HN9" t="b">
        <f>AND('Değerlendirme Formu'!E105,"AAAAAC/V790=")</f>
        <v>0</v>
      </c>
      <c r="HO9" t="e">
        <f>AND('Değerlendirme Formu'!#REF!,"AAAAAC/V794=")</f>
        <v>#REF!</v>
      </c>
      <c r="HP9" t="e">
        <f>AND('Değerlendirme Formu'!#REF!,"AAAAAC/V798=")</f>
        <v>#REF!</v>
      </c>
      <c r="HQ9" t="e">
        <f>AND('Değerlendirme Formu'!F105,"AAAAAC/V7+A=")</f>
        <v>#VALUE!</v>
      </c>
      <c r="HR9" t="e">
        <f>AND('Değerlendirme Formu'!#REF!,"AAAAAC/V7+E=")</f>
        <v>#REF!</v>
      </c>
      <c r="HS9" t="e">
        <f>AND('Değerlendirme Formu'!#REF!,"AAAAAC/V7+I=")</f>
        <v>#REF!</v>
      </c>
      <c r="HT9" t="e">
        <f>AND('Değerlendirme Formu'!#REF!,"AAAAAC/V7+M=")</f>
        <v>#REF!</v>
      </c>
      <c r="HU9" t="e">
        <f>AND('Değerlendirme Formu'!#REF!,"AAAAAC/V7+Q=")</f>
        <v>#REF!</v>
      </c>
      <c r="HV9" t="e">
        <f>AND('Değerlendirme Formu'!#REF!,"AAAAAC/V7+U=")</f>
        <v>#REF!</v>
      </c>
      <c r="HW9" t="e">
        <f>AND('Değerlendirme Formu'!G105,"AAAAAC/V7+Y=")</f>
        <v>#VALUE!</v>
      </c>
      <c r="HX9" t="e">
        <f>AND('Değerlendirme Formu'!H105,"AAAAAC/V7+c=")</f>
        <v>#VALUE!</v>
      </c>
      <c r="HY9" t="e">
        <f>AND('Değerlendirme Formu'!I105,"AAAAAC/V7+g=")</f>
        <v>#VALUE!</v>
      </c>
      <c r="HZ9">
        <f>IF('Değerlendirme Formu'!106:106,"AAAAAC/V7+k=",0)</f>
        <v>0</v>
      </c>
      <c r="IA9" t="b">
        <f>AND('Değerlendirme Formu'!A106,"AAAAAC/V7+o=")</f>
        <v>1</v>
      </c>
      <c r="IB9" t="e">
        <f>AND('Değerlendirme Formu'!B106,"AAAAAC/V7+s=")</f>
        <v>#VALUE!</v>
      </c>
      <c r="IC9" t="e">
        <f>AND('Değerlendirme Formu'!#REF!,"AAAAAC/V7+w=")</f>
        <v>#REF!</v>
      </c>
      <c r="ID9" t="e">
        <f>AND('Değerlendirme Formu'!C106,"AAAAAC/V7+0=")</f>
        <v>#VALUE!</v>
      </c>
      <c r="IE9" t="b">
        <f>AND('Değerlendirme Formu'!D106,"AAAAAC/V7+4=")</f>
        <v>1</v>
      </c>
      <c r="IF9" t="b">
        <f>AND('Değerlendirme Formu'!E106,"AAAAAC/V7+8=")</f>
        <v>0</v>
      </c>
      <c r="IG9" t="e">
        <f>AND('Değerlendirme Formu'!#REF!,"AAAAAC/V7/A=")</f>
        <v>#REF!</v>
      </c>
      <c r="IH9" t="e">
        <f>AND('Değerlendirme Formu'!#REF!,"AAAAAC/V7/E=")</f>
        <v>#REF!</v>
      </c>
      <c r="II9" t="e">
        <f>AND('Değerlendirme Formu'!F106,"AAAAAC/V7/I=")</f>
        <v>#VALUE!</v>
      </c>
      <c r="IJ9" t="e">
        <f>AND('Değerlendirme Formu'!#REF!,"AAAAAC/V7/M=")</f>
        <v>#REF!</v>
      </c>
      <c r="IK9" t="e">
        <f>AND('Değerlendirme Formu'!#REF!,"AAAAAC/V7/Q=")</f>
        <v>#REF!</v>
      </c>
      <c r="IL9" t="e">
        <f>AND('Değerlendirme Formu'!#REF!,"AAAAAC/V7/U=")</f>
        <v>#REF!</v>
      </c>
      <c r="IM9" t="e">
        <f>AND('Değerlendirme Formu'!#REF!,"AAAAAC/V7/Y=")</f>
        <v>#REF!</v>
      </c>
      <c r="IN9" t="e">
        <f>AND('Değerlendirme Formu'!#REF!,"AAAAAC/V7/c=")</f>
        <v>#REF!</v>
      </c>
      <c r="IO9" t="e">
        <f>AND('Değerlendirme Formu'!G106,"AAAAAC/V7/g=")</f>
        <v>#VALUE!</v>
      </c>
      <c r="IP9" t="e">
        <f>AND('Değerlendirme Formu'!H106,"AAAAAC/V7/k=")</f>
        <v>#VALUE!</v>
      </c>
      <c r="IQ9" t="e">
        <f>AND('Değerlendirme Formu'!I106,"AAAAAC/V7/o=")</f>
        <v>#VALUE!</v>
      </c>
      <c r="IR9" t="e">
        <f>IF('Değerlendirme Formu'!#REF!,"AAAAAC/V7/s=",0)</f>
        <v>#REF!</v>
      </c>
      <c r="IS9" t="e">
        <f>AND('Değerlendirme Formu'!#REF!,"AAAAAC/V7/w=")</f>
        <v>#REF!</v>
      </c>
      <c r="IT9" t="e">
        <f>AND('Değerlendirme Formu'!#REF!,"AAAAAC/V7/0=")</f>
        <v>#REF!</v>
      </c>
      <c r="IU9" t="e">
        <f>AND('Değerlendirme Formu'!#REF!,"AAAAAC/V7/4=")</f>
        <v>#REF!</v>
      </c>
      <c r="IV9" t="e">
        <f>AND('Değerlendirme Formu'!#REF!,"AAAAAC/V7/8=")</f>
        <v>#REF!</v>
      </c>
    </row>
    <row r="10" spans="1:256" x14ac:dyDescent="0.2">
      <c r="A10" t="e">
        <f>AND('Değerlendirme Formu'!#REF!,"AAAAAGv7/wA=")</f>
        <v>#REF!</v>
      </c>
      <c r="B10" t="e">
        <f>AND('Değerlendirme Formu'!#REF!,"AAAAAGv7/wE=")</f>
        <v>#REF!</v>
      </c>
      <c r="C10" t="e">
        <f>AND('Değerlendirme Formu'!#REF!,"AAAAAGv7/wI=")</f>
        <v>#REF!</v>
      </c>
      <c r="D10" t="e">
        <f>AND('Değerlendirme Formu'!#REF!,"AAAAAGv7/wM=")</f>
        <v>#REF!</v>
      </c>
      <c r="E10" t="e">
        <f>AND('Değerlendirme Formu'!#REF!,"AAAAAGv7/wQ=")</f>
        <v>#REF!</v>
      </c>
      <c r="F10" t="e">
        <f>AND('Değerlendirme Formu'!#REF!,"AAAAAGv7/wU=")</f>
        <v>#REF!</v>
      </c>
      <c r="G10" t="e">
        <f>AND('Değerlendirme Formu'!#REF!,"AAAAAGv7/wY=")</f>
        <v>#REF!</v>
      </c>
      <c r="H10" t="e">
        <f>AND('Değerlendirme Formu'!#REF!,"AAAAAGv7/wc=")</f>
        <v>#REF!</v>
      </c>
      <c r="I10" t="e">
        <f>AND('Değerlendirme Formu'!#REF!,"AAAAAGv7/wg=")</f>
        <v>#REF!</v>
      </c>
      <c r="J10" t="e">
        <f>AND('Değerlendirme Formu'!#REF!,"AAAAAGv7/wk=")</f>
        <v>#REF!</v>
      </c>
      <c r="K10" t="e">
        <f>AND('Değerlendirme Formu'!#REF!,"AAAAAGv7/wo=")</f>
        <v>#REF!</v>
      </c>
      <c r="L10" t="e">
        <f>AND('Değerlendirme Formu'!#REF!,"AAAAAGv7/ws=")</f>
        <v>#REF!</v>
      </c>
      <c r="M10" t="e">
        <f>AND('Değerlendirme Formu'!#REF!,"AAAAAGv7/ww=")</f>
        <v>#REF!</v>
      </c>
      <c r="N10">
        <f>IF('Değerlendirme Formu'!108:108,"AAAAAGv7/w0=",0)</f>
        <v>0</v>
      </c>
      <c r="O10" t="e">
        <f>AND('Değerlendirme Formu'!A108,"AAAAAGv7/w4=")</f>
        <v>#VALUE!</v>
      </c>
      <c r="P10" t="e">
        <f>AND('Değerlendirme Formu'!B108,"AAAAAGv7/w8=")</f>
        <v>#VALUE!</v>
      </c>
      <c r="Q10" t="e">
        <f>AND('Değerlendirme Formu'!#REF!,"AAAAAGv7/xA=")</f>
        <v>#REF!</v>
      </c>
      <c r="R10" t="e">
        <f>AND('Değerlendirme Formu'!#REF!,"AAAAAGv7/xE=")</f>
        <v>#REF!</v>
      </c>
      <c r="S10" t="e">
        <f>AND('Değerlendirme Formu'!#REF!,"AAAAAGv7/xI=")</f>
        <v>#REF!</v>
      </c>
      <c r="T10" t="e">
        <f>AND('Değerlendirme Formu'!#REF!,"AAAAAGv7/xM=")</f>
        <v>#REF!</v>
      </c>
      <c r="U10" t="e">
        <f>AND('Değerlendirme Formu'!#REF!,"AAAAAGv7/xQ=")</f>
        <v>#REF!</v>
      </c>
      <c r="V10" t="e">
        <f>AND('Değerlendirme Formu'!#REF!,"AAAAAGv7/xU=")</f>
        <v>#REF!</v>
      </c>
      <c r="W10" t="e">
        <f>AND('Değerlendirme Formu'!F108,"AAAAAGv7/xY=")</f>
        <v>#VALUE!</v>
      </c>
      <c r="X10" t="e">
        <f>AND('Değerlendirme Formu'!#REF!,"AAAAAGv7/xc=")</f>
        <v>#REF!</v>
      </c>
      <c r="Y10" t="b">
        <f>AND('Değerlendirme Formu'!C108,"AAAAAGv7/xg=")</f>
        <v>1</v>
      </c>
      <c r="Z10" t="b">
        <f>AND('Değerlendirme Formu'!D108,"AAAAAGv7/xk=")</f>
        <v>1</v>
      </c>
      <c r="AA10" t="b">
        <f>AND('Değerlendirme Formu'!E108,"AAAAAGv7/xo=")</f>
        <v>1</v>
      </c>
      <c r="AB10" t="e">
        <f>AND('Değerlendirme Formu'!#REF!,"AAAAAGv7/xs=")</f>
        <v>#REF!</v>
      </c>
      <c r="AC10" t="e">
        <f>AND('Değerlendirme Formu'!G108,"AAAAAGv7/xw=")</f>
        <v>#VALUE!</v>
      </c>
      <c r="AD10" t="e">
        <f>AND('Değerlendirme Formu'!H108,"AAAAAGv7/x0=")</f>
        <v>#VALUE!</v>
      </c>
      <c r="AE10" t="e">
        <f>AND('Değerlendirme Formu'!I108,"AAAAAGv7/x4=")</f>
        <v>#VALUE!</v>
      </c>
      <c r="AF10">
        <f>IF('Değerlendirme Formu'!109:109,"AAAAAGv7/x8=",0)</f>
        <v>0</v>
      </c>
      <c r="AG10" t="e">
        <f>AND('Değerlendirme Formu'!A109,"AAAAAGv7/yA=")</f>
        <v>#VALUE!</v>
      </c>
      <c r="AH10" t="e">
        <f>AND('Değerlendirme Formu'!B109,"AAAAAGv7/yE=")</f>
        <v>#VALUE!</v>
      </c>
      <c r="AI10" t="e">
        <f>AND('Değerlendirme Formu'!#REF!,"AAAAAGv7/yI=")</f>
        <v>#REF!</v>
      </c>
      <c r="AJ10" t="e">
        <f>AND('Değerlendirme Formu'!C109,"AAAAAGv7/yM=")</f>
        <v>#VALUE!</v>
      </c>
      <c r="AK10" t="e">
        <f>AND('Değerlendirme Formu'!D109,"AAAAAGv7/yQ=")</f>
        <v>#VALUE!</v>
      </c>
      <c r="AL10" t="e">
        <f>AND('Değerlendirme Formu'!E109,"AAAAAGv7/yU=")</f>
        <v>#VALUE!</v>
      </c>
      <c r="AM10" t="e">
        <f>AND('Değerlendirme Formu'!#REF!,"AAAAAGv7/yY=")</f>
        <v>#REF!</v>
      </c>
      <c r="AN10" t="e">
        <f>AND('Değerlendirme Formu'!#REF!,"AAAAAGv7/yc=")</f>
        <v>#REF!</v>
      </c>
      <c r="AO10" t="e">
        <f>AND('Değerlendirme Formu'!F109,"AAAAAGv7/yg=")</f>
        <v>#VALUE!</v>
      </c>
      <c r="AP10" t="e">
        <f>AND('Değerlendirme Formu'!#REF!,"AAAAAGv7/yk=")</f>
        <v>#REF!</v>
      </c>
      <c r="AQ10" t="e">
        <f>AND('Değerlendirme Formu'!#REF!,"AAAAAGv7/yo=")</f>
        <v>#REF!</v>
      </c>
      <c r="AR10" t="e">
        <f>AND('Değerlendirme Formu'!#REF!,"AAAAAGv7/ys=")</f>
        <v>#REF!</v>
      </c>
      <c r="AS10" t="e">
        <f>AND('Değerlendirme Formu'!#REF!,"AAAAAGv7/yw=")</f>
        <v>#REF!</v>
      </c>
      <c r="AT10" t="e">
        <f>AND('Değerlendirme Formu'!#REF!,"AAAAAGv7/y0=")</f>
        <v>#REF!</v>
      </c>
      <c r="AU10" t="e">
        <f>AND('Değerlendirme Formu'!G109,"AAAAAGv7/y4=")</f>
        <v>#VALUE!</v>
      </c>
      <c r="AV10" t="e">
        <f>AND('Değerlendirme Formu'!H109,"AAAAAGv7/y8=")</f>
        <v>#VALUE!</v>
      </c>
      <c r="AW10" t="e">
        <f>AND('Değerlendirme Formu'!I109,"AAAAAGv7/zA=")</f>
        <v>#VALUE!</v>
      </c>
      <c r="AX10" t="e">
        <f>IF('Değerlendirme Formu'!#REF!,"AAAAAGv7/zE=",0)</f>
        <v>#REF!</v>
      </c>
      <c r="AY10" t="e">
        <f>AND('Değerlendirme Formu'!#REF!,"AAAAAGv7/zI=")</f>
        <v>#REF!</v>
      </c>
      <c r="AZ10" t="e">
        <f>AND('Değerlendirme Formu'!#REF!,"AAAAAGv7/zM=")</f>
        <v>#REF!</v>
      </c>
      <c r="BA10" t="e">
        <f>AND('Değerlendirme Formu'!#REF!,"AAAAAGv7/zQ=")</f>
        <v>#REF!</v>
      </c>
      <c r="BB10" t="e">
        <f>AND('Değerlendirme Formu'!#REF!,"AAAAAGv7/zU=")</f>
        <v>#REF!</v>
      </c>
      <c r="BC10" t="e">
        <f>AND('Değerlendirme Formu'!#REF!,"AAAAAGv7/zY=")</f>
        <v>#REF!</v>
      </c>
      <c r="BD10" t="e">
        <f>AND('Değerlendirme Formu'!#REF!,"AAAAAGv7/zc=")</f>
        <v>#REF!</v>
      </c>
      <c r="BE10" t="e">
        <f>AND('Değerlendirme Formu'!#REF!,"AAAAAGv7/zg=")</f>
        <v>#REF!</v>
      </c>
      <c r="BF10" t="e">
        <f>AND('Değerlendirme Formu'!#REF!,"AAAAAGv7/zk=")</f>
        <v>#REF!</v>
      </c>
      <c r="BG10" t="e">
        <f>AND('Değerlendirme Formu'!#REF!,"AAAAAGv7/zo=")</f>
        <v>#REF!</v>
      </c>
      <c r="BH10" t="e">
        <f>AND('Değerlendirme Formu'!#REF!,"AAAAAGv7/zs=")</f>
        <v>#REF!</v>
      </c>
      <c r="BI10" t="e">
        <f>AND('Değerlendirme Formu'!#REF!,"AAAAAGv7/zw=")</f>
        <v>#REF!</v>
      </c>
      <c r="BJ10" t="e">
        <f>AND('Değerlendirme Formu'!#REF!,"AAAAAGv7/z0=")</f>
        <v>#REF!</v>
      </c>
      <c r="BK10" t="e">
        <f>AND('Değerlendirme Formu'!#REF!,"AAAAAGv7/z4=")</f>
        <v>#REF!</v>
      </c>
      <c r="BL10" t="e">
        <f>AND('Değerlendirme Formu'!#REF!,"AAAAAGv7/z8=")</f>
        <v>#REF!</v>
      </c>
      <c r="BM10" t="e">
        <f>AND('Değerlendirme Formu'!#REF!,"AAAAAGv7/0A=")</f>
        <v>#REF!</v>
      </c>
      <c r="BN10" t="e">
        <f>AND('Değerlendirme Formu'!#REF!,"AAAAAGv7/0E=")</f>
        <v>#REF!</v>
      </c>
      <c r="BO10" t="e">
        <f>AND('Değerlendirme Formu'!#REF!,"AAAAAGv7/0I=")</f>
        <v>#REF!</v>
      </c>
      <c r="BP10" t="e">
        <f>IF('Değerlendirme Formu'!#REF!,"AAAAAGv7/0M=",0)</f>
        <v>#REF!</v>
      </c>
      <c r="BQ10" t="e">
        <f>AND('Değerlendirme Formu'!#REF!,"AAAAAGv7/0Q=")</f>
        <v>#REF!</v>
      </c>
      <c r="BR10" t="e">
        <f>AND('Değerlendirme Formu'!#REF!,"AAAAAGv7/0U=")</f>
        <v>#REF!</v>
      </c>
      <c r="BS10" t="e">
        <f>AND('Değerlendirme Formu'!#REF!,"AAAAAGv7/0Y=")</f>
        <v>#REF!</v>
      </c>
      <c r="BT10" t="e">
        <f>AND('Değerlendirme Formu'!#REF!,"AAAAAGv7/0c=")</f>
        <v>#REF!</v>
      </c>
      <c r="BU10" t="e">
        <f>AND('Değerlendirme Formu'!#REF!,"AAAAAGv7/0g=")</f>
        <v>#REF!</v>
      </c>
      <c r="BV10" t="e">
        <f>AND('Değerlendirme Formu'!#REF!,"AAAAAGv7/0k=")</f>
        <v>#REF!</v>
      </c>
      <c r="BW10" t="e">
        <f>AND('Değerlendirme Formu'!#REF!,"AAAAAGv7/0o=")</f>
        <v>#REF!</v>
      </c>
      <c r="BX10" t="e">
        <f>AND('Değerlendirme Formu'!#REF!,"AAAAAGv7/0s=")</f>
        <v>#REF!</v>
      </c>
      <c r="BY10" t="e">
        <f>AND('Değerlendirme Formu'!#REF!,"AAAAAGv7/0w=")</f>
        <v>#REF!</v>
      </c>
      <c r="BZ10" t="e">
        <f>AND('Değerlendirme Formu'!#REF!,"AAAAAGv7/00=")</f>
        <v>#REF!</v>
      </c>
      <c r="CA10" t="e">
        <f>AND('Değerlendirme Formu'!#REF!,"AAAAAGv7/04=")</f>
        <v>#REF!</v>
      </c>
      <c r="CB10" t="e">
        <f>AND('Değerlendirme Formu'!#REF!,"AAAAAGv7/08=")</f>
        <v>#REF!</v>
      </c>
      <c r="CC10" t="e">
        <f>AND('Değerlendirme Formu'!#REF!,"AAAAAGv7/1A=")</f>
        <v>#REF!</v>
      </c>
      <c r="CD10" t="e">
        <f>AND('Değerlendirme Formu'!#REF!,"AAAAAGv7/1E=")</f>
        <v>#REF!</v>
      </c>
      <c r="CE10" t="e">
        <f>AND('Değerlendirme Formu'!#REF!,"AAAAAGv7/1I=")</f>
        <v>#REF!</v>
      </c>
      <c r="CF10" t="e">
        <f>AND('Değerlendirme Formu'!#REF!,"AAAAAGv7/1M=")</f>
        <v>#REF!</v>
      </c>
      <c r="CG10" t="e">
        <f>AND('Değerlendirme Formu'!#REF!,"AAAAAGv7/1Q=")</f>
        <v>#REF!</v>
      </c>
      <c r="CH10">
        <f>IF('Değerlendirme Formu'!110:110,"AAAAAGv7/1U=",0)</f>
        <v>0</v>
      </c>
      <c r="CI10" t="b">
        <f>AND('Değerlendirme Formu'!A110,"AAAAAGv7/1Y=")</f>
        <v>1</v>
      </c>
      <c r="CJ10" t="e">
        <f>AND('Değerlendirme Formu'!B110,"AAAAAGv7/1c=")</f>
        <v>#VALUE!</v>
      </c>
      <c r="CK10" t="e">
        <f>AND('Değerlendirme Formu'!#REF!,"AAAAAGv7/1g=")</f>
        <v>#REF!</v>
      </c>
      <c r="CL10" t="e">
        <f>AND('Değerlendirme Formu'!C110,"AAAAAGv7/1k=")</f>
        <v>#VALUE!</v>
      </c>
      <c r="CM10" t="b">
        <f>AND('Değerlendirme Formu'!D110,"AAAAAGv7/1o=")</f>
        <v>1</v>
      </c>
      <c r="CN10" t="b">
        <f>AND('Değerlendirme Formu'!E110,"AAAAAGv7/1s=")</f>
        <v>0</v>
      </c>
      <c r="CO10" t="e">
        <f>AND('Değerlendirme Formu'!#REF!,"AAAAAGv7/1w=")</f>
        <v>#REF!</v>
      </c>
      <c r="CP10" t="e">
        <f>AND('Değerlendirme Formu'!#REF!,"AAAAAGv7/10=")</f>
        <v>#REF!</v>
      </c>
      <c r="CQ10" t="e">
        <f>AND('Değerlendirme Formu'!F110,"AAAAAGv7/14=")</f>
        <v>#VALUE!</v>
      </c>
      <c r="CR10" t="e">
        <f>AND('Değerlendirme Formu'!#REF!,"AAAAAGv7/18=")</f>
        <v>#REF!</v>
      </c>
      <c r="CS10" t="e">
        <f>AND('Değerlendirme Formu'!#REF!,"AAAAAGv7/2A=")</f>
        <v>#REF!</v>
      </c>
      <c r="CT10" t="e">
        <f>AND('Değerlendirme Formu'!#REF!,"AAAAAGv7/2E=")</f>
        <v>#REF!</v>
      </c>
      <c r="CU10" t="e">
        <f>AND('Değerlendirme Formu'!#REF!,"AAAAAGv7/2I=")</f>
        <v>#REF!</v>
      </c>
      <c r="CV10" t="e">
        <f>AND('Değerlendirme Formu'!#REF!,"AAAAAGv7/2M=")</f>
        <v>#REF!</v>
      </c>
      <c r="CW10" t="e">
        <f>AND('Değerlendirme Formu'!G110,"AAAAAGv7/2Q=")</f>
        <v>#VALUE!</v>
      </c>
      <c r="CX10" t="e">
        <f>AND('Değerlendirme Formu'!H110,"AAAAAGv7/2U=")</f>
        <v>#VALUE!</v>
      </c>
      <c r="CY10" t="e">
        <f>AND('Değerlendirme Formu'!I110,"AAAAAGv7/2Y=")</f>
        <v>#VALUE!</v>
      </c>
      <c r="CZ10">
        <f>IF('Değerlendirme Formu'!112:112,"AAAAAGv7/2c=",0)</f>
        <v>0</v>
      </c>
      <c r="DA10" t="b">
        <f>AND('Değerlendirme Formu'!A112,"AAAAAGv7/2g=")</f>
        <v>1</v>
      </c>
      <c r="DB10" t="e">
        <f>AND('Değerlendirme Formu'!B112,"AAAAAGv7/2k=")</f>
        <v>#VALUE!</v>
      </c>
      <c r="DC10" t="e">
        <f>AND('Değerlendirme Formu'!#REF!,"AAAAAGv7/2o=")</f>
        <v>#REF!</v>
      </c>
      <c r="DD10" t="e">
        <f>AND('Değerlendirme Formu'!C112,"AAAAAGv7/2s=")</f>
        <v>#VALUE!</v>
      </c>
      <c r="DE10" t="b">
        <f>AND('Değerlendirme Formu'!D112,"AAAAAGv7/2w=")</f>
        <v>1</v>
      </c>
      <c r="DF10" t="b">
        <f>AND('Değerlendirme Formu'!E112,"AAAAAGv7/20=")</f>
        <v>0</v>
      </c>
      <c r="DG10" t="e">
        <f>AND('Değerlendirme Formu'!#REF!,"AAAAAGv7/24=")</f>
        <v>#REF!</v>
      </c>
      <c r="DH10" t="e">
        <f>AND('Değerlendirme Formu'!#REF!,"AAAAAGv7/28=")</f>
        <v>#REF!</v>
      </c>
      <c r="DI10" t="e">
        <f>AND('Değerlendirme Formu'!F112,"AAAAAGv7/3A=")</f>
        <v>#VALUE!</v>
      </c>
      <c r="DJ10" t="e">
        <f>AND('Değerlendirme Formu'!#REF!,"AAAAAGv7/3E=")</f>
        <v>#REF!</v>
      </c>
      <c r="DK10" t="e">
        <f>AND('Değerlendirme Formu'!#REF!,"AAAAAGv7/3I=")</f>
        <v>#REF!</v>
      </c>
      <c r="DL10" t="e">
        <f>AND('Değerlendirme Formu'!#REF!,"AAAAAGv7/3M=")</f>
        <v>#REF!</v>
      </c>
      <c r="DM10" t="e">
        <f>AND('Değerlendirme Formu'!#REF!,"AAAAAGv7/3Q=")</f>
        <v>#REF!</v>
      </c>
      <c r="DN10" t="e">
        <f>AND('Değerlendirme Formu'!#REF!,"AAAAAGv7/3U=")</f>
        <v>#REF!</v>
      </c>
      <c r="DO10" t="e">
        <f>AND('Değerlendirme Formu'!G112,"AAAAAGv7/3Y=")</f>
        <v>#VALUE!</v>
      </c>
      <c r="DP10" t="e">
        <f>AND('Değerlendirme Formu'!H112,"AAAAAGv7/3c=")</f>
        <v>#VALUE!</v>
      </c>
      <c r="DQ10" t="e">
        <f>AND('Değerlendirme Formu'!I112,"AAAAAGv7/3g=")</f>
        <v>#VALUE!</v>
      </c>
      <c r="DR10">
        <f>IF('Değerlendirme Formu'!114:114,"AAAAAGv7/3k=",0)</f>
        <v>0</v>
      </c>
      <c r="DS10" t="b">
        <f>AND('Değerlendirme Formu'!A114,"AAAAAGv7/3o=")</f>
        <v>1</v>
      </c>
      <c r="DT10" t="e">
        <f>AND('Değerlendirme Formu'!B114,"AAAAAGv7/3s=")</f>
        <v>#VALUE!</v>
      </c>
      <c r="DU10" t="e">
        <f>AND('Değerlendirme Formu'!#REF!,"AAAAAGv7/3w=")</f>
        <v>#REF!</v>
      </c>
      <c r="DV10" t="e">
        <f>AND('Değerlendirme Formu'!C114,"AAAAAGv7/30=")</f>
        <v>#VALUE!</v>
      </c>
      <c r="DW10" t="b">
        <f>AND('Değerlendirme Formu'!D114,"AAAAAGv7/34=")</f>
        <v>1</v>
      </c>
      <c r="DX10" t="b">
        <f>AND('Değerlendirme Formu'!E114,"AAAAAGv7/38=")</f>
        <v>0</v>
      </c>
      <c r="DY10" t="e">
        <f>AND('Değerlendirme Formu'!#REF!,"AAAAAGv7/4A=")</f>
        <v>#REF!</v>
      </c>
      <c r="DZ10" t="e">
        <f>AND('Değerlendirme Formu'!#REF!,"AAAAAGv7/4E=")</f>
        <v>#REF!</v>
      </c>
      <c r="EA10" t="e">
        <f>AND('Değerlendirme Formu'!F114,"AAAAAGv7/4I=")</f>
        <v>#VALUE!</v>
      </c>
      <c r="EB10" t="e">
        <f>AND('Değerlendirme Formu'!#REF!,"AAAAAGv7/4M=")</f>
        <v>#REF!</v>
      </c>
      <c r="EC10" t="e">
        <f>AND('Değerlendirme Formu'!#REF!,"AAAAAGv7/4Q=")</f>
        <v>#REF!</v>
      </c>
      <c r="ED10" t="e">
        <f>AND('Değerlendirme Formu'!#REF!,"AAAAAGv7/4U=")</f>
        <v>#REF!</v>
      </c>
      <c r="EE10" t="e">
        <f>AND('Değerlendirme Formu'!#REF!,"AAAAAGv7/4Y=")</f>
        <v>#REF!</v>
      </c>
      <c r="EF10" t="e">
        <f>AND('Değerlendirme Formu'!#REF!,"AAAAAGv7/4c=")</f>
        <v>#REF!</v>
      </c>
      <c r="EG10" t="e">
        <f>AND('Değerlendirme Formu'!G114,"AAAAAGv7/4g=")</f>
        <v>#VALUE!</v>
      </c>
      <c r="EH10" t="e">
        <f>AND('Değerlendirme Formu'!H114,"AAAAAGv7/4k=")</f>
        <v>#VALUE!</v>
      </c>
      <c r="EI10" t="e">
        <f>AND('Değerlendirme Formu'!I114,"AAAAAGv7/4o=")</f>
        <v>#VALUE!</v>
      </c>
      <c r="EJ10" t="e">
        <f>IF('Değerlendirme Formu'!#REF!,"AAAAAGv7/4s=",0)</f>
        <v>#REF!</v>
      </c>
      <c r="EK10" t="e">
        <f>AND('Değerlendirme Formu'!#REF!,"AAAAAGv7/4w=")</f>
        <v>#REF!</v>
      </c>
      <c r="EL10" t="e">
        <f>AND('Değerlendirme Formu'!#REF!,"AAAAAGv7/40=")</f>
        <v>#REF!</v>
      </c>
      <c r="EM10" t="e">
        <f>AND('Değerlendirme Formu'!#REF!,"AAAAAGv7/44=")</f>
        <v>#REF!</v>
      </c>
      <c r="EN10" t="e">
        <f>AND('Değerlendirme Formu'!#REF!,"AAAAAGv7/48=")</f>
        <v>#REF!</v>
      </c>
      <c r="EO10" t="e">
        <f>AND('Değerlendirme Formu'!#REF!,"AAAAAGv7/5A=")</f>
        <v>#REF!</v>
      </c>
      <c r="EP10" t="e">
        <f>AND('Değerlendirme Formu'!#REF!,"AAAAAGv7/5E=")</f>
        <v>#REF!</v>
      </c>
      <c r="EQ10" t="e">
        <f>AND('Değerlendirme Formu'!#REF!,"AAAAAGv7/5I=")</f>
        <v>#REF!</v>
      </c>
      <c r="ER10" t="e">
        <f>AND('Değerlendirme Formu'!#REF!,"AAAAAGv7/5M=")</f>
        <v>#REF!</v>
      </c>
      <c r="ES10" t="e">
        <f>AND('Değerlendirme Formu'!#REF!,"AAAAAGv7/5Q=")</f>
        <v>#REF!</v>
      </c>
      <c r="ET10" t="e">
        <f>AND('Değerlendirme Formu'!#REF!,"AAAAAGv7/5U=")</f>
        <v>#REF!</v>
      </c>
      <c r="EU10" t="e">
        <f>AND('Değerlendirme Formu'!#REF!,"AAAAAGv7/5Y=")</f>
        <v>#REF!</v>
      </c>
      <c r="EV10" t="e">
        <f>AND('Değerlendirme Formu'!#REF!,"AAAAAGv7/5c=")</f>
        <v>#REF!</v>
      </c>
      <c r="EW10" t="e">
        <f>AND('Değerlendirme Formu'!#REF!,"AAAAAGv7/5g=")</f>
        <v>#REF!</v>
      </c>
      <c r="EX10" t="e">
        <f>AND('Değerlendirme Formu'!#REF!,"AAAAAGv7/5k=")</f>
        <v>#REF!</v>
      </c>
      <c r="EY10" t="e">
        <f>AND('Değerlendirme Formu'!#REF!,"AAAAAGv7/5o=")</f>
        <v>#REF!</v>
      </c>
      <c r="EZ10" t="e">
        <f>AND('Değerlendirme Formu'!#REF!,"AAAAAGv7/5s=")</f>
        <v>#REF!</v>
      </c>
      <c r="FA10" t="e">
        <f>AND('Değerlendirme Formu'!#REF!,"AAAAAGv7/5w=")</f>
        <v>#REF!</v>
      </c>
      <c r="FB10" t="e">
        <f>IF('Değerlendirme Formu'!#REF!,"AAAAAGv7/50=",0)</f>
        <v>#REF!</v>
      </c>
      <c r="FC10" t="e">
        <f>AND('Değerlendirme Formu'!#REF!,"AAAAAGv7/54=")</f>
        <v>#REF!</v>
      </c>
      <c r="FD10" t="e">
        <f>AND('Değerlendirme Formu'!#REF!,"AAAAAGv7/58=")</f>
        <v>#REF!</v>
      </c>
      <c r="FE10" t="e">
        <f>AND('Değerlendirme Formu'!#REF!,"AAAAAGv7/6A=")</f>
        <v>#REF!</v>
      </c>
      <c r="FF10" t="e">
        <f>AND('Değerlendirme Formu'!#REF!,"AAAAAGv7/6E=")</f>
        <v>#REF!</v>
      </c>
      <c r="FG10" t="e">
        <f>AND('Değerlendirme Formu'!#REF!,"AAAAAGv7/6I=")</f>
        <v>#REF!</v>
      </c>
      <c r="FH10" t="e">
        <f>AND('Değerlendirme Formu'!#REF!,"AAAAAGv7/6M=")</f>
        <v>#REF!</v>
      </c>
      <c r="FI10" t="e">
        <f>AND('Değerlendirme Formu'!#REF!,"AAAAAGv7/6Q=")</f>
        <v>#REF!</v>
      </c>
      <c r="FJ10" t="e">
        <f>AND('Değerlendirme Formu'!#REF!,"AAAAAGv7/6U=")</f>
        <v>#REF!</v>
      </c>
      <c r="FK10" t="e">
        <f>AND('Değerlendirme Formu'!#REF!,"AAAAAGv7/6Y=")</f>
        <v>#REF!</v>
      </c>
      <c r="FL10" t="e">
        <f>AND('Değerlendirme Formu'!#REF!,"AAAAAGv7/6c=")</f>
        <v>#REF!</v>
      </c>
      <c r="FM10" t="e">
        <f>AND('Değerlendirme Formu'!#REF!,"AAAAAGv7/6g=")</f>
        <v>#REF!</v>
      </c>
      <c r="FN10" t="e">
        <f>AND('Değerlendirme Formu'!#REF!,"AAAAAGv7/6k=")</f>
        <v>#REF!</v>
      </c>
      <c r="FO10" t="e">
        <f>AND('Değerlendirme Formu'!#REF!,"AAAAAGv7/6o=")</f>
        <v>#REF!</v>
      </c>
      <c r="FP10" t="e">
        <f>AND('Değerlendirme Formu'!#REF!,"AAAAAGv7/6s=")</f>
        <v>#REF!</v>
      </c>
      <c r="FQ10" t="e">
        <f>AND('Değerlendirme Formu'!#REF!,"AAAAAGv7/6w=")</f>
        <v>#REF!</v>
      </c>
      <c r="FR10" t="e">
        <f>AND('Değerlendirme Formu'!#REF!,"AAAAAGv7/60=")</f>
        <v>#REF!</v>
      </c>
      <c r="FS10" t="e">
        <f>AND('Değerlendirme Formu'!#REF!,"AAAAAGv7/64=")</f>
        <v>#REF!</v>
      </c>
      <c r="FT10">
        <f>IF('Değerlendirme Formu'!115:115,"AAAAAGv7/68=",0)</f>
        <v>0</v>
      </c>
      <c r="FU10" t="b">
        <f>AND('Değerlendirme Formu'!A115,"AAAAAGv7/7A=")</f>
        <v>1</v>
      </c>
      <c r="FV10" t="e">
        <f>AND('Değerlendirme Formu'!B115,"AAAAAGv7/7E=")</f>
        <v>#VALUE!</v>
      </c>
      <c r="FW10" t="e">
        <f>AND('Değerlendirme Formu'!#REF!,"AAAAAGv7/7I=")</f>
        <v>#REF!</v>
      </c>
      <c r="FX10" t="e">
        <f>AND('Değerlendirme Formu'!C115,"AAAAAGv7/7M=")</f>
        <v>#VALUE!</v>
      </c>
      <c r="FY10" t="b">
        <f>AND('Değerlendirme Formu'!D115,"AAAAAGv7/7Q=")</f>
        <v>1</v>
      </c>
      <c r="FZ10" t="b">
        <f>AND('Değerlendirme Formu'!E115,"AAAAAGv7/7U=")</f>
        <v>0</v>
      </c>
      <c r="GA10" t="e">
        <f>AND('Değerlendirme Formu'!#REF!,"AAAAAGv7/7Y=")</f>
        <v>#REF!</v>
      </c>
      <c r="GB10" t="e">
        <f>AND('Değerlendirme Formu'!#REF!,"AAAAAGv7/7c=")</f>
        <v>#REF!</v>
      </c>
      <c r="GC10" t="e">
        <f>AND('Değerlendirme Formu'!F115,"AAAAAGv7/7g=")</f>
        <v>#VALUE!</v>
      </c>
      <c r="GD10" t="e">
        <f>AND('Değerlendirme Formu'!#REF!,"AAAAAGv7/7k=")</f>
        <v>#REF!</v>
      </c>
      <c r="GE10" t="e">
        <f>AND('Değerlendirme Formu'!#REF!,"AAAAAGv7/7o=")</f>
        <v>#REF!</v>
      </c>
      <c r="GF10" t="e">
        <f>AND('Değerlendirme Formu'!#REF!,"AAAAAGv7/7s=")</f>
        <v>#REF!</v>
      </c>
      <c r="GG10" t="e">
        <f>AND('Değerlendirme Formu'!#REF!,"AAAAAGv7/7w=")</f>
        <v>#REF!</v>
      </c>
      <c r="GH10" t="e">
        <f>AND('Değerlendirme Formu'!#REF!,"AAAAAGv7/70=")</f>
        <v>#REF!</v>
      </c>
      <c r="GI10" t="e">
        <f>AND('Değerlendirme Formu'!G115,"AAAAAGv7/74=")</f>
        <v>#VALUE!</v>
      </c>
      <c r="GJ10" t="e">
        <f>AND('Değerlendirme Formu'!H115,"AAAAAGv7/78=")</f>
        <v>#VALUE!</v>
      </c>
      <c r="GK10" t="e">
        <f>AND('Değerlendirme Formu'!I115,"AAAAAGv7/8A=")</f>
        <v>#VALUE!</v>
      </c>
      <c r="GL10">
        <f>IF('Değerlendirme Formu'!116:116,"AAAAAGv7/8E=",0)</f>
        <v>0</v>
      </c>
      <c r="GM10" t="e">
        <f>AND('Değerlendirme Formu'!A116,"AAAAAGv7/8I=")</f>
        <v>#VALUE!</v>
      </c>
      <c r="GN10" t="e">
        <f>AND('Değerlendirme Formu'!B116,"AAAAAGv7/8M=")</f>
        <v>#VALUE!</v>
      </c>
      <c r="GO10" t="e">
        <f>AND('Değerlendirme Formu'!#REF!,"AAAAAGv7/8Q=")</f>
        <v>#REF!</v>
      </c>
      <c r="GP10" t="e">
        <f>AND('Değerlendirme Formu'!#REF!,"AAAAAGv7/8U=")</f>
        <v>#REF!</v>
      </c>
      <c r="GQ10" t="e">
        <f>AND('Değerlendirme Formu'!#REF!,"AAAAAGv7/8Y=")</f>
        <v>#REF!</v>
      </c>
      <c r="GR10" t="e">
        <f>AND('Değerlendirme Formu'!#REF!,"AAAAAGv7/8c=")</f>
        <v>#REF!</v>
      </c>
      <c r="GS10" t="e">
        <f>AND('Değerlendirme Formu'!#REF!,"AAAAAGv7/8g=")</f>
        <v>#REF!</v>
      </c>
      <c r="GT10" t="e">
        <f>AND('Değerlendirme Formu'!#REF!,"AAAAAGv7/8k=")</f>
        <v>#REF!</v>
      </c>
      <c r="GU10" t="e">
        <f>AND('Değerlendirme Formu'!F116,"AAAAAGv7/8o=")</f>
        <v>#VALUE!</v>
      </c>
      <c r="GV10" t="e">
        <f>AND('Değerlendirme Formu'!#REF!,"AAAAAGv7/8s=")</f>
        <v>#REF!</v>
      </c>
      <c r="GW10" t="b">
        <f>AND('Değerlendirme Formu'!C116,"AAAAAGv7/8w=")</f>
        <v>1</v>
      </c>
      <c r="GX10" t="b">
        <f>AND('Değerlendirme Formu'!D116,"AAAAAGv7/80=")</f>
        <v>1</v>
      </c>
      <c r="GY10" t="b">
        <f>AND('Değerlendirme Formu'!E116,"AAAAAGv7/84=")</f>
        <v>1</v>
      </c>
      <c r="GZ10" t="e">
        <f>AND('Değerlendirme Formu'!#REF!,"AAAAAGv7/88=")</f>
        <v>#REF!</v>
      </c>
      <c r="HA10" t="e">
        <f>AND('Değerlendirme Formu'!G116,"AAAAAGv7/9A=")</f>
        <v>#VALUE!</v>
      </c>
      <c r="HB10" t="e">
        <f>AND('Değerlendirme Formu'!H116,"AAAAAGv7/9E=")</f>
        <v>#VALUE!</v>
      </c>
      <c r="HC10" t="e">
        <f>AND('Değerlendirme Formu'!I116,"AAAAAGv7/9I=")</f>
        <v>#VALUE!</v>
      </c>
      <c r="HD10">
        <f>IF('Değerlendirme Formu'!117:117,"AAAAAGv7/9M=",0)</f>
        <v>0</v>
      </c>
      <c r="HE10" t="e">
        <f>AND('Değerlendirme Formu'!A117,"AAAAAGv7/9Q=")</f>
        <v>#VALUE!</v>
      </c>
      <c r="HF10" t="e">
        <f>AND('Değerlendirme Formu'!B117,"AAAAAGv7/9U=")</f>
        <v>#VALUE!</v>
      </c>
      <c r="HG10" t="e">
        <f>AND('Değerlendirme Formu'!#REF!,"AAAAAGv7/9Y=")</f>
        <v>#REF!</v>
      </c>
      <c r="HH10" t="e">
        <f>AND('Değerlendirme Formu'!C117,"AAAAAGv7/9c=")</f>
        <v>#VALUE!</v>
      </c>
      <c r="HI10" t="e">
        <f>AND('Değerlendirme Formu'!D117,"AAAAAGv7/9g=")</f>
        <v>#VALUE!</v>
      </c>
      <c r="HJ10" t="e">
        <f>AND('Değerlendirme Formu'!E117,"AAAAAGv7/9k=")</f>
        <v>#VALUE!</v>
      </c>
      <c r="HK10" t="e">
        <f>AND('Değerlendirme Formu'!#REF!,"AAAAAGv7/9o=")</f>
        <v>#REF!</v>
      </c>
      <c r="HL10" t="e">
        <f>AND('Değerlendirme Formu'!#REF!,"AAAAAGv7/9s=")</f>
        <v>#REF!</v>
      </c>
      <c r="HM10" t="e">
        <f>AND('Değerlendirme Formu'!F117,"AAAAAGv7/9w=")</f>
        <v>#VALUE!</v>
      </c>
      <c r="HN10" t="e">
        <f>AND('Değerlendirme Formu'!#REF!,"AAAAAGv7/90=")</f>
        <v>#REF!</v>
      </c>
      <c r="HO10" t="e">
        <f>AND('Değerlendirme Formu'!#REF!,"AAAAAGv7/94=")</f>
        <v>#REF!</v>
      </c>
      <c r="HP10" t="e">
        <f>AND('Değerlendirme Formu'!#REF!,"AAAAAGv7/98=")</f>
        <v>#REF!</v>
      </c>
      <c r="HQ10" t="e">
        <f>AND('Değerlendirme Formu'!#REF!,"AAAAAGv7/+A=")</f>
        <v>#REF!</v>
      </c>
      <c r="HR10" t="e">
        <f>AND('Değerlendirme Formu'!#REF!,"AAAAAGv7/+E=")</f>
        <v>#REF!</v>
      </c>
      <c r="HS10" t="e">
        <f>AND('Değerlendirme Formu'!G117,"AAAAAGv7/+I=")</f>
        <v>#VALUE!</v>
      </c>
      <c r="HT10" t="e">
        <f>AND('Değerlendirme Formu'!H117,"AAAAAGv7/+M=")</f>
        <v>#VALUE!</v>
      </c>
      <c r="HU10" t="e">
        <f>AND('Değerlendirme Formu'!I117,"AAAAAGv7/+Q=")</f>
        <v>#VALUE!</v>
      </c>
      <c r="HV10" t="e">
        <f>IF('Değerlendirme Formu'!#REF!,"AAAAAGv7/+U=",0)</f>
        <v>#REF!</v>
      </c>
      <c r="HW10" t="e">
        <f>AND('Değerlendirme Formu'!#REF!,"AAAAAGv7/+Y=")</f>
        <v>#REF!</v>
      </c>
      <c r="HX10" t="e">
        <f>AND('Değerlendirme Formu'!#REF!,"AAAAAGv7/+c=")</f>
        <v>#REF!</v>
      </c>
      <c r="HY10" t="e">
        <f>AND('Değerlendirme Formu'!#REF!,"AAAAAGv7/+g=")</f>
        <v>#REF!</v>
      </c>
      <c r="HZ10" t="e">
        <f>AND('Değerlendirme Formu'!#REF!,"AAAAAGv7/+k=")</f>
        <v>#REF!</v>
      </c>
      <c r="IA10" t="e">
        <f>AND('Değerlendirme Formu'!#REF!,"AAAAAGv7/+o=")</f>
        <v>#REF!</v>
      </c>
      <c r="IB10" t="e">
        <f>AND('Değerlendirme Formu'!#REF!,"AAAAAGv7/+s=")</f>
        <v>#REF!</v>
      </c>
      <c r="IC10" t="e">
        <f>AND('Değerlendirme Formu'!#REF!,"AAAAAGv7/+w=")</f>
        <v>#REF!</v>
      </c>
      <c r="ID10" t="e">
        <f>AND('Değerlendirme Formu'!#REF!,"AAAAAGv7/+0=")</f>
        <v>#REF!</v>
      </c>
      <c r="IE10" t="e">
        <f>AND('Değerlendirme Formu'!#REF!,"AAAAAGv7/+4=")</f>
        <v>#REF!</v>
      </c>
      <c r="IF10" t="e">
        <f>AND('Değerlendirme Formu'!#REF!,"AAAAAGv7/+8=")</f>
        <v>#REF!</v>
      </c>
      <c r="IG10" t="e">
        <f>AND('Değerlendirme Formu'!#REF!,"AAAAAGv7//A=")</f>
        <v>#REF!</v>
      </c>
      <c r="IH10" t="e">
        <f>AND('Değerlendirme Formu'!#REF!,"AAAAAGv7//E=")</f>
        <v>#REF!</v>
      </c>
      <c r="II10" t="e">
        <f>AND('Değerlendirme Formu'!#REF!,"AAAAAGv7//I=")</f>
        <v>#REF!</v>
      </c>
      <c r="IJ10" t="e">
        <f>AND('Değerlendirme Formu'!#REF!,"AAAAAGv7//M=")</f>
        <v>#REF!</v>
      </c>
      <c r="IK10" t="e">
        <f>AND('Değerlendirme Formu'!#REF!,"AAAAAGv7//Q=")</f>
        <v>#REF!</v>
      </c>
      <c r="IL10" t="e">
        <f>AND('Değerlendirme Formu'!#REF!,"AAAAAGv7//U=")</f>
        <v>#REF!</v>
      </c>
      <c r="IM10" t="e">
        <f>AND('Değerlendirme Formu'!#REF!,"AAAAAGv7//Y=")</f>
        <v>#REF!</v>
      </c>
      <c r="IN10" t="e">
        <f>IF('Değerlendirme Formu'!#REF!,"AAAAAGv7//c=",0)</f>
        <v>#REF!</v>
      </c>
      <c r="IO10" t="e">
        <f>AND('Değerlendirme Formu'!#REF!,"AAAAAGv7//g=")</f>
        <v>#REF!</v>
      </c>
      <c r="IP10" t="e">
        <f>AND('Değerlendirme Formu'!#REF!,"AAAAAGv7//k=")</f>
        <v>#REF!</v>
      </c>
      <c r="IQ10" t="e">
        <f>AND('Değerlendirme Formu'!#REF!,"AAAAAGv7//o=")</f>
        <v>#REF!</v>
      </c>
      <c r="IR10" t="e">
        <f>AND('Değerlendirme Formu'!#REF!,"AAAAAGv7//s=")</f>
        <v>#REF!</v>
      </c>
      <c r="IS10" t="e">
        <f>AND('Değerlendirme Formu'!#REF!,"AAAAAGv7//w=")</f>
        <v>#REF!</v>
      </c>
      <c r="IT10" t="e">
        <f>AND('Değerlendirme Formu'!#REF!,"AAAAAGv7//0=")</f>
        <v>#REF!</v>
      </c>
      <c r="IU10" t="e">
        <f>AND('Değerlendirme Formu'!#REF!,"AAAAAGv7//4=")</f>
        <v>#REF!</v>
      </c>
      <c r="IV10" t="e">
        <f>AND('Değerlendirme Formu'!#REF!,"AAAAAGv7//8=")</f>
        <v>#REF!</v>
      </c>
    </row>
    <row r="11" spans="1:256" x14ac:dyDescent="0.2">
      <c r="A11" t="e">
        <f>AND('Değerlendirme Formu'!#REF!,"AAAAAB/s2gA=")</f>
        <v>#REF!</v>
      </c>
      <c r="B11" t="e">
        <f>AND('Değerlendirme Formu'!#REF!,"AAAAAB/s2gE=")</f>
        <v>#REF!</v>
      </c>
      <c r="C11" t="e">
        <f>AND('Değerlendirme Formu'!#REF!,"AAAAAB/s2gI=")</f>
        <v>#REF!</v>
      </c>
      <c r="D11" t="e">
        <f>AND('Değerlendirme Formu'!#REF!,"AAAAAB/s2gM=")</f>
        <v>#REF!</v>
      </c>
      <c r="E11" t="e">
        <f>AND('Değerlendirme Formu'!#REF!,"AAAAAB/s2gQ=")</f>
        <v>#REF!</v>
      </c>
      <c r="F11" t="e">
        <f>AND('Değerlendirme Formu'!#REF!,"AAAAAB/s2gU=")</f>
        <v>#REF!</v>
      </c>
      <c r="G11" t="e">
        <f>AND('Değerlendirme Formu'!#REF!,"AAAAAB/s2gY=")</f>
        <v>#REF!</v>
      </c>
      <c r="H11" t="e">
        <f>AND('Değerlendirme Formu'!#REF!,"AAAAAB/s2gc=")</f>
        <v>#REF!</v>
      </c>
      <c r="I11" t="e">
        <f>AND('Değerlendirme Formu'!#REF!,"AAAAAB/s2gg=")</f>
        <v>#REF!</v>
      </c>
      <c r="J11" t="e">
        <f>IF('Değerlendirme Formu'!#REF!,"AAAAAB/s2gk=",0)</f>
        <v>#REF!</v>
      </c>
      <c r="K11" t="e">
        <f>AND('Değerlendirme Formu'!#REF!,"AAAAAB/s2go=")</f>
        <v>#REF!</v>
      </c>
      <c r="L11" t="e">
        <f>AND('Değerlendirme Formu'!#REF!,"AAAAAB/s2gs=")</f>
        <v>#REF!</v>
      </c>
      <c r="M11" t="e">
        <f>AND('Değerlendirme Formu'!#REF!,"AAAAAB/s2gw=")</f>
        <v>#REF!</v>
      </c>
      <c r="N11" t="e">
        <f>AND('Değerlendirme Formu'!#REF!,"AAAAAB/s2g0=")</f>
        <v>#REF!</v>
      </c>
      <c r="O11" t="e">
        <f>AND('Değerlendirme Formu'!#REF!,"AAAAAB/s2g4=")</f>
        <v>#REF!</v>
      </c>
      <c r="P11" t="e">
        <f>AND('Değerlendirme Formu'!#REF!,"AAAAAB/s2g8=")</f>
        <v>#REF!</v>
      </c>
      <c r="Q11" t="e">
        <f>AND('Değerlendirme Formu'!#REF!,"AAAAAB/s2hA=")</f>
        <v>#REF!</v>
      </c>
      <c r="R11" t="e">
        <f>AND('Değerlendirme Formu'!#REF!,"AAAAAB/s2hE=")</f>
        <v>#REF!</v>
      </c>
      <c r="S11" t="e">
        <f>AND('Değerlendirme Formu'!#REF!,"AAAAAB/s2hI=")</f>
        <v>#REF!</v>
      </c>
      <c r="T11" t="e">
        <f>AND('Değerlendirme Formu'!#REF!,"AAAAAB/s2hM=")</f>
        <v>#REF!</v>
      </c>
      <c r="U11" t="e">
        <f>AND('Değerlendirme Formu'!#REF!,"AAAAAB/s2hQ=")</f>
        <v>#REF!</v>
      </c>
      <c r="V11" t="e">
        <f>AND('Değerlendirme Formu'!#REF!,"AAAAAB/s2hU=")</f>
        <v>#REF!</v>
      </c>
      <c r="W11" t="e">
        <f>AND('Değerlendirme Formu'!#REF!,"AAAAAB/s2hY=")</f>
        <v>#REF!</v>
      </c>
      <c r="X11" t="e">
        <f>AND('Değerlendirme Formu'!#REF!,"AAAAAB/s2hc=")</f>
        <v>#REF!</v>
      </c>
      <c r="Y11" t="e">
        <f>AND('Değerlendirme Formu'!#REF!,"AAAAAB/s2hg=")</f>
        <v>#REF!</v>
      </c>
      <c r="Z11" t="e">
        <f>AND('Değerlendirme Formu'!#REF!,"AAAAAB/s2hk=")</f>
        <v>#REF!</v>
      </c>
      <c r="AA11" t="e">
        <f>AND('Değerlendirme Formu'!#REF!,"AAAAAB/s2ho=")</f>
        <v>#REF!</v>
      </c>
      <c r="AB11">
        <f>IF('Değerlendirme Formu'!119:119,"AAAAAB/s2hs=",0)</f>
        <v>0</v>
      </c>
      <c r="AC11" t="b">
        <f>AND('Değerlendirme Formu'!A119,"AAAAAB/s2hw=")</f>
        <v>1</v>
      </c>
      <c r="AD11" t="e">
        <f>AND('Değerlendirme Formu'!B119,"AAAAAB/s2h0=")</f>
        <v>#VALUE!</v>
      </c>
      <c r="AE11" t="e">
        <f>AND('Değerlendirme Formu'!#REF!,"AAAAAB/s2h4=")</f>
        <v>#REF!</v>
      </c>
      <c r="AF11" t="e">
        <f>AND('Değerlendirme Formu'!C119,"AAAAAB/s2h8=")</f>
        <v>#VALUE!</v>
      </c>
      <c r="AG11" t="b">
        <f>AND('Değerlendirme Formu'!D119,"AAAAAB/s2iA=")</f>
        <v>1</v>
      </c>
      <c r="AH11" t="b">
        <f>AND('Değerlendirme Formu'!E119,"AAAAAB/s2iE=")</f>
        <v>0</v>
      </c>
      <c r="AI11" t="e">
        <f>AND('Değerlendirme Formu'!#REF!,"AAAAAB/s2iI=")</f>
        <v>#REF!</v>
      </c>
      <c r="AJ11" t="e">
        <f>AND('Değerlendirme Formu'!#REF!,"AAAAAB/s2iM=")</f>
        <v>#REF!</v>
      </c>
      <c r="AK11" t="e">
        <f>AND('Değerlendirme Formu'!F119,"AAAAAB/s2iQ=")</f>
        <v>#VALUE!</v>
      </c>
      <c r="AL11" t="e">
        <f>AND('Değerlendirme Formu'!#REF!,"AAAAAB/s2iU=")</f>
        <v>#REF!</v>
      </c>
      <c r="AM11" t="e">
        <f>AND('Değerlendirme Formu'!#REF!,"AAAAAB/s2iY=")</f>
        <v>#REF!</v>
      </c>
      <c r="AN11" t="e">
        <f>AND('Değerlendirme Formu'!#REF!,"AAAAAB/s2ic=")</f>
        <v>#REF!</v>
      </c>
      <c r="AO11" t="e">
        <f>AND('Değerlendirme Formu'!#REF!,"AAAAAB/s2ig=")</f>
        <v>#REF!</v>
      </c>
      <c r="AP11" t="e">
        <f>AND('Değerlendirme Formu'!#REF!,"AAAAAB/s2ik=")</f>
        <v>#REF!</v>
      </c>
      <c r="AQ11" t="e">
        <f>AND('Değerlendirme Formu'!G128,"AAAAAB/s2io=")</f>
        <v>#VALUE!</v>
      </c>
      <c r="AR11" t="e">
        <f>AND('Değerlendirme Formu'!H128,"AAAAAB/s2is=")</f>
        <v>#VALUE!</v>
      </c>
      <c r="AS11" t="e">
        <f>AND('Değerlendirme Formu'!I128,"AAAAAB/s2iw=")</f>
        <v>#VALUE!</v>
      </c>
      <c r="AT11">
        <f>IF('Değerlendirme Formu'!120:120,"AAAAAB/s2i0=",0)</f>
        <v>0</v>
      </c>
      <c r="AU11" t="b">
        <f>AND('Değerlendirme Formu'!A120,"AAAAAB/s2i4=")</f>
        <v>1</v>
      </c>
      <c r="AV11" t="e">
        <f>AND('Değerlendirme Formu'!B120,"AAAAAB/s2i8=")</f>
        <v>#VALUE!</v>
      </c>
      <c r="AW11" t="e">
        <f>AND('Değerlendirme Formu'!#REF!,"AAAAAB/s2jA=")</f>
        <v>#REF!</v>
      </c>
      <c r="AX11" t="e">
        <f>AND('Değerlendirme Formu'!C120,"AAAAAB/s2jE=")</f>
        <v>#VALUE!</v>
      </c>
      <c r="AY11" t="b">
        <f>AND('Değerlendirme Formu'!D120,"AAAAAB/s2jI=")</f>
        <v>1</v>
      </c>
      <c r="AZ11" t="b">
        <f>AND('Değerlendirme Formu'!E120,"AAAAAB/s2jM=")</f>
        <v>0</v>
      </c>
      <c r="BA11" t="e">
        <f>AND('Değerlendirme Formu'!#REF!,"AAAAAB/s2jQ=")</f>
        <v>#REF!</v>
      </c>
      <c r="BB11" t="e">
        <f>AND('Değerlendirme Formu'!#REF!,"AAAAAB/s2jU=")</f>
        <v>#REF!</v>
      </c>
      <c r="BC11" t="e">
        <f>AND('Değerlendirme Formu'!F120,"AAAAAB/s2jY=")</f>
        <v>#VALUE!</v>
      </c>
      <c r="BD11" t="e">
        <f>AND('Değerlendirme Formu'!#REF!,"AAAAAB/s2jc=")</f>
        <v>#REF!</v>
      </c>
      <c r="BE11" t="e">
        <f>AND('Değerlendirme Formu'!#REF!,"AAAAAB/s2jg=")</f>
        <v>#REF!</v>
      </c>
      <c r="BF11" t="e">
        <f>AND('Değerlendirme Formu'!#REF!,"AAAAAB/s2jk=")</f>
        <v>#REF!</v>
      </c>
      <c r="BG11" t="e">
        <f>AND('Değerlendirme Formu'!#REF!,"AAAAAB/s2jo=")</f>
        <v>#REF!</v>
      </c>
      <c r="BH11" t="e">
        <f>AND('Değerlendirme Formu'!#REF!,"AAAAAB/s2js=")</f>
        <v>#REF!</v>
      </c>
      <c r="BI11" t="e">
        <f>AND('Değerlendirme Formu'!G120,"AAAAAB/s2jw=")</f>
        <v>#VALUE!</v>
      </c>
      <c r="BJ11" t="e">
        <f>AND('Değerlendirme Formu'!H120,"AAAAAB/s2j0=")</f>
        <v>#VALUE!</v>
      </c>
      <c r="BK11" t="e">
        <f>AND('Değerlendirme Formu'!I120,"AAAAAB/s2j4=")</f>
        <v>#VALUE!</v>
      </c>
      <c r="BL11">
        <f>IF('Değerlendirme Formu'!121:121,"AAAAAB/s2j8=",0)</f>
        <v>0</v>
      </c>
      <c r="BM11" t="b">
        <f>AND('Değerlendirme Formu'!A121,"AAAAAB/s2kA=")</f>
        <v>1</v>
      </c>
      <c r="BN11" t="e">
        <f>AND('Değerlendirme Formu'!B121,"AAAAAB/s2kE=")</f>
        <v>#VALUE!</v>
      </c>
      <c r="BO11" t="e">
        <f>AND('Değerlendirme Formu'!#REF!,"AAAAAB/s2kI=")</f>
        <v>#REF!</v>
      </c>
      <c r="BP11" t="e">
        <f>AND('Değerlendirme Formu'!C121,"AAAAAB/s2kM=")</f>
        <v>#VALUE!</v>
      </c>
      <c r="BQ11" t="b">
        <f>AND('Değerlendirme Formu'!D121,"AAAAAB/s2kQ=")</f>
        <v>1</v>
      </c>
      <c r="BR11" t="b">
        <f>AND('Değerlendirme Formu'!E121,"AAAAAB/s2kU=")</f>
        <v>0</v>
      </c>
      <c r="BS11" t="e">
        <f>AND('Değerlendirme Formu'!#REF!,"AAAAAB/s2kY=")</f>
        <v>#REF!</v>
      </c>
      <c r="BT11" t="e">
        <f>AND('Değerlendirme Formu'!#REF!,"AAAAAB/s2kc=")</f>
        <v>#REF!</v>
      </c>
      <c r="BU11" t="e">
        <f>AND('Değerlendirme Formu'!F121,"AAAAAB/s2kg=")</f>
        <v>#VALUE!</v>
      </c>
      <c r="BV11" t="e">
        <f>AND('Değerlendirme Formu'!#REF!,"AAAAAB/s2kk=")</f>
        <v>#REF!</v>
      </c>
      <c r="BW11" t="e">
        <f>AND('Değerlendirme Formu'!#REF!,"AAAAAB/s2ko=")</f>
        <v>#REF!</v>
      </c>
      <c r="BX11" t="e">
        <f>AND('Değerlendirme Formu'!#REF!,"AAAAAB/s2ks=")</f>
        <v>#REF!</v>
      </c>
      <c r="BY11" t="e">
        <f>AND('Değerlendirme Formu'!#REF!,"AAAAAB/s2kw=")</f>
        <v>#REF!</v>
      </c>
      <c r="BZ11" t="e">
        <f>AND('Değerlendirme Formu'!#REF!,"AAAAAB/s2k0=")</f>
        <v>#REF!</v>
      </c>
      <c r="CA11" t="e">
        <f>AND('Değerlendirme Formu'!G121,"AAAAAB/s2k4=")</f>
        <v>#VALUE!</v>
      </c>
      <c r="CB11" t="e">
        <f>AND('Değerlendirme Formu'!H121,"AAAAAB/s2k8=")</f>
        <v>#VALUE!</v>
      </c>
      <c r="CC11" t="e">
        <f>AND('Değerlendirme Formu'!I121,"AAAAAB/s2lA=")</f>
        <v>#VALUE!</v>
      </c>
      <c r="CD11">
        <f>IF('Değerlendirme Formu'!122:122,"AAAAAB/s2lE=",0)</f>
        <v>0</v>
      </c>
      <c r="CE11" t="e">
        <f>AND('Değerlendirme Formu'!A122,"AAAAAB/s2lI=")</f>
        <v>#VALUE!</v>
      </c>
      <c r="CF11" t="e">
        <f>AND('Değerlendirme Formu'!B122,"AAAAAB/s2lM=")</f>
        <v>#VALUE!</v>
      </c>
      <c r="CG11" t="e">
        <f>AND('Değerlendirme Formu'!#REF!,"AAAAAB/s2lQ=")</f>
        <v>#REF!</v>
      </c>
      <c r="CH11" t="e">
        <f>AND('Değerlendirme Formu'!#REF!,"AAAAAB/s2lU=")</f>
        <v>#REF!</v>
      </c>
      <c r="CI11" t="e">
        <f>AND('Değerlendirme Formu'!#REF!,"AAAAAB/s2lY=")</f>
        <v>#REF!</v>
      </c>
      <c r="CJ11" t="e">
        <f>AND('Değerlendirme Formu'!#REF!,"AAAAAB/s2lc=")</f>
        <v>#REF!</v>
      </c>
      <c r="CK11" t="e">
        <f>AND('Değerlendirme Formu'!#REF!,"AAAAAB/s2lg=")</f>
        <v>#REF!</v>
      </c>
      <c r="CL11" t="e">
        <f>AND('Değerlendirme Formu'!#REF!,"AAAAAB/s2lk=")</f>
        <v>#REF!</v>
      </c>
      <c r="CM11" t="e">
        <f>AND('Değerlendirme Formu'!F122,"AAAAAB/s2lo=")</f>
        <v>#VALUE!</v>
      </c>
      <c r="CN11" t="e">
        <f>AND('Değerlendirme Formu'!#REF!,"AAAAAB/s2ls=")</f>
        <v>#REF!</v>
      </c>
      <c r="CO11" t="b">
        <f>AND('Değerlendirme Formu'!C122,"AAAAAB/s2lw=")</f>
        <v>1</v>
      </c>
      <c r="CP11" t="b">
        <f>AND('Değerlendirme Formu'!D122,"AAAAAB/s2l0=")</f>
        <v>1</v>
      </c>
      <c r="CQ11" t="b">
        <f>AND('Değerlendirme Formu'!E122,"AAAAAB/s2l4=")</f>
        <v>1</v>
      </c>
      <c r="CR11" t="e">
        <f>AND('Değerlendirme Formu'!#REF!,"AAAAAB/s2l8=")</f>
        <v>#REF!</v>
      </c>
      <c r="CS11" t="e">
        <f>AND('Değerlendirme Formu'!G122,"AAAAAB/s2mA=")</f>
        <v>#VALUE!</v>
      </c>
      <c r="CT11" t="e">
        <f>AND('Değerlendirme Formu'!H122,"AAAAAB/s2mE=")</f>
        <v>#VALUE!</v>
      </c>
      <c r="CU11" t="e">
        <f>AND('Değerlendirme Formu'!I122,"AAAAAB/s2mI=")</f>
        <v>#VALUE!</v>
      </c>
      <c r="CV11">
        <f>IF('Değerlendirme Formu'!123:123,"AAAAAB/s2mM=",0)</f>
        <v>0</v>
      </c>
      <c r="CW11" t="e">
        <f>AND('Değerlendirme Formu'!A123,"AAAAAB/s2mQ=")</f>
        <v>#VALUE!</v>
      </c>
      <c r="CX11" t="e">
        <f>AND('Değerlendirme Formu'!B123,"AAAAAB/s2mU=")</f>
        <v>#VALUE!</v>
      </c>
      <c r="CY11" t="e">
        <f>AND('Değerlendirme Formu'!#REF!,"AAAAAB/s2mY=")</f>
        <v>#REF!</v>
      </c>
      <c r="CZ11" t="e">
        <f>AND('Değerlendirme Formu'!C123,"AAAAAB/s2mc=")</f>
        <v>#VALUE!</v>
      </c>
      <c r="DA11" t="e">
        <f>AND('Değerlendirme Formu'!D123,"AAAAAB/s2mg=")</f>
        <v>#VALUE!</v>
      </c>
      <c r="DB11" t="e">
        <f>AND('Değerlendirme Formu'!E123,"AAAAAB/s2mk=")</f>
        <v>#VALUE!</v>
      </c>
      <c r="DC11" t="e">
        <f>AND('Değerlendirme Formu'!#REF!,"AAAAAB/s2mo=")</f>
        <v>#REF!</v>
      </c>
      <c r="DD11" t="e">
        <f>AND('Değerlendirme Formu'!#REF!,"AAAAAB/s2ms=")</f>
        <v>#REF!</v>
      </c>
      <c r="DE11" t="e">
        <f>AND('Değerlendirme Formu'!F123,"AAAAAB/s2mw=")</f>
        <v>#VALUE!</v>
      </c>
      <c r="DF11" t="e">
        <f>AND('Değerlendirme Formu'!#REF!,"AAAAAB/s2m0=")</f>
        <v>#REF!</v>
      </c>
      <c r="DG11" t="e">
        <f>AND('Değerlendirme Formu'!#REF!,"AAAAAB/s2m4=")</f>
        <v>#REF!</v>
      </c>
      <c r="DH11" t="e">
        <f>AND('Değerlendirme Formu'!#REF!,"AAAAAB/s2m8=")</f>
        <v>#REF!</v>
      </c>
      <c r="DI11" t="e">
        <f>AND('Değerlendirme Formu'!#REF!,"AAAAAB/s2nA=")</f>
        <v>#REF!</v>
      </c>
      <c r="DJ11" t="e">
        <f>AND('Değerlendirme Formu'!#REF!,"AAAAAB/s2nE=")</f>
        <v>#REF!</v>
      </c>
      <c r="DK11" t="e">
        <f>AND('Değerlendirme Formu'!G123,"AAAAAB/s2nI=")</f>
        <v>#VALUE!</v>
      </c>
      <c r="DL11" t="e">
        <f>AND('Değerlendirme Formu'!H123,"AAAAAB/s2nM=")</f>
        <v>#VALUE!</v>
      </c>
      <c r="DM11" t="e">
        <f>AND('Değerlendirme Formu'!I123,"AAAAAB/s2nQ=")</f>
        <v>#VALUE!</v>
      </c>
      <c r="DN11">
        <f>IF('Değerlendirme Formu'!124:124,"AAAAAB/s2nU=",0)</f>
        <v>0</v>
      </c>
      <c r="DO11" t="b">
        <f>AND('Değerlendirme Formu'!A124,"AAAAAB/s2nY=")</f>
        <v>1</v>
      </c>
      <c r="DP11" t="e">
        <f>AND('Değerlendirme Formu'!B124,"AAAAAB/s2nc=")</f>
        <v>#VALUE!</v>
      </c>
      <c r="DQ11" t="e">
        <f>AND('Değerlendirme Formu'!#REF!,"AAAAAB/s2ng=")</f>
        <v>#REF!</v>
      </c>
      <c r="DR11" t="e">
        <f>AND('Değerlendirme Formu'!C124,"AAAAAB/s2nk=")</f>
        <v>#VALUE!</v>
      </c>
      <c r="DS11" t="b">
        <f>AND('Değerlendirme Formu'!D124,"AAAAAB/s2no=")</f>
        <v>1</v>
      </c>
      <c r="DT11" t="b">
        <f>AND('Değerlendirme Formu'!E124,"AAAAAB/s2ns=")</f>
        <v>0</v>
      </c>
      <c r="DU11" t="e">
        <f>AND('Değerlendirme Formu'!#REF!,"AAAAAB/s2nw=")</f>
        <v>#REF!</v>
      </c>
      <c r="DV11" t="e">
        <f>AND('Değerlendirme Formu'!#REF!,"AAAAAB/s2n0=")</f>
        <v>#REF!</v>
      </c>
      <c r="DW11" t="e">
        <f>AND('Değerlendirme Formu'!F124,"AAAAAB/s2n4=")</f>
        <v>#VALUE!</v>
      </c>
      <c r="DX11" t="e">
        <f>AND('Değerlendirme Formu'!#REF!,"AAAAAB/s2n8=")</f>
        <v>#REF!</v>
      </c>
      <c r="DY11" t="e">
        <f>AND('Değerlendirme Formu'!#REF!,"AAAAAB/s2oA=")</f>
        <v>#REF!</v>
      </c>
      <c r="DZ11" t="e">
        <f>AND('Değerlendirme Formu'!#REF!,"AAAAAB/s2oE=")</f>
        <v>#REF!</v>
      </c>
      <c r="EA11" t="e">
        <f>AND('Değerlendirme Formu'!#REF!,"AAAAAB/s2oI=")</f>
        <v>#REF!</v>
      </c>
      <c r="EB11" t="e">
        <f>AND('Değerlendirme Formu'!#REF!,"AAAAAB/s2oM=")</f>
        <v>#REF!</v>
      </c>
      <c r="EC11" t="e">
        <f>AND('Değerlendirme Formu'!G124,"AAAAAB/s2oQ=")</f>
        <v>#VALUE!</v>
      </c>
      <c r="ED11" t="e">
        <f>AND('Değerlendirme Formu'!H124,"AAAAAB/s2oU=")</f>
        <v>#VALUE!</v>
      </c>
      <c r="EE11" t="e">
        <f>AND('Değerlendirme Formu'!I124,"AAAAAB/s2oY=")</f>
        <v>#VALUE!</v>
      </c>
      <c r="EF11">
        <f>IF('Değerlendirme Formu'!125:125,"AAAAAB/s2oc=",0)</f>
        <v>0</v>
      </c>
      <c r="EG11" t="b">
        <f>AND('Değerlendirme Formu'!A125,"AAAAAB/s2og=")</f>
        <v>1</v>
      </c>
      <c r="EH11" t="e">
        <f>AND('Değerlendirme Formu'!B125,"AAAAAB/s2ok=")</f>
        <v>#VALUE!</v>
      </c>
      <c r="EI11" t="e">
        <f>AND('Değerlendirme Formu'!#REF!,"AAAAAB/s2oo=")</f>
        <v>#REF!</v>
      </c>
      <c r="EJ11" t="e">
        <f>AND('Değerlendirme Formu'!C125,"AAAAAB/s2os=")</f>
        <v>#VALUE!</v>
      </c>
      <c r="EK11" t="b">
        <f>AND('Değerlendirme Formu'!D125,"AAAAAB/s2ow=")</f>
        <v>1</v>
      </c>
      <c r="EL11" t="b">
        <f>AND('Değerlendirme Formu'!E125,"AAAAAB/s2o0=")</f>
        <v>0</v>
      </c>
      <c r="EM11" t="e">
        <f>AND('Değerlendirme Formu'!#REF!,"AAAAAB/s2o4=")</f>
        <v>#REF!</v>
      </c>
      <c r="EN11" t="e">
        <f>AND('Değerlendirme Formu'!#REF!,"AAAAAB/s2o8=")</f>
        <v>#REF!</v>
      </c>
      <c r="EO11" t="e">
        <f>AND('Değerlendirme Formu'!F125,"AAAAAB/s2pA=")</f>
        <v>#VALUE!</v>
      </c>
      <c r="EP11" t="e">
        <f>AND('Değerlendirme Formu'!#REF!,"AAAAAB/s2pE=")</f>
        <v>#REF!</v>
      </c>
      <c r="EQ11" t="e">
        <f>AND('Değerlendirme Formu'!#REF!,"AAAAAB/s2pI=")</f>
        <v>#REF!</v>
      </c>
      <c r="ER11" t="e">
        <f>AND('Değerlendirme Formu'!#REF!,"AAAAAB/s2pM=")</f>
        <v>#REF!</v>
      </c>
      <c r="ES11" t="e">
        <f>AND('Değerlendirme Formu'!#REF!,"AAAAAB/s2pQ=")</f>
        <v>#REF!</v>
      </c>
      <c r="ET11" t="e">
        <f>AND('Değerlendirme Formu'!#REF!,"AAAAAB/s2pU=")</f>
        <v>#REF!</v>
      </c>
      <c r="EU11" t="e">
        <f>AND('Değerlendirme Formu'!G125,"AAAAAB/s2pY=")</f>
        <v>#VALUE!</v>
      </c>
      <c r="EV11" t="e">
        <f>AND('Değerlendirme Formu'!H125,"AAAAAB/s2pc=")</f>
        <v>#VALUE!</v>
      </c>
      <c r="EW11" t="e">
        <f>AND('Değerlendirme Formu'!I125,"AAAAAB/s2pg=")</f>
        <v>#VALUE!</v>
      </c>
      <c r="EX11" t="e">
        <f>IF('Değerlendirme Formu'!#REF!,"AAAAAB/s2pk=",0)</f>
        <v>#REF!</v>
      </c>
      <c r="EY11" t="e">
        <f>AND('Değerlendirme Formu'!#REF!,"AAAAAB/s2po=")</f>
        <v>#REF!</v>
      </c>
      <c r="EZ11" t="e">
        <f>AND('Değerlendirme Formu'!#REF!,"AAAAAB/s2ps=")</f>
        <v>#REF!</v>
      </c>
      <c r="FA11" t="e">
        <f>AND('Değerlendirme Formu'!#REF!,"AAAAAB/s2pw=")</f>
        <v>#REF!</v>
      </c>
      <c r="FB11" t="e">
        <f>AND('Değerlendirme Formu'!#REF!,"AAAAAB/s2p0=")</f>
        <v>#REF!</v>
      </c>
      <c r="FC11" t="e">
        <f>AND('Değerlendirme Formu'!#REF!,"AAAAAB/s2p4=")</f>
        <v>#REF!</v>
      </c>
      <c r="FD11" t="e">
        <f>AND('Değerlendirme Formu'!#REF!,"AAAAAB/s2p8=")</f>
        <v>#REF!</v>
      </c>
      <c r="FE11" t="e">
        <f>AND('Değerlendirme Formu'!#REF!,"AAAAAB/s2qA=")</f>
        <v>#REF!</v>
      </c>
      <c r="FF11" t="e">
        <f>AND('Değerlendirme Formu'!#REF!,"AAAAAB/s2qE=")</f>
        <v>#REF!</v>
      </c>
      <c r="FG11" t="e">
        <f>AND('Değerlendirme Formu'!#REF!,"AAAAAB/s2qI=")</f>
        <v>#REF!</v>
      </c>
      <c r="FH11" t="e">
        <f>AND('Değerlendirme Formu'!#REF!,"AAAAAB/s2qM=")</f>
        <v>#REF!</v>
      </c>
      <c r="FI11" t="e">
        <f>AND('Değerlendirme Formu'!#REF!,"AAAAAB/s2qQ=")</f>
        <v>#REF!</v>
      </c>
      <c r="FJ11" t="e">
        <f>AND('Değerlendirme Formu'!#REF!,"AAAAAB/s2qU=")</f>
        <v>#REF!</v>
      </c>
      <c r="FK11" t="e">
        <f>AND('Değerlendirme Formu'!#REF!,"AAAAAB/s2qY=")</f>
        <v>#REF!</v>
      </c>
      <c r="FL11" t="e">
        <f>AND('Değerlendirme Formu'!#REF!,"AAAAAB/s2qc=")</f>
        <v>#REF!</v>
      </c>
      <c r="FM11" t="e">
        <f>AND('Değerlendirme Formu'!#REF!,"AAAAAB/s2qg=")</f>
        <v>#REF!</v>
      </c>
      <c r="FN11" t="e">
        <f>AND('Değerlendirme Formu'!#REF!,"AAAAAB/s2qk=")</f>
        <v>#REF!</v>
      </c>
      <c r="FO11" t="e">
        <f>AND('Değerlendirme Formu'!#REF!,"AAAAAB/s2qo=")</f>
        <v>#REF!</v>
      </c>
      <c r="FP11">
        <f>IF('Değerlendirme Formu'!126:126,"AAAAAB/s2qs=",0)</f>
        <v>0</v>
      </c>
      <c r="FQ11" t="b">
        <f>AND('Değerlendirme Formu'!A126,"AAAAAB/s2qw=")</f>
        <v>1</v>
      </c>
      <c r="FR11" t="e">
        <f>AND('Değerlendirme Formu'!B126,"AAAAAB/s2q0=")</f>
        <v>#VALUE!</v>
      </c>
      <c r="FS11" t="e">
        <f>AND('Değerlendirme Formu'!#REF!,"AAAAAB/s2q4=")</f>
        <v>#REF!</v>
      </c>
      <c r="FT11" t="e">
        <f>AND('Değerlendirme Formu'!C126,"AAAAAB/s2q8=")</f>
        <v>#VALUE!</v>
      </c>
      <c r="FU11" t="b">
        <f>AND('Değerlendirme Formu'!D126,"AAAAAB/s2rA=")</f>
        <v>1</v>
      </c>
      <c r="FV11" t="b">
        <f>AND('Değerlendirme Formu'!E126,"AAAAAB/s2rE=")</f>
        <v>0</v>
      </c>
      <c r="FW11" t="e">
        <f>AND('Değerlendirme Formu'!#REF!,"AAAAAB/s2rI=")</f>
        <v>#REF!</v>
      </c>
      <c r="FX11" t="e">
        <f>AND('Değerlendirme Formu'!#REF!,"AAAAAB/s2rM=")</f>
        <v>#REF!</v>
      </c>
      <c r="FY11" t="e">
        <f>AND('Değerlendirme Formu'!F126,"AAAAAB/s2rQ=")</f>
        <v>#VALUE!</v>
      </c>
      <c r="FZ11" t="e">
        <f>AND('Değerlendirme Formu'!#REF!,"AAAAAB/s2rU=")</f>
        <v>#REF!</v>
      </c>
      <c r="GA11" t="e">
        <f>AND('Değerlendirme Formu'!#REF!,"AAAAAB/s2rY=")</f>
        <v>#REF!</v>
      </c>
      <c r="GB11" t="e">
        <f>AND('Değerlendirme Formu'!#REF!,"AAAAAB/s2rc=")</f>
        <v>#REF!</v>
      </c>
      <c r="GC11" t="e">
        <f>AND('Değerlendirme Formu'!#REF!,"AAAAAB/s2rg=")</f>
        <v>#REF!</v>
      </c>
      <c r="GD11" t="e">
        <f>AND('Değerlendirme Formu'!#REF!,"AAAAAB/s2rk=")</f>
        <v>#REF!</v>
      </c>
      <c r="GE11" t="e">
        <f>AND('Değerlendirme Formu'!G126,"AAAAAB/s2ro=")</f>
        <v>#VALUE!</v>
      </c>
      <c r="GF11" t="e">
        <f>AND('Değerlendirme Formu'!H126,"AAAAAB/s2rs=")</f>
        <v>#VALUE!</v>
      </c>
      <c r="GG11" t="e">
        <f>AND('Değerlendirme Formu'!I126,"AAAAAB/s2rw=")</f>
        <v>#VALUE!</v>
      </c>
      <c r="GH11" t="e">
        <f>IF('Değerlendirme Formu'!#REF!,"AAAAAB/s2r0=",0)</f>
        <v>#REF!</v>
      </c>
      <c r="GI11" t="e">
        <f>AND('Değerlendirme Formu'!#REF!,"AAAAAB/s2r4=")</f>
        <v>#REF!</v>
      </c>
      <c r="GJ11" t="e">
        <f>AND('Değerlendirme Formu'!#REF!,"AAAAAB/s2r8=")</f>
        <v>#REF!</v>
      </c>
      <c r="GK11" t="e">
        <f>AND('Değerlendirme Formu'!#REF!,"AAAAAB/s2sA=")</f>
        <v>#REF!</v>
      </c>
      <c r="GL11" t="e">
        <f>AND('Değerlendirme Formu'!#REF!,"AAAAAB/s2sE=")</f>
        <v>#REF!</v>
      </c>
      <c r="GM11" t="e">
        <f>AND('Değerlendirme Formu'!#REF!,"AAAAAB/s2sI=")</f>
        <v>#REF!</v>
      </c>
      <c r="GN11" t="e">
        <f>AND('Değerlendirme Formu'!#REF!,"AAAAAB/s2sM=")</f>
        <v>#REF!</v>
      </c>
      <c r="GO11" t="e">
        <f>AND('Değerlendirme Formu'!#REF!,"AAAAAB/s2sQ=")</f>
        <v>#REF!</v>
      </c>
      <c r="GP11" t="e">
        <f>AND('Değerlendirme Formu'!#REF!,"AAAAAB/s2sU=")</f>
        <v>#REF!</v>
      </c>
      <c r="GQ11" t="e">
        <f>AND('Değerlendirme Formu'!#REF!,"AAAAAB/s2sY=")</f>
        <v>#REF!</v>
      </c>
      <c r="GR11" t="e">
        <f>AND('Değerlendirme Formu'!#REF!,"AAAAAB/s2sc=")</f>
        <v>#REF!</v>
      </c>
      <c r="GS11" t="e">
        <f>AND('Değerlendirme Formu'!#REF!,"AAAAAB/s2sg=")</f>
        <v>#REF!</v>
      </c>
      <c r="GT11" t="e">
        <f>AND('Değerlendirme Formu'!#REF!,"AAAAAB/s2sk=")</f>
        <v>#REF!</v>
      </c>
      <c r="GU11" t="e">
        <f>AND('Değerlendirme Formu'!#REF!,"AAAAAB/s2so=")</f>
        <v>#REF!</v>
      </c>
      <c r="GV11" t="e">
        <f>AND('Değerlendirme Formu'!#REF!,"AAAAAB/s2ss=")</f>
        <v>#REF!</v>
      </c>
      <c r="GW11" t="e">
        <f>AND('Değerlendirme Formu'!#REF!,"AAAAAB/s2sw=")</f>
        <v>#REF!</v>
      </c>
      <c r="GX11" t="e">
        <f>AND('Değerlendirme Formu'!#REF!,"AAAAAB/s2s0=")</f>
        <v>#REF!</v>
      </c>
      <c r="GY11" t="e">
        <f>AND('Değerlendirme Formu'!#REF!,"AAAAAB/s2s4=")</f>
        <v>#REF!</v>
      </c>
      <c r="GZ11" t="e">
        <f>IF('Değerlendirme Formu'!#REF!,"AAAAAB/s2s8=",0)</f>
        <v>#REF!</v>
      </c>
      <c r="HA11" t="e">
        <f>AND('Değerlendirme Formu'!#REF!,"AAAAAB/s2tA=")</f>
        <v>#REF!</v>
      </c>
      <c r="HB11" t="e">
        <f>AND('Değerlendirme Formu'!#REF!,"AAAAAB/s2tE=")</f>
        <v>#REF!</v>
      </c>
      <c r="HC11" t="e">
        <f>AND('Değerlendirme Formu'!#REF!,"AAAAAB/s2tI=")</f>
        <v>#REF!</v>
      </c>
      <c r="HD11" t="e">
        <f>AND('Değerlendirme Formu'!#REF!,"AAAAAB/s2tM=")</f>
        <v>#REF!</v>
      </c>
      <c r="HE11" t="e">
        <f>AND('Değerlendirme Formu'!#REF!,"AAAAAB/s2tQ=")</f>
        <v>#REF!</v>
      </c>
      <c r="HF11" t="e">
        <f>AND('Değerlendirme Formu'!#REF!,"AAAAAB/s2tU=")</f>
        <v>#REF!</v>
      </c>
      <c r="HG11" t="e">
        <f>AND('Değerlendirme Formu'!#REF!,"AAAAAB/s2tY=")</f>
        <v>#REF!</v>
      </c>
      <c r="HH11" t="e">
        <f>AND('Değerlendirme Formu'!#REF!,"AAAAAB/s2tc=")</f>
        <v>#REF!</v>
      </c>
      <c r="HI11" t="e">
        <f>AND('Değerlendirme Formu'!#REF!,"AAAAAB/s2tg=")</f>
        <v>#REF!</v>
      </c>
      <c r="HJ11" t="e">
        <f>AND('Değerlendirme Formu'!#REF!,"AAAAAB/s2tk=")</f>
        <v>#REF!</v>
      </c>
      <c r="HK11" t="e">
        <f>AND('Değerlendirme Formu'!#REF!,"AAAAAB/s2to=")</f>
        <v>#REF!</v>
      </c>
      <c r="HL11" t="e">
        <f>AND('Değerlendirme Formu'!#REF!,"AAAAAB/s2ts=")</f>
        <v>#REF!</v>
      </c>
      <c r="HM11" t="e">
        <f>AND('Değerlendirme Formu'!#REF!,"AAAAAB/s2tw=")</f>
        <v>#REF!</v>
      </c>
      <c r="HN11" t="e">
        <f>AND('Değerlendirme Formu'!#REF!,"AAAAAB/s2t0=")</f>
        <v>#REF!</v>
      </c>
      <c r="HO11" t="e">
        <f>AND('Değerlendirme Formu'!#REF!,"AAAAAB/s2t4=")</f>
        <v>#REF!</v>
      </c>
      <c r="HP11" t="e">
        <f>AND('Değerlendirme Formu'!#REF!,"AAAAAB/s2t8=")</f>
        <v>#REF!</v>
      </c>
      <c r="HQ11" t="e">
        <f>AND('Değerlendirme Formu'!#REF!,"AAAAAB/s2uA=")</f>
        <v>#REF!</v>
      </c>
      <c r="HR11" t="e">
        <f>IF('Değerlendirme Formu'!#REF!,"AAAAAB/s2uE=",0)</f>
        <v>#REF!</v>
      </c>
      <c r="HS11" t="e">
        <f>AND('Değerlendirme Formu'!#REF!,"AAAAAB/s2uI=")</f>
        <v>#REF!</v>
      </c>
      <c r="HT11" t="e">
        <f>AND('Değerlendirme Formu'!#REF!,"AAAAAB/s2uM=")</f>
        <v>#REF!</v>
      </c>
      <c r="HU11" t="e">
        <f>AND('Değerlendirme Formu'!#REF!,"AAAAAB/s2uQ=")</f>
        <v>#REF!</v>
      </c>
      <c r="HV11" t="e">
        <f>AND('Değerlendirme Formu'!#REF!,"AAAAAB/s2uU=")</f>
        <v>#REF!</v>
      </c>
      <c r="HW11" t="e">
        <f>AND('Değerlendirme Formu'!#REF!,"AAAAAB/s2uY=")</f>
        <v>#REF!</v>
      </c>
      <c r="HX11" t="e">
        <f>AND('Değerlendirme Formu'!#REF!,"AAAAAB/s2uc=")</f>
        <v>#REF!</v>
      </c>
      <c r="HY11" t="e">
        <f>AND('Değerlendirme Formu'!#REF!,"AAAAAB/s2ug=")</f>
        <v>#REF!</v>
      </c>
      <c r="HZ11" t="e">
        <f>AND('Değerlendirme Formu'!#REF!,"AAAAAB/s2uk=")</f>
        <v>#REF!</v>
      </c>
      <c r="IA11" t="e">
        <f>AND('Değerlendirme Formu'!#REF!,"AAAAAB/s2uo=")</f>
        <v>#REF!</v>
      </c>
      <c r="IB11" t="e">
        <f>AND('Değerlendirme Formu'!#REF!,"AAAAAB/s2us=")</f>
        <v>#REF!</v>
      </c>
      <c r="IC11" t="e">
        <f>AND('Değerlendirme Formu'!#REF!,"AAAAAB/s2uw=")</f>
        <v>#REF!</v>
      </c>
      <c r="ID11" t="e">
        <f>AND('Değerlendirme Formu'!#REF!,"AAAAAB/s2u0=")</f>
        <v>#REF!</v>
      </c>
      <c r="IE11" t="e">
        <f>AND('Değerlendirme Formu'!#REF!,"AAAAAB/s2u4=")</f>
        <v>#REF!</v>
      </c>
      <c r="IF11" t="e">
        <f>AND('Değerlendirme Formu'!#REF!,"AAAAAB/s2u8=")</f>
        <v>#REF!</v>
      </c>
      <c r="IG11" t="e">
        <f>AND('Değerlendirme Formu'!#REF!,"AAAAAB/s2vA=")</f>
        <v>#REF!</v>
      </c>
      <c r="IH11" t="e">
        <f>AND('Değerlendirme Formu'!#REF!,"AAAAAB/s2vE=")</f>
        <v>#REF!</v>
      </c>
      <c r="II11" t="e">
        <f>AND('Değerlendirme Formu'!#REF!,"AAAAAB/s2vI=")</f>
        <v>#REF!</v>
      </c>
      <c r="IJ11" t="e">
        <f>IF('Değerlendirme Formu'!#REF!,"AAAAAB/s2vM=",0)</f>
        <v>#REF!</v>
      </c>
      <c r="IK11" t="e">
        <f>AND('Değerlendirme Formu'!#REF!,"AAAAAB/s2vQ=")</f>
        <v>#REF!</v>
      </c>
      <c r="IL11" t="e">
        <f>AND('Değerlendirme Formu'!#REF!,"AAAAAB/s2vU=")</f>
        <v>#REF!</v>
      </c>
      <c r="IM11" t="e">
        <f>AND('Değerlendirme Formu'!#REF!,"AAAAAB/s2vY=")</f>
        <v>#REF!</v>
      </c>
      <c r="IN11" t="e">
        <f>AND('Değerlendirme Formu'!#REF!,"AAAAAB/s2vc=")</f>
        <v>#REF!</v>
      </c>
      <c r="IO11" t="e">
        <f>AND('Değerlendirme Formu'!#REF!,"AAAAAB/s2vg=")</f>
        <v>#REF!</v>
      </c>
      <c r="IP11" t="e">
        <f>AND('Değerlendirme Formu'!#REF!,"AAAAAB/s2vk=")</f>
        <v>#REF!</v>
      </c>
      <c r="IQ11" t="e">
        <f>AND('Değerlendirme Formu'!#REF!,"AAAAAB/s2vo=")</f>
        <v>#REF!</v>
      </c>
      <c r="IR11" t="e">
        <f>AND('Değerlendirme Formu'!#REF!,"AAAAAB/s2vs=")</f>
        <v>#REF!</v>
      </c>
      <c r="IS11" t="e">
        <f>AND('Değerlendirme Formu'!#REF!,"AAAAAB/s2vw=")</f>
        <v>#REF!</v>
      </c>
      <c r="IT11" t="e">
        <f>AND('Değerlendirme Formu'!#REF!,"AAAAAB/s2v0=")</f>
        <v>#REF!</v>
      </c>
      <c r="IU11" t="e">
        <f>AND('Değerlendirme Formu'!#REF!,"AAAAAB/s2v4=")</f>
        <v>#REF!</v>
      </c>
      <c r="IV11" t="e">
        <f>AND('Değerlendirme Formu'!#REF!,"AAAAAB/s2v8=")</f>
        <v>#REF!</v>
      </c>
    </row>
    <row r="12" spans="1:256" x14ac:dyDescent="0.2">
      <c r="A12" t="e">
        <f>AND('Değerlendirme Formu'!#REF!,"AAAAAE/v+wA=")</f>
        <v>#REF!</v>
      </c>
      <c r="B12" t="e">
        <f>AND('Değerlendirme Formu'!#REF!,"AAAAAE/v+wE=")</f>
        <v>#REF!</v>
      </c>
      <c r="C12" t="e">
        <f>AND('Değerlendirme Formu'!#REF!,"AAAAAE/v+wI=")</f>
        <v>#REF!</v>
      </c>
      <c r="D12" t="e">
        <f>AND('Değerlendirme Formu'!#REF!,"AAAAAE/v+wM=")</f>
        <v>#REF!</v>
      </c>
      <c r="E12" t="e">
        <f>AND('Değerlendirme Formu'!#REF!,"AAAAAE/v+wQ=")</f>
        <v>#REF!</v>
      </c>
      <c r="F12">
        <f>IF('Değerlendirme Formu'!127:127,"AAAAAE/v+wU=",0)</f>
        <v>0</v>
      </c>
      <c r="G12" t="b">
        <f>AND('Değerlendirme Formu'!A127,"AAAAAE/v+wY=")</f>
        <v>1</v>
      </c>
      <c r="H12" t="e">
        <f>AND('Değerlendirme Formu'!B127,"AAAAAE/v+wc=")</f>
        <v>#VALUE!</v>
      </c>
      <c r="I12" t="e">
        <f>AND('Değerlendirme Formu'!#REF!,"AAAAAE/v+wg=")</f>
        <v>#REF!</v>
      </c>
      <c r="J12" t="e">
        <f>AND('Değerlendirme Formu'!C127,"AAAAAE/v+wk=")</f>
        <v>#VALUE!</v>
      </c>
      <c r="K12" t="b">
        <f>AND('Değerlendirme Formu'!D127,"AAAAAE/v+wo=")</f>
        <v>1</v>
      </c>
      <c r="L12" t="b">
        <f>AND('Değerlendirme Formu'!E127,"AAAAAE/v+ws=")</f>
        <v>0</v>
      </c>
      <c r="M12" t="e">
        <f>AND('Değerlendirme Formu'!#REF!,"AAAAAE/v+ww=")</f>
        <v>#REF!</v>
      </c>
      <c r="N12" t="e">
        <f>AND('Değerlendirme Formu'!#REF!,"AAAAAE/v+w0=")</f>
        <v>#REF!</v>
      </c>
      <c r="O12" t="e">
        <f>AND('Değerlendirme Formu'!F127,"AAAAAE/v+w4=")</f>
        <v>#VALUE!</v>
      </c>
      <c r="P12" t="e">
        <f>AND('Değerlendirme Formu'!#REF!,"AAAAAE/v+w8=")</f>
        <v>#REF!</v>
      </c>
      <c r="Q12" t="e">
        <f>AND('Değerlendirme Formu'!#REF!,"AAAAAE/v+xA=")</f>
        <v>#REF!</v>
      </c>
      <c r="R12" t="e">
        <f>AND('Değerlendirme Formu'!#REF!,"AAAAAE/v+xE=")</f>
        <v>#REF!</v>
      </c>
      <c r="S12" t="e">
        <f>AND('Değerlendirme Formu'!#REF!,"AAAAAE/v+xI=")</f>
        <v>#REF!</v>
      </c>
      <c r="T12" t="e">
        <f>AND('Değerlendirme Formu'!#REF!,"AAAAAE/v+xM=")</f>
        <v>#REF!</v>
      </c>
      <c r="U12" t="e">
        <f>AND('Değerlendirme Formu'!G127,"AAAAAE/v+xQ=")</f>
        <v>#VALUE!</v>
      </c>
      <c r="V12" t="e">
        <f>AND('Değerlendirme Formu'!H127,"AAAAAE/v+xU=")</f>
        <v>#VALUE!</v>
      </c>
      <c r="W12" t="e">
        <f>AND('Değerlendirme Formu'!I127,"AAAAAE/v+xY=")</f>
        <v>#VALUE!</v>
      </c>
      <c r="X12" t="e">
        <f>IF('Değerlendirme Formu'!#REF!,"AAAAAE/v+xc=",0)</f>
        <v>#REF!</v>
      </c>
      <c r="Y12" t="e">
        <f>AND('Değerlendirme Formu'!#REF!,"AAAAAE/v+xg=")</f>
        <v>#REF!</v>
      </c>
      <c r="Z12" t="e">
        <f>AND('Değerlendirme Formu'!#REF!,"AAAAAE/v+xk=")</f>
        <v>#REF!</v>
      </c>
      <c r="AA12" t="e">
        <f>AND('Değerlendirme Formu'!#REF!,"AAAAAE/v+xo=")</f>
        <v>#REF!</v>
      </c>
      <c r="AB12" t="e">
        <f>AND('Değerlendirme Formu'!#REF!,"AAAAAE/v+xs=")</f>
        <v>#REF!</v>
      </c>
      <c r="AC12" t="e">
        <f>AND('Değerlendirme Formu'!#REF!,"AAAAAE/v+xw=")</f>
        <v>#REF!</v>
      </c>
      <c r="AD12" t="e">
        <f>AND('Değerlendirme Formu'!#REF!,"AAAAAE/v+x0=")</f>
        <v>#REF!</v>
      </c>
      <c r="AE12" t="e">
        <f>AND('Değerlendirme Formu'!#REF!,"AAAAAE/v+x4=")</f>
        <v>#REF!</v>
      </c>
      <c r="AF12" t="e">
        <f>AND('Değerlendirme Formu'!#REF!,"AAAAAE/v+x8=")</f>
        <v>#REF!</v>
      </c>
      <c r="AG12" t="e">
        <f>AND('Değerlendirme Formu'!#REF!,"AAAAAE/v+yA=")</f>
        <v>#REF!</v>
      </c>
      <c r="AH12" t="e">
        <f>AND('Değerlendirme Formu'!#REF!,"AAAAAE/v+yE=")</f>
        <v>#REF!</v>
      </c>
      <c r="AI12" t="e">
        <f>AND('Değerlendirme Formu'!#REF!,"AAAAAE/v+yI=")</f>
        <v>#REF!</v>
      </c>
      <c r="AJ12" t="e">
        <f>AND('Değerlendirme Formu'!#REF!,"AAAAAE/v+yM=")</f>
        <v>#REF!</v>
      </c>
      <c r="AK12" t="e">
        <f>AND('Değerlendirme Formu'!#REF!,"AAAAAE/v+yQ=")</f>
        <v>#REF!</v>
      </c>
      <c r="AL12" t="e">
        <f>AND('Değerlendirme Formu'!#REF!,"AAAAAE/v+yU=")</f>
        <v>#REF!</v>
      </c>
      <c r="AM12" t="e">
        <f>AND('Değerlendirme Formu'!#REF!,"AAAAAE/v+yY=")</f>
        <v>#REF!</v>
      </c>
      <c r="AN12" t="e">
        <f>AND('Değerlendirme Formu'!#REF!,"AAAAAE/v+yc=")</f>
        <v>#REF!</v>
      </c>
      <c r="AO12" t="e">
        <f>AND('Değerlendirme Formu'!#REF!,"AAAAAE/v+yg=")</f>
        <v>#REF!</v>
      </c>
      <c r="AP12">
        <f>IF('Değerlendirme Formu'!128:128,"AAAAAE/v+yk=",0)</f>
        <v>0</v>
      </c>
      <c r="AQ12" t="b">
        <f>AND('Değerlendirme Formu'!A128,"AAAAAE/v+yo=")</f>
        <v>1</v>
      </c>
      <c r="AR12" t="e">
        <f>AND('Değerlendirme Formu'!B128,"AAAAAE/v+ys=")</f>
        <v>#VALUE!</v>
      </c>
      <c r="AS12" t="e">
        <f>AND('Değerlendirme Formu'!#REF!,"AAAAAE/v+yw=")</f>
        <v>#REF!</v>
      </c>
      <c r="AT12" t="e">
        <f>AND('Değerlendirme Formu'!C128,"AAAAAE/v+y0=")</f>
        <v>#VALUE!</v>
      </c>
      <c r="AU12" t="b">
        <f>AND('Değerlendirme Formu'!D128,"AAAAAE/v+y4=")</f>
        <v>1</v>
      </c>
      <c r="AV12" t="b">
        <f>AND('Değerlendirme Formu'!E128,"AAAAAE/v+y8=")</f>
        <v>0</v>
      </c>
      <c r="AW12" t="e">
        <f>AND('Değerlendirme Formu'!#REF!,"AAAAAE/v+zA=")</f>
        <v>#REF!</v>
      </c>
      <c r="AX12" t="e">
        <f>AND('Değerlendirme Formu'!#REF!,"AAAAAE/v+zE=")</f>
        <v>#REF!</v>
      </c>
      <c r="AY12" t="e">
        <f>AND('Değerlendirme Formu'!F128,"AAAAAE/v+zI=")</f>
        <v>#VALUE!</v>
      </c>
      <c r="AZ12" t="e">
        <f>AND('Değerlendirme Formu'!#REF!,"AAAAAE/v+zM=")</f>
        <v>#REF!</v>
      </c>
      <c r="BA12" t="e">
        <f>AND('Değerlendirme Formu'!#REF!,"AAAAAE/v+zQ=")</f>
        <v>#REF!</v>
      </c>
      <c r="BB12" t="e">
        <f>AND('Değerlendirme Formu'!#REF!,"AAAAAE/v+zU=")</f>
        <v>#REF!</v>
      </c>
      <c r="BC12" t="e">
        <f>AND('Değerlendirme Formu'!#REF!,"AAAAAE/v+zY=")</f>
        <v>#REF!</v>
      </c>
      <c r="BD12" t="e">
        <f>AND('Değerlendirme Formu'!#REF!,"AAAAAE/v+zc=")</f>
        <v>#REF!</v>
      </c>
      <c r="BE12" t="e">
        <f>AND('Değerlendirme Formu'!#REF!,"AAAAAE/v+zg=")</f>
        <v>#REF!</v>
      </c>
      <c r="BF12" t="e">
        <f>AND('Değerlendirme Formu'!#REF!,"AAAAAE/v+zk=")</f>
        <v>#REF!</v>
      </c>
      <c r="BG12" t="e">
        <f>AND('Değerlendirme Formu'!#REF!,"AAAAAE/v+zo=")</f>
        <v>#REF!</v>
      </c>
      <c r="BH12" t="e">
        <f>IF('Değerlendirme Formu'!#REF!,"AAAAAE/v+zs=",0)</f>
        <v>#REF!</v>
      </c>
      <c r="BI12" t="e">
        <f>AND('Değerlendirme Formu'!#REF!,"AAAAAE/v+zw=")</f>
        <v>#REF!</v>
      </c>
      <c r="BJ12" t="e">
        <f>AND('Değerlendirme Formu'!#REF!,"AAAAAE/v+z0=")</f>
        <v>#REF!</v>
      </c>
      <c r="BK12" t="e">
        <f>AND('Değerlendirme Formu'!#REF!,"AAAAAE/v+z4=")</f>
        <v>#REF!</v>
      </c>
      <c r="BL12" t="e">
        <f>AND('Değerlendirme Formu'!#REF!,"AAAAAE/v+z8=")</f>
        <v>#REF!</v>
      </c>
      <c r="BM12" t="e">
        <f>AND('Değerlendirme Formu'!#REF!,"AAAAAE/v+0A=")</f>
        <v>#REF!</v>
      </c>
      <c r="BN12" t="e">
        <f>AND('Değerlendirme Formu'!#REF!,"AAAAAE/v+0E=")</f>
        <v>#REF!</v>
      </c>
      <c r="BO12" t="e">
        <f>AND('Değerlendirme Formu'!#REF!,"AAAAAE/v+0I=")</f>
        <v>#REF!</v>
      </c>
      <c r="BP12" t="e">
        <f>AND('Değerlendirme Formu'!#REF!,"AAAAAE/v+0M=")</f>
        <v>#REF!</v>
      </c>
      <c r="BQ12" t="e">
        <f>AND('Değerlendirme Formu'!#REF!,"AAAAAE/v+0Q=")</f>
        <v>#REF!</v>
      </c>
      <c r="BR12" t="e">
        <f>AND('Değerlendirme Formu'!#REF!,"AAAAAE/v+0U=")</f>
        <v>#REF!</v>
      </c>
      <c r="BS12" t="e">
        <f>AND('Değerlendirme Formu'!#REF!,"AAAAAE/v+0Y=")</f>
        <v>#REF!</v>
      </c>
      <c r="BT12" t="e">
        <f>AND('Değerlendirme Formu'!#REF!,"AAAAAE/v+0c=")</f>
        <v>#REF!</v>
      </c>
      <c r="BU12" t="e">
        <f>AND('Değerlendirme Formu'!#REF!,"AAAAAE/v+0g=")</f>
        <v>#REF!</v>
      </c>
      <c r="BV12" t="e">
        <f>AND('Değerlendirme Formu'!#REF!,"AAAAAE/v+0k=")</f>
        <v>#REF!</v>
      </c>
      <c r="BW12" t="e">
        <f>AND('Değerlendirme Formu'!#REF!,"AAAAAE/v+0o=")</f>
        <v>#REF!</v>
      </c>
      <c r="BX12" t="e">
        <f>AND('Değerlendirme Formu'!#REF!,"AAAAAE/v+0s=")</f>
        <v>#REF!</v>
      </c>
      <c r="BY12" t="e">
        <f>AND('Değerlendirme Formu'!#REF!,"AAAAAE/v+0w=")</f>
        <v>#REF!</v>
      </c>
      <c r="BZ12">
        <f>IF('Değerlendirme Formu'!131:131,"AAAAAE/v+00=",0)</f>
        <v>0</v>
      </c>
      <c r="CA12" t="e">
        <f>AND('Değerlendirme Formu'!A131,"AAAAAE/v+04=")</f>
        <v>#VALUE!</v>
      </c>
      <c r="CB12" t="e">
        <f>AND('Değerlendirme Formu'!B131,"AAAAAE/v+08=")</f>
        <v>#VALUE!</v>
      </c>
      <c r="CC12" t="e">
        <f>AND('Değerlendirme Formu'!#REF!,"AAAAAE/v+1A=")</f>
        <v>#REF!</v>
      </c>
      <c r="CD12" t="e">
        <f>AND('Değerlendirme Formu'!C131,"AAAAAE/v+1E=")</f>
        <v>#VALUE!</v>
      </c>
      <c r="CE12" t="e">
        <f>AND('Değerlendirme Formu'!D131,"AAAAAE/v+1I=")</f>
        <v>#VALUE!</v>
      </c>
      <c r="CF12" t="e">
        <f>AND('Değerlendirme Formu'!E131,"AAAAAE/v+1M=")</f>
        <v>#VALUE!</v>
      </c>
      <c r="CG12" t="e">
        <f>AND('Değerlendirme Formu'!#REF!,"AAAAAE/v+1Q=")</f>
        <v>#REF!</v>
      </c>
      <c r="CH12" t="e">
        <f>AND('Değerlendirme Formu'!#REF!,"AAAAAE/v+1U=")</f>
        <v>#REF!</v>
      </c>
      <c r="CI12" t="e">
        <f>AND('Değerlendirme Formu'!F131,"AAAAAE/v+1Y=")</f>
        <v>#VALUE!</v>
      </c>
      <c r="CJ12" t="e">
        <f>AND('Değerlendirme Formu'!#REF!,"AAAAAE/v+1c=")</f>
        <v>#REF!</v>
      </c>
      <c r="CK12" t="e">
        <f>AND('Değerlendirme Formu'!#REF!,"AAAAAE/v+1g=")</f>
        <v>#REF!</v>
      </c>
      <c r="CL12" t="e">
        <f>AND('Değerlendirme Formu'!#REF!,"AAAAAE/v+1k=")</f>
        <v>#REF!</v>
      </c>
      <c r="CM12" t="e">
        <f>AND('Değerlendirme Formu'!#REF!,"AAAAAE/v+1o=")</f>
        <v>#REF!</v>
      </c>
      <c r="CN12" t="e">
        <f>AND('Değerlendirme Formu'!#REF!,"AAAAAE/v+1s=")</f>
        <v>#REF!</v>
      </c>
      <c r="CO12" t="e">
        <f>AND('Değerlendirme Formu'!G131,"AAAAAE/v+1w=")</f>
        <v>#VALUE!</v>
      </c>
      <c r="CP12" t="e">
        <f>AND('Değerlendirme Formu'!H131,"AAAAAE/v+10=")</f>
        <v>#VALUE!</v>
      </c>
      <c r="CQ12" t="e">
        <f>AND('Değerlendirme Formu'!I131,"AAAAAE/v+14=")</f>
        <v>#VALUE!</v>
      </c>
      <c r="CR12" t="e">
        <f>IF('Değerlendirme Formu'!#REF!,"AAAAAE/v+18=",0)</f>
        <v>#REF!</v>
      </c>
      <c r="CS12" t="e">
        <f>AND('Değerlendirme Formu'!#REF!,"AAAAAE/v+2A=")</f>
        <v>#REF!</v>
      </c>
      <c r="CT12" t="e">
        <f>AND('Değerlendirme Formu'!#REF!,"AAAAAE/v+2E=")</f>
        <v>#REF!</v>
      </c>
      <c r="CU12" t="e">
        <f>AND('Değerlendirme Formu'!#REF!,"AAAAAE/v+2I=")</f>
        <v>#REF!</v>
      </c>
      <c r="CV12" t="e">
        <f>AND('Değerlendirme Formu'!#REF!,"AAAAAE/v+2M=")</f>
        <v>#REF!</v>
      </c>
      <c r="CW12" t="e">
        <f>AND('Değerlendirme Formu'!#REF!,"AAAAAE/v+2Q=")</f>
        <v>#REF!</v>
      </c>
      <c r="CX12" t="e">
        <f>AND('Değerlendirme Formu'!#REF!,"AAAAAE/v+2U=")</f>
        <v>#REF!</v>
      </c>
      <c r="CY12" t="e">
        <f>AND('Değerlendirme Formu'!#REF!,"AAAAAE/v+2Y=")</f>
        <v>#REF!</v>
      </c>
      <c r="CZ12" t="e">
        <f>AND('Değerlendirme Formu'!#REF!,"AAAAAE/v+2c=")</f>
        <v>#REF!</v>
      </c>
      <c r="DA12" t="e">
        <f>AND('Değerlendirme Formu'!#REF!,"AAAAAE/v+2g=")</f>
        <v>#REF!</v>
      </c>
      <c r="DB12" t="e">
        <f>AND('Değerlendirme Formu'!#REF!,"AAAAAE/v+2k=")</f>
        <v>#REF!</v>
      </c>
      <c r="DC12" t="e">
        <f>AND('Değerlendirme Formu'!#REF!,"AAAAAE/v+2o=")</f>
        <v>#REF!</v>
      </c>
      <c r="DD12" t="e">
        <f>AND('Değerlendirme Formu'!#REF!,"AAAAAE/v+2s=")</f>
        <v>#REF!</v>
      </c>
      <c r="DE12" t="e">
        <f>AND('Değerlendirme Formu'!#REF!,"AAAAAE/v+2w=")</f>
        <v>#REF!</v>
      </c>
      <c r="DF12" t="e">
        <f>AND('Değerlendirme Formu'!#REF!,"AAAAAE/v+20=")</f>
        <v>#REF!</v>
      </c>
      <c r="DG12" t="e">
        <f>AND('Değerlendirme Formu'!#REF!,"AAAAAE/v+24=")</f>
        <v>#REF!</v>
      </c>
      <c r="DH12" t="e">
        <f>AND('Değerlendirme Formu'!#REF!,"AAAAAE/v+28=")</f>
        <v>#REF!</v>
      </c>
      <c r="DI12" t="e">
        <f>AND('Değerlendirme Formu'!#REF!,"AAAAAE/v+3A=")</f>
        <v>#REF!</v>
      </c>
      <c r="DJ12" t="e">
        <f>IF('Değerlendirme Formu'!#REF!,"AAAAAE/v+3E=",0)</f>
        <v>#REF!</v>
      </c>
      <c r="DK12" t="e">
        <f>AND('Değerlendirme Formu'!#REF!,"AAAAAE/v+3I=")</f>
        <v>#REF!</v>
      </c>
      <c r="DL12" t="e">
        <f>AND('Değerlendirme Formu'!#REF!,"AAAAAE/v+3M=")</f>
        <v>#REF!</v>
      </c>
      <c r="DM12" t="e">
        <f>AND('Değerlendirme Formu'!#REF!,"AAAAAE/v+3Q=")</f>
        <v>#REF!</v>
      </c>
      <c r="DN12" t="e">
        <f>AND('Değerlendirme Formu'!#REF!,"AAAAAE/v+3U=")</f>
        <v>#REF!</v>
      </c>
      <c r="DO12" t="e">
        <f>AND('Değerlendirme Formu'!#REF!,"AAAAAE/v+3Y=")</f>
        <v>#REF!</v>
      </c>
      <c r="DP12" t="e">
        <f>AND('Değerlendirme Formu'!#REF!,"AAAAAE/v+3c=")</f>
        <v>#REF!</v>
      </c>
      <c r="DQ12" t="e">
        <f>AND('Değerlendirme Formu'!#REF!,"AAAAAE/v+3g=")</f>
        <v>#REF!</v>
      </c>
      <c r="DR12" t="e">
        <f>AND('Değerlendirme Formu'!#REF!,"AAAAAE/v+3k=")</f>
        <v>#REF!</v>
      </c>
      <c r="DS12" t="e">
        <f>AND('Değerlendirme Formu'!#REF!,"AAAAAE/v+3o=")</f>
        <v>#REF!</v>
      </c>
      <c r="DT12" t="e">
        <f>AND('Değerlendirme Formu'!#REF!,"AAAAAE/v+3s=")</f>
        <v>#REF!</v>
      </c>
      <c r="DU12" t="e">
        <f>AND('Değerlendirme Formu'!#REF!,"AAAAAE/v+3w=")</f>
        <v>#REF!</v>
      </c>
      <c r="DV12" t="e">
        <f>AND('Değerlendirme Formu'!#REF!,"AAAAAE/v+30=")</f>
        <v>#REF!</v>
      </c>
      <c r="DW12" t="e">
        <f>AND('Değerlendirme Formu'!#REF!,"AAAAAE/v+34=")</f>
        <v>#REF!</v>
      </c>
      <c r="DX12" t="e">
        <f>AND('Değerlendirme Formu'!#REF!,"AAAAAE/v+38=")</f>
        <v>#REF!</v>
      </c>
      <c r="DY12" t="e">
        <f>AND('Değerlendirme Formu'!#REF!,"AAAAAE/v+4A=")</f>
        <v>#REF!</v>
      </c>
      <c r="DZ12" t="e">
        <f>AND('Değerlendirme Formu'!#REF!,"AAAAAE/v+4E=")</f>
        <v>#REF!</v>
      </c>
      <c r="EA12" t="e">
        <f>AND('Değerlendirme Formu'!#REF!,"AAAAAE/v+4I=")</f>
        <v>#REF!</v>
      </c>
      <c r="EB12">
        <f>IF('Değerlendirme Formu'!132:132,"AAAAAE/v+4M=",0)</f>
        <v>0</v>
      </c>
      <c r="EC12" t="b">
        <f>AND('Değerlendirme Formu'!A132,"AAAAAE/v+4Q=")</f>
        <v>1</v>
      </c>
      <c r="ED12" t="e">
        <f>AND('Değerlendirme Formu'!B132,"AAAAAE/v+4U=")</f>
        <v>#VALUE!</v>
      </c>
      <c r="EE12" t="e">
        <f>AND('Değerlendirme Formu'!#REF!,"AAAAAE/v+4Y=")</f>
        <v>#REF!</v>
      </c>
      <c r="EF12" t="e">
        <f>AND('Değerlendirme Formu'!C132,"AAAAAE/v+4c=")</f>
        <v>#VALUE!</v>
      </c>
      <c r="EG12" t="b">
        <f>AND('Değerlendirme Formu'!D132,"AAAAAE/v+4g=")</f>
        <v>1</v>
      </c>
      <c r="EH12" t="b">
        <f>AND('Değerlendirme Formu'!E132,"AAAAAE/v+4k=")</f>
        <v>0</v>
      </c>
      <c r="EI12" t="e">
        <f>AND('Değerlendirme Formu'!#REF!,"AAAAAE/v+4o=")</f>
        <v>#REF!</v>
      </c>
      <c r="EJ12" t="e">
        <f>AND('Değerlendirme Formu'!#REF!,"AAAAAE/v+4s=")</f>
        <v>#REF!</v>
      </c>
      <c r="EK12" t="e">
        <f>AND('Değerlendirme Formu'!F132,"AAAAAE/v+4w=")</f>
        <v>#VALUE!</v>
      </c>
      <c r="EL12" t="e">
        <f>AND('Değerlendirme Formu'!#REF!,"AAAAAE/v+40=")</f>
        <v>#REF!</v>
      </c>
      <c r="EM12" t="e">
        <f>AND('Değerlendirme Formu'!#REF!,"AAAAAE/v+44=")</f>
        <v>#REF!</v>
      </c>
      <c r="EN12" t="e">
        <f>AND('Değerlendirme Formu'!#REF!,"AAAAAE/v+48=")</f>
        <v>#REF!</v>
      </c>
      <c r="EO12" t="e">
        <f>AND('Değerlendirme Formu'!#REF!,"AAAAAE/v+5A=")</f>
        <v>#REF!</v>
      </c>
      <c r="EP12" t="e">
        <f>AND('Değerlendirme Formu'!#REF!,"AAAAAE/v+5E=")</f>
        <v>#REF!</v>
      </c>
      <c r="EQ12" t="e">
        <f>AND('Değerlendirme Formu'!G132,"AAAAAE/v+5I=")</f>
        <v>#VALUE!</v>
      </c>
      <c r="ER12" t="e">
        <f>AND('Değerlendirme Formu'!H132,"AAAAAE/v+5M=")</f>
        <v>#VALUE!</v>
      </c>
      <c r="ES12" t="e">
        <f>AND('Değerlendirme Formu'!I132,"AAAAAE/v+5Q=")</f>
        <v>#VALUE!</v>
      </c>
      <c r="ET12" t="e">
        <f>IF('Değerlendirme Formu'!#REF!,"AAAAAE/v+5U=",0)</f>
        <v>#REF!</v>
      </c>
      <c r="EU12" t="e">
        <f>AND('Değerlendirme Formu'!#REF!,"AAAAAE/v+5Y=")</f>
        <v>#REF!</v>
      </c>
      <c r="EV12" t="e">
        <f>AND('Değerlendirme Formu'!#REF!,"AAAAAE/v+5c=")</f>
        <v>#REF!</v>
      </c>
      <c r="EW12" t="e">
        <f>AND('Değerlendirme Formu'!#REF!,"AAAAAE/v+5g=")</f>
        <v>#REF!</v>
      </c>
      <c r="EX12" t="e">
        <f>AND('Değerlendirme Formu'!#REF!,"AAAAAE/v+5k=")</f>
        <v>#REF!</v>
      </c>
      <c r="EY12" t="e">
        <f>AND('Değerlendirme Formu'!#REF!,"AAAAAE/v+5o=")</f>
        <v>#REF!</v>
      </c>
      <c r="EZ12" t="e">
        <f>AND('Değerlendirme Formu'!#REF!,"AAAAAE/v+5s=")</f>
        <v>#REF!</v>
      </c>
      <c r="FA12" t="e">
        <f>AND('Değerlendirme Formu'!#REF!,"AAAAAE/v+5w=")</f>
        <v>#REF!</v>
      </c>
      <c r="FB12" t="e">
        <f>AND('Değerlendirme Formu'!#REF!,"AAAAAE/v+50=")</f>
        <v>#REF!</v>
      </c>
      <c r="FC12" t="e">
        <f>AND('Değerlendirme Formu'!#REF!,"AAAAAE/v+54=")</f>
        <v>#REF!</v>
      </c>
      <c r="FD12" t="e">
        <f>AND('Değerlendirme Formu'!#REF!,"AAAAAE/v+58=")</f>
        <v>#REF!</v>
      </c>
      <c r="FE12" t="e">
        <f>AND('Değerlendirme Formu'!#REF!,"AAAAAE/v+6A=")</f>
        <v>#REF!</v>
      </c>
      <c r="FF12" t="e">
        <f>AND('Değerlendirme Formu'!#REF!,"AAAAAE/v+6E=")</f>
        <v>#REF!</v>
      </c>
      <c r="FG12" t="e">
        <f>AND('Değerlendirme Formu'!#REF!,"AAAAAE/v+6I=")</f>
        <v>#REF!</v>
      </c>
      <c r="FH12" t="e">
        <f>AND('Değerlendirme Formu'!#REF!,"AAAAAE/v+6M=")</f>
        <v>#REF!</v>
      </c>
      <c r="FI12" t="e">
        <f>AND('Değerlendirme Formu'!#REF!,"AAAAAE/v+6Q=")</f>
        <v>#REF!</v>
      </c>
      <c r="FJ12" t="e">
        <f>AND('Değerlendirme Formu'!#REF!,"AAAAAE/v+6U=")</f>
        <v>#REF!</v>
      </c>
      <c r="FK12" t="e">
        <f>AND('Değerlendirme Formu'!#REF!,"AAAAAE/v+6Y=")</f>
        <v>#REF!</v>
      </c>
      <c r="FL12" t="e">
        <f>IF('Değerlendirme Formu'!#REF!,"AAAAAE/v+6c=",0)</f>
        <v>#REF!</v>
      </c>
      <c r="FM12" t="e">
        <f>AND('Değerlendirme Formu'!#REF!,"AAAAAE/v+6g=")</f>
        <v>#REF!</v>
      </c>
      <c r="FN12" t="e">
        <f>AND('Değerlendirme Formu'!#REF!,"AAAAAE/v+6k=")</f>
        <v>#REF!</v>
      </c>
      <c r="FO12" t="e">
        <f>AND('Değerlendirme Formu'!#REF!,"AAAAAE/v+6o=")</f>
        <v>#REF!</v>
      </c>
      <c r="FP12" t="e">
        <f>AND('Değerlendirme Formu'!#REF!,"AAAAAE/v+6s=")</f>
        <v>#REF!</v>
      </c>
      <c r="FQ12" t="e">
        <f>AND('Değerlendirme Formu'!#REF!,"AAAAAE/v+6w=")</f>
        <v>#REF!</v>
      </c>
      <c r="FR12" t="e">
        <f>AND('Değerlendirme Formu'!#REF!,"AAAAAE/v+60=")</f>
        <v>#REF!</v>
      </c>
      <c r="FS12" t="e">
        <f>AND('Değerlendirme Formu'!#REF!,"AAAAAE/v+64=")</f>
        <v>#REF!</v>
      </c>
      <c r="FT12" t="e">
        <f>AND('Değerlendirme Formu'!#REF!,"AAAAAE/v+68=")</f>
        <v>#REF!</v>
      </c>
      <c r="FU12" t="e">
        <f>AND('Değerlendirme Formu'!#REF!,"AAAAAE/v+7A=")</f>
        <v>#REF!</v>
      </c>
      <c r="FV12" t="e">
        <f>AND('Değerlendirme Formu'!#REF!,"AAAAAE/v+7E=")</f>
        <v>#REF!</v>
      </c>
      <c r="FW12" t="e">
        <f>AND('Değerlendirme Formu'!#REF!,"AAAAAE/v+7I=")</f>
        <v>#REF!</v>
      </c>
      <c r="FX12" t="e">
        <f>AND('Değerlendirme Formu'!#REF!,"AAAAAE/v+7M=")</f>
        <v>#REF!</v>
      </c>
      <c r="FY12" t="e">
        <f>AND('Değerlendirme Formu'!#REF!,"AAAAAE/v+7Q=")</f>
        <v>#REF!</v>
      </c>
      <c r="FZ12" t="e">
        <f>AND('Değerlendirme Formu'!#REF!,"AAAAAE/v+7U=")</f>
        <v>#REF!</v>
      </c>
      <c r="GA12" t="e">
        <f>AND('Değerlendirme Formu'!#REF!,"AAAAAE/v+7Y=")</f>
        <v>#REF!</v>
      </c>
      <c r="GB12" t="e">
        <f>AND('Değerlendirme Formu'!#REF!,"AAAAAE/v+7c=")</f>
        <v>#REF!</v>
      </c>
      <c r="GC12" t="e">
        <f>AND('Değerlendirme Formu'!#REF!,"AAAAAE/v+7g=")</f>
        <v>#REF!</v>
      </c>
      <c r="GD12" t="e">
        <f>IF('Değerlendirme Formu'!#REF!,"AAAAAE/v+7k=",0)</f>
        <v>#REF!</v>
      </c>
      <c r="GE12" t="e">
        <f>AND('Değerlendirme Formu'!#REF!,"AAAAAE/v+7o=")</f>
        <v>#REF!</v>
      </c>
      <c r="GF12" t="e">
        <f>AND('Değerlendirme Formu'!#REF!,"AAAAAE/v+7s=")</f>
        <v>#REF!</v>
      </c>
      <c r="GG12" t="e">
        <f>AND('Değerlendirme Formu'!#REF!,"AAAAAE/v+7w=")</f>
        <v>#REF!</v>
      </c>
      <c r="GH12" t="e">
        <f>AND('Değerlendirme Formu'!#REF!,"AAAAAE/v+70=")</f>
        <v>#REF!</v>
      </c>
      <c r="GI12" t="e">
        <f>AND('Değerlendirme Formu'!#REF!,"AAAAAE/v+74=")</f>
        <v>#REF!</v>
      </c>
      <c r="GJ12" t="e">
        <f>AND('Değerlendirme Formu'!#REF!,"AAAAAE/v+78=")</f>
        <v>#REF!</v>
      </c>
      <c r="GK12" t="e">
        <f>AND('Değerlendirme Formu'!#REF!,"AAAAAE/v+8A=")</f>
        <v>#REF!</v>
      </c>
      <c r="GL12" t="e">
        <f>AND('Değerlendirme Formu'!#REF!,"AAAAAE/v+8E=")</f>
        <v>#REF!</v>
      </c>
      <c r="GM12" t="e">
        <f>AND('Değerlendirme Formu'!#REF!,"AAAAAE/v+8I=")</f>
        <v>#REF!</v>
      </c>
      <c r="GN12" t="e">
        <f>AND('Değerlendirme Formu'!#REF!,"AAAAAE/v+8M=")</f>
        <v>#REF!</v>
      </c>
      <c r="GO12" t="e">
        <f>AND('Değerlendirme Formu'!#REF!,"AAAAAE/v+8Q=")</f>
        <v>#REF!</v>
      </c>
      <c r="GP12" t="e">
        <f>AND('Değerlendirme Formu'!#REF!,"AAAAAE/v+8U=")</f>
        <v>#REF!</v>
      </c>
      <c r="GQ12" t="e">
        <f>AND('Değerlendirme Formu'!#REF!,"AAAAAE/v+8Y=")</f>
        <v>#REF!</v>
      </c>
      <c r="GR12" t="e">
        <f>AND('Değerlendirme Formu'!#REF!,"AAAAAE/v+8c=")</f>
        <v>#REF!</v>
      </c>
      <c r="GS12" t="e">
        <f>AND('Değerlendirme Formu'!#REF!,"AAAAAE/v+8g=")</f>
        <v>#REF!</v>
      </c>
      <c r="GT12" t="e">
        <f>AND('Değerlendirme Formu'!#REF!,"AAAAAE/v+8k=")</f>
        <v>#REF!</v>
      </c>
      <c r="GU12" t="e">
        <f>AND('Değerlendirme Formu'!#REF!,"AAAAAE/v+8o=")</f>
        <v>#REF!</v>
      </c>
      <c r="GV12">
        <f>IF('Değerlendirme Formu'!133:133,"AAAAAE/v+8s=",0)</f>
        <v>0</v>
      </c>
      <c r="GW12" t="b">
        <f>AND('Değerlendirme Formu'!A133,"AAAAAE/v+8w=")</f>
        <v>1</v>
      </c>
      <c r="GX12" t="e">
        <f>AND('Değerlendirme Formu'!B133,"AAAAAE/v+80=")</f>
        <v>#VALUE!</v>
      </c>
      <c r="GY12" t="e">
        <f>AND('Değerlendirme Formu'!#REF!,"AAAAAE/v+84=")</f>
        <v>#REF!</v>
      </c>
      <c r="GZ12" t="e">
        <f>AND('Değerlendirme Formu'!C133,"AAAAAE/v+88=")</f>
        <v>#VALUE!</v>
      </c>
      <c r="HA12" t="b">
        <f>AND('Değerlendirme Formu'!D133,"AAAAAE/v+9A=")</f>
        <v>1</v>
      </c>
      <c r="HB12" t="b">
        <f>AND('Değerlendirme Formu'!E133,"AAAAAE/v+9E=")</f>
        <v>0</v>
      </c>
      <c r="HC12" t="e">
        <f>AND('Değerlendirme Formu'!#REF!,"AAAAAE/v+9I=")</f>
        <v>#REF!</v>
      </c>
      <c r="HD12" t="e">
        <f>AND('Değerlendirme Formu'!#REF!,"AAAAAE/v+9M=")</f>
        <v>#REF!</v>
      </c>
      <c r="HE12" t="e">
        <f>AND('Değerlendirme Formu'!F133,"AAAAAE/v+9Q=")</f>
        <v>#VALUE!</v>
      </c>
      <c r="HF12" t="e">
        <f>AND('Değerlendirme Formu'!#REF!,"AAAAAE/v+9U=")</f>
        <v>#REF!</v>
      </c>
      <c r="HG12" t="e">
        <f>AND('Değerlendirme Formu'!#REF!,"AAAAAE/v+9Y=")</f>
        <v>#REF!</v>
      </c>
      <c r="HH12" t="e">
        <f>AND('Değerlendirme Formu'!#REF!,"AAAAAE/v+9c=")</f>
        <v>#REF!</v>
      </c>
      <c r="HI12" t="e">
        <f>AND('Değerlendirme Formu'!#REF!,"AAAAAE/v+9g=")</f>
        <v>#REF!</v>
      </c>
      <c r="HJ12" t="e">
        <f>AND('Değerlendirme Formu'!#REF!,"AAAAAE/v+9k=")</f>
        <v>#REF!</v>
      </c>
      <c r="HK12" t="e">
        <f>AND('Değerlendirme Formu'!G133,"AAAAAE/v+9o=")</f>
        <v>#VALUE!</v>
      </c>
      <c r="HL12" t="e">
        <f>AND('Değerlendirme Formu'!H133,"AAAAAE/v+9s=")</f>
        <v>#VALUE!</v>
      </c>
      <c r="HM12" t="e">
        <f>AND('Değerlendirme Formu'!I133,"AAAAAE/v+9w=")</f>
        <v>#VALUE!</v>
      </c>
      <c r="HN12">
        <f>IF('Değerlendirme Formu'!134:134,"AAAAAE/v+90=",0)</f>
        <v>0</v>
      </c>
      <c r="HO12" t="b">
        <f>AND('Değerlendirme Formu'!A134,"AAAAAE/v+94=")</f>
        <v>1</v>
      </c>
      <c r="HP12" t="e">
        <f>AND('Değerlendirme Formu'!B134,"AAAAAE/v+98=")</f>
        <v>#VALUE!</v>
      </c>
      <c r="HQ12" t="e">
        <f>AND('Değerlendirme Formu'!#REF!,"AAAAAE/v++A=")</f>
        <v>#REF!</v>
      </c>
      <c r="HR12" t="e">
        <f>AND('Değerlendirme Formu'!C134,"AAAAAE/v++E=")</f>
        <v>#VALUE!</v>
      </c>
      <c r="HS12" t="b">
        <f>AND('Değerlendirme Formu'!D134,"AAAAAE/v++I=")</f>
        <v>1</v>
      </c>
      <c r="HT12" t="b">
        <f>AND('Değerlendirme Formu'!E134,"AAAAAE/v++M=")</f>
        <v>0</v>
      </c>
      <c r="HU12" t="e">
        <f>AND('Değerlendirme Formu'!#REF!,"AAAAAE/v++Q=")</f>
        <v>#REF!</v>
      </c>
      <c r="HV12" t="e">
        <f>AND('Değerlendirme Formu'!#REF!,"AAAAAE/v++U=")</f>
        <v>#REF!</v>
      </c>
      <c r="HW12" t="e">
        <f>AND('Değerlendirme Formu'!F134,"AAAAAE/v++Y=")</f>
        <v>#VALUE!</v>
      </c>
      <c r="HX12" t="e">
        <f>AND('Değerlendirme Formu'!#REF!,"AAAAAE/v++c=")</f>
        <v>#REF!</v>
      </c>
      <c r="HY12" t="e">
        <f>AND('Değerlendirme Formu'!#REF!,"AAAAAE/v++g=")</f>
        <v>#REF!</v>
      </c>
      <c r="HZ12" t="e">
        <f>AND('Değerlendirme Formu'!#REF!,"AAAAAE/v++k=")</f>
        <v>#REF!</v>
      </c>
      <c r="IA12" t="e">
        <f>AND('Değerlendirme Formu'!#REF!,"AAAAAE/v++o=")</f>
        <v>#REF!</v>
      </c>
      <c r="IB12" t="e">
        <f>AND('Değerlendirme Formu'!#REF!,"AAAAAE/v++s=")</f>
        <v>#REF!</v>
      </c>
      <c r="IC12" t="e">
        <f>AND('Değerlendirme Formu'!G134,"AAAAAE/v++w=")</f>
        <v>#VALUE!</v>
      </c>
      <c r="ID12" t="e">
        <f>AND('Değerlendirme Formu'!H134,"AAAAAE/v++0=")</f>
        <v>#VALUE!</v>
      </c>
      <c r="IE12" t="e">
        <f>AND('Değerlendirme Formu'!I134,"AAAAAE/v++4=")</f>
        <v>#VALUE!</v>
      </c>
      <c r="IF12">
        <f>IF('Değerlendirme Formu'!136:136,"AAAAAE/v++8=",0)</f>
        <v>0</v>
      </c>
      <c r="IG12" t="b">
        <f>AND('Değerlendirme Formu'!A136,"AAAAAE/v+/A=")</f>
        <v>1</v>
      </c>
      <c r="IH12" t="e">
        <f>AND('Değerlendirme Formu'!B136,"AAAAAE/v+/E=")</f>
        <v>#VALUE!</v>
      </c>
      <c r="II12" t="e">
        <f>AND('Değerlendirme Formu'!#REF!,"AAAAAE/v+/I=")</f>
        <v>#REF!</v>
      </c>
      <c r="IJ12" t="e">
        <f>AND('Değerlendirme Formu'!C136,"AAAAAE/v+/M=")</f>
        <v>#VALUE!</v>
      </c>
      <c r="IK12" t="b">
        <f>AND('Değerlendirme Formu'!D136,"AAAAAE/v+/Q=")</f>
        <v>1</v>
      </c>
      <c r="IL12" t="b">
        <f>AND('Değerlendirme Formu'!E136,"AAAAAE/v+/U=")</f>
        <v>0</v>
      </c>
      <c r="IM12" t="e">
        <f>AND('Değerlendirme Formu'!#REF!,"AAAAAE/v+/Y=")</f>
        <v>#REF!</v>
      </c>
      <c r="IN12" t="e">
        <f>AND('Değerlendirme Formu'!#REF!,"AAAAAE/v+/c=")</f>
        <v>#REF!</v>
      </c>
      <c r="IO12" t="e">
        <f>AND('Değerlendirme Formu'!F136,"AAAAAE/v+/g=")</f>
        <v>#VALUE!</v>
      </c>
      <c r="IP12" t="e">
        <f>AND('Değerlendirme Formu'!#REF!,"AAAAAE/v+/k=")</f>
        <v>#REF!</v>
      </c>
      <c r="IQ12" t="e">
        <f>AND('Değerlendirme Formu'!#REF!,"AAAAAE/v+/o=")</f>
        <v>#REF!</v>
      </c>
      <c r="IR12" t="e">
        <f>AND('Değerlendirme Formu'!#REF!,"AAAAAE/v+/s=")</f>
        <v>#REF!</v>
      </c>
      <c r="IS12" t="e">
        <f>AND('Değerlendirme Formu'!#REF!,"AAAAAE/v+/w=")</f>
        <v>#REF!</v>
      </c>
      <c r="IT12" t="e">
        <f>AND('Değerlendirme Formu'!#REF!,"AAAAAE/v+/0=")</f>
        <v>#REF!</v>
      </c>
      <c r="IU12" t="e">
        <f>AND('Değerlendirme Formu'!G136,"AAAAAE/v+/4=")</f>
        <v>#VALUE!</v>
      </c>
      <c r="IV12" t="e">
        <f>AND('Değerlendirme Formu'!H136,"AAAAAE/v+/8=")</f>
        <v>#VALUE!</v>
      </c>
    </row>
    <row r="13" spans="1:256" x14ac:dyDescent="0.2">
      <c r="A13" t="e">
        <f>AND('Değerlendirme Formu'!I136,"AAAAAGjtvgA=")</f>
        <v>#VALUE!</v>
      </c>
      <c r="B13" t="e">
        <f>IF('Değerlendirme Formu'!137:137,"AAAAAGjtvgE=",0)</f>
        <v>#VALUE!</v>
      </c>
      <c r="C13" t="b">
        <f>AND('Değerlendirme Formu'!A137,"AAAAAGjtvgI=")</f>
        <v>1</v>
      </c>
      <c r="D13" t="e">
        <f>AND('Değerlendirme Formu'!B137,"AAAAAGjtvgM=")</f>
        <v>#VALUE!</v>
      </c>
      <c r="E13" t="e">
        <f>AND('Değerlendirme Formu'!#REF!,"AAAAAGjtvgQ=")</f>
        <v>#REF!</v>
      </c>
      <c r="F13" t="e">
        <f>AND('Değerlendirme Formu'!C137,"AAAAAGjtvgU=")</f>
        <v>#VALUE!</v>
      </c>
      <c r="G13" t="b">
        <f>AND('Değerlendirme Formu'!D137,"AAAAAGjtvgY=")</f>
        <v>1</v>
      </c>
      <c r="H13" t="b">
        <f>AND('Değerlendirme Formu'!E137,"AAAAAGjtvgc=")</f>
        <v>0</v>
      </c>
      <c r="I13" t="e">
        <f>AND('Değerlendirme Formu'!#REF!,"AAAAAGjtvgg=")</f>
        <v>#REF!</v>
      </c>
      <c r="J13" t="e">
        <f>AND('Değerlendirme Formu'!#REF!,"AAAAAGjtvgk=")</f>
        <v>#REF!</v>
      </c>
      <c r="K13" t="e">
        <f>AND('Değerlendirme Formu'!F137,"AAAAAGjtvgo=")</f>
        <v>#VALUE!</v>
      </c>
      <c r="L13" t="e">
        <f>AND('Değerlendirme Formu'!#REF!,"AAAAAGjtvgs=")</f>
        <v>#REF!</v>
      </c>
      <c r="M13" t="e">
        <f>AND('Değerlendirme Formu'!#REF!,"AAAAAGjtvgw=")</f>
        <v>#REF!</v>
      </c>
      <c r="N13" t="e">
        <f>AND('Değerlendirme Formu'!#REF!,"AAAAAGjtvg0=")</f>
        <v>#REF!</v>
      </c>
      <c r="O13" t="e">
        <f>AND('Değerlendirme Formu'!#REF!,"AAAAAGjtvg4=")</f>
        <v>#REF!</v>
      </c>
      <c r="P13" t="e">
        <f>AND('Değerlendirme Formu'!#REF!,"AAAAAGjtvg8=")</f>
        <v>#REF!</v>
      </c>
      <c r="Q13" t="e">
        <f>AND('Değerlendirme Formu'!G137,"AAAAAGjtvhA=")</f>
        <v>#VALUE!</v>
      </c>
      <c r="R13" t="e">
        <f>AND('Değerlendirme Formu'!H137,"AAAAAGjtvhE=")</f>
        <v>#VALUE!</v>
      </c>
      <c r="S13" t="e">
        <f>AND('Değerlendirme Formu'!I137,"AAAAAGjtvhI=")</f>
        <v>#VALUE!</v>
      </c>
      <c r="T13">
        <f>IF('Değerlendirme Formu'!138:138,"AAAAAGjtvhM=",0)</f>
        <v>0</v>
      </c>
      <c r="U13" t="b">
        <f>AND('Değerlendirme Formu'!A138,"AAAAAGjtvhQ=")</f>
        <v>1</v>
      </c>
      <c r="V13" t="e">
        <f>AND('Değerlendirme Formu'!B138,"AAAAAGjtvhU=")</f>
        <v>#VALUE!</v>
      </c>
      <c r="W13" t="e">
        <f>AND('Değerlendirme Formu'!#REF!,"AAAAAGjtvhY=")</f>
        <v>#REF!</v>
      </c>
      <c r="X13" t="e">
        <f>AND('Değerlendirme Formu'!C138,"AAAAAGjtvhc=")</f>
        <v>#VALUE!</v>
      </c>
      <c r="Y13" t="b">
        <f>AND('Değerlendirme Formu'!D138,"AAAAAGjtvhg=")</f>
        <v>1</v>
      </c>
      <c r="Z13" t="b">
        <f>AND('Değerlendirme Formu'!E138,"AAAAAGjtvhk=")</f>
        <v>0</v>
      </c>
      <c r="AA13" t="e">
        <f>AND('Değerlendirme Formu'!#REF!,"AAAAAGjtvho=")</f>
        <v>#REF!</v>
      </c>
      <c r="AB13" t="e">
        <f>AND('Değerlendirme Formu'!#REF!,"AAAAAGjtvhs=")</f>
        <v>#REF!</v>
      </c>
      <c r="AC13" t="e">
        <f>AND('Değerlendirme Formu'!F138,"AAAAAGjtvhw=")</f>
        <v>#VALUE!</v>
      </c>
      <c r="AD13" t="e">
        <f>AND('Değerlendirme Formu'!#REF!,"AAAAAGjtvh0=")</f>
        <v>#REF!</v>
      </c>
      <c r="AE13" t="e">
        <f>AND('Değerlendirme Formu'!#REF!,"AAAAAGjtvh4=")</f>
        <v>#REF!</v>
      </c>
      <c r="AF13" t="e">
        <f>AND('Değerlendirme Formu'!#REF!,"AAAAAGjtvh8=")</f>
        <v>#REF!</v>
      </c>
      <c r="AG13" t="e">
        <f>AND('Değerlendirme Formu'!#REF!,"AAAAAGjtviA=")</f>
        <v>#REF!</v>
      </c>
      <c r="AH13" t="e">
        <f>AND('Değerlendirme Formu'!#REF!,"AAAAAGjtviE=")</f>
        <v>#REF!</v>
      </c>
      <c r="AI13" t="e">
        <f>AND('Değerlendirme Formu'!G138,"AAAAAGjtviI=")</f>
        <v>#VALUE!</v>
      </c>
      <c r="AJ13" t="e">
        <f>AND('Değerlendirme Formu'!H138,"AAAAAGjtviM=")</f>
        <v>#VALUE!</v>
      </c>
      <c r="AK13" t="e">
        <f>AND('Değerlendirme Formu'!I138,"AAAAAGjtviQ=")</f>
        <v>#VALUE!</v>
      </c>
      <c r="AL13" t="e">
        <f>IF('Değerlendirme Formu'!#REF!,"AAAAAGjtviU=",0)</f>
        <v>#REF!</v>
      </c>
      <c r="AM13" t="e">
        <f>AND('Değerlendirme Formu'!#REF!,"AAAAAGjtviY=")</f>
        <v>#REF!</v>
      </c>
      <c r="AN13" t="e">
        <f>AND('Değerlendirme Formu'!#REF!,"AAAAAGjtvic=")</f>
        <v>#REF!</v>
      </c>
      <c r="AO13" t="e">
        <f>AND('Değerlendirme Formu'!#REF!,"AAAAAGjtvig=")</f>
        <v>#REF!</v>
      </c>
      <c r="AP13" t="e">
        <f>AND('Değerlendirme Formu'!#REF!,"AAAAAGjtvik=")</f>
        <v>#REF!</v>
      </c>
      <c r="AQ13" t="e">
        <f>AND('Değerlendirme Formu'!#REF!,"AAAAAGjtvio=")</f>
        <v>#REF!</v>
      </c>
      <c r="AR13" t="e">
        <f>AND('Değerlendirme Formu'!#REF!,"AAAAAGjtvis=")</f>
        <v>#REF!</v>
      </c>
      <c r="AS13" t="e">
        <f>AND('Değerlendirme Formu'!#REF!,"AAAAAGjtviw=")</f>
        <v>#REF!</v>
      </c>
      <c r="AT13" t="e">
        <f>AND('Değerlendirme Formu'!#REF!,"AAAAAGjtvi0=")</f>
        <v>#REF!</v>
      </c>
      <c r="AU13" t="e">
        <f>AND('Değerlendirme Formu'!#REF!,"AAAAAGjtvi4=")</f>
        <v>#REF!</v>
      </c>
      <c r="AV13" t="e">
        <f>AND('Değerlendirme Formu'!#REF!,"AAAAAGjtvi8=")</f>
        <v>#REF!</v>
      </c>
      <c r="AW13" t="e">
        <f>AND('Değerlendirme Formu'!#REF!,"AAAAAGjtvjA=")</f>
        <v>#REF!</v>
      </c>
      <c r="AX13" t="e">
        <f>AND('Değerlendirme Formu'!#REF!,"AAAAAGjtvjE=")</f>
        <v>#REF!</v>
      </c>
      <c r="AY13" t="e">
        <f>AND('Değerlendirme Formu'!#REF!,"AAAAAGjtvjI=")</f>
        <v>#REF!</v>
      </c>
      <c r="AZ13" t="e">
        <f>AND('Değerlendirme Formu'!#REF!,"AAAAAGjtvjM=")</f>
        <v>#REF!</v>
      </c>
      <c r="BA13" t="e">
        <f>AND('Değerlendirme Formu'!#REF!,"AAAAAGjtvjQ=")</f>
        <v>#REF!</v>
      </c>
      <c r="BB13" t="e">
        <f>AND('Değerlendirme Formu'!#REF!,"AAAAAGjtvjU=")</f>
        <v>#REF!</v>
      </c>
      <c r="BC13" t="e">
        <f>AND('Değerlendirme Formu'!#REF!,"AAAAAGjtvjY=")</f>
        <v>#REF!</v>
      </c>
      <c r="BD13">
        <f>IF('Değerlendirme Formu'!144:144,"AAAAAGjtvjc=",0)</f>
        <v>0</v>
      </c>
      <c r="BE13" t="e">
        <f>AND('Değerlendirme Formu'!A144,"AAAAAGjtvjg=")</f>
        <v>#VALUE!</v>
      </c>
      <c r="BF13" t="e">
        <f>AND('Değerlendirme Formu'!B144,"AAAAAGjtvjk=")</f>
        <v>#VALUE!</v>
      </c>
      <c r="BG13" t="e">
        <f>AND('Değerlendirme Formu'!#REF!,"AAAAAGjtvjo=")</f>
        <v>#REF!</v>
      </c>
      <c r="BH13" t="e">
        <f>AND('Değerlendirme Formu'!#REF!,"AAAAAGjtvjs=")</f>
        <v>#REF!</v>
      </c>
      <c r="BI13" t="e">
        <f>AND('Değerlendirme Formu'!#REF!,"AAAAAGjtvjw=")</f>
        <v>#REF!</v>
      </c>
      <c r="BJ13" t="e">
        <f>AND('Değerlendirme Formu'!#REF!,"AAAAAGjtvj0=")</f>
        <v>#REF!</v>
      </c>
      <c r="BK13" t="e">
        <f>AND('Değerlendirme Formu'!#REF!,"AAAAAGjtvj4=")</f>
        <v>#REF!</v>
      </c>
      <c r="BL13" t="e">
        <f>AND('Değerlendirme Formu'!#REF!,"AAAAAGjtvj8=")</f>
        <v>#REF!</v>
      </c>
      <c r="BM13" t="e">
        <f>AND('Değerlendirme Formu'!F144,"AAAAAGjtvkA=")</f>
        <v>#VALUE!</v>
      </c>
      <c r="BN13" t="e">
        <f>AND('Değerlendirme Formu'!#REF!,"AAAAAGjtvkE=")</f>
        <v>#REF!</v>
      </c>
      <c r="BO13" t="b">
        <f>AND('Değerlendirme Formu'!C144,"AAAAAGjtvkI=")</f>
        <v>1</v>
      </c>
      <c r="BP13" t="b">
        <f>AND('Değerlendirme Formu'!D144,"AAAAAGjtvkM=")</f>
        <v>1</v>
      </c>
      <c r="BQ13" t="b">
        <f>AND('Değerlendirme Formu'!E144,"AAAAAGjtvkQ=")</f>
        <v>1</v>
      </c>
      <c r="BR13" t="e">
        <f>AND('Değerlendirme Formu'!#REF!,"AAAAAGjtvkU=")</f>
        <v>#REF!</v>
      </c>
      <c r="BS13" t="e">
        <f>AND('Değerlendirme Formu'!G144,"AAAAAGjtvkY=")</f>
        <v>#VALUE!</v>
      </c>
      <c r="BT13" t="e">
        <f>AND('Değerlendirme Formu'!H144,"AAAAAGjtvkc=")</f>
        <v>#VALUE!</v>
      </c>
      <c r="BU13" t="e">
        <f>AND('Değerlendirme Formu'!I144,"AAAAAGjtvkg=")</f>
        <v>#VALUE!</v>
      </c>
      <c r="BV13" t="e">
        <f>IF('Değerlendirme Formu'!#REF!,"AAAAAGjtvkk=",0)</f>
        <v>#REF!</v>
      </c>
      <c r="BW13" t="e">
        <f>AND('Değerlendirme Formu'!#REF!,"AAAAAGjtvko=")</f>
        <v>#REF!</v>
      </c>
      <c r="BX13" t="e">
        <f>AND('Değerlendirme Formu'!#REF!,"AAAAAGjtvks=")</f>
        <v>#REF!</v>
      </c>
      <c r="BY13" t="e">
        <f>AND('Değerlendirme Formu'!#REF!,"AAAAAGjtvkw=")</f>
        <v>#REF!</v>
      </c>
      <c r="BZ13" t="e">
        <f>AND('Değerlendirme Formu'!#REF!,"AAAAAGjtvk0=")</f>
        <v>#REF!</v>
      </c>
      <c r="CA13" t="e">
        <f>AND('Değerlendirme Formu'!#REF!,"AAAAAGjtvk4=")</f>
        <v>#REF!</v>
      </c>
      <c r="CB13" t="e">
        <f>AND('Değerlendirme Formu'!#REF!,"AAAAAGjtvk8=")</f>
        <v>#REF!</v>
      </c>
      <c r="CC13" t="e">
        <f>AND('Değerlendirme Formu'!#REF!,"AAAAAGjtvlA=")</f>
        <v>#REF!</v>
      </c>
      <c r="CD13" t="e">
        <f>AND('Değerlendirme Formu'!#REF!,"AAAAAGjtvlE=")</f>
        <v>#REF!</v>
      </c>
      <c r="CE13" t="e">
        <f>AND('Değerlendirme Formu'!#REF!,"AAAAAGjtvlI=")</f>
        <v>#REF!</v>
      </c>
      <c r="CF13" t="e">
        <f>AND('Değerlendirme Formu'!#REF!,"AAAAAGjtvlM=")</f>
        <v>#REF!</v>
      </c>
      <c r="CG13" t="e">
        <f>AND('Değerlendirme Formu'!#REF!,"AAAAAGjtvlQ=")</f>
        <v>#REF!</v>
      </c>
      <c r="CH13" t="e">
        <f>AND('Değerlendirme Formu'!#REF!,"AAAAAGjtvlU=")</f>
        <v>#REF!</v>
      </c>
      <c r="CI13" t="e">
        <f>AND('Değerlendirme Formu'!#REF!,"AAAAAGjtvlY=")</f>
        <v>#REF!</v>
      </c>
      <c r="CJ13" t="e">
        <f>AND('Değerlendirme Formu'!#REF!,"AAAAAGjtvlc=")</f>
        <v>#REF!</v>
      </c>
      <c r="CK13" t="e">
        <f>AND('Değerlendirme Formu'!#REF!,"AAAAAGjtvlg=")</f>
        <v>#REF!</v>
      </c>
      <c r="CL13" t="e">
        <f>AND('Değerlendirme Formu'!#REF!,"AAAAAGjtvlk=")</f>
        <v>#REF!</v>
      </c>
      <c r="CM13" t="e">
        <f>AND('Değerlendirme Formu'!#REF!,"AAAAAGjtvlo=")</f>
        <v>#REF!</v>
      </c>
      <c r="CN13" t="e">
        <f>IF('Değerlendirme Formu'!#REF!,"AAAAAGjtvls=",0)</f>
        <v>#REF!</v>
      </c>
      <c r="CO13" t="e">
        <f>AND('Değerlendirme Formu'!#REF!,"AAAAAGjtvlw=")</f>
        <v>#REF!</v>
      </c>
      <c r="CP13" t="e">
        <f>AND('Değerlendirme Formu'!#REF!,"AAAAAGjtvl0=")</f>
        <v>#REF!</v>
      </c>
      <c r="CQ13" t="e">
        <f>AND('Değerlendirme Formu'!#REF!,"AAAAAGjtvl4=")</f>
        <v>#REF!</v>
      </c>
      <c r="CR13" t="e">
        <f>AND('Değerlendirme Formu'!#REF!,"AAAAAGjtvl8=")</f>
        <v>#REF!</v>
      </c>
      <c r="CS13" t="e">
        <f>AND('Değerlendirme Formu'!#REF!,"AAAAAGjtvmA=")</f>
        <v>#REF!</v>
      </c>
      <c r="CT13" t="e">
        <f>AND('Değerlendirme Formu'!#REF!,"AAAAAGjtvmE=")</f>
        <v>#REF!</v>
      </c>
      <c r="CU13" t="e">
        <f>AND('Değerlendirme Formu'!#REF!,"AAAAAGjtvmI=")</f>
        <v>#REF!</v>
      </c>
      <c r="CV13" t="e">
        <f>AND('Değerlendirme Formu'!#REF!,"AAAAAGjtvmM=")</f>
        <v>#REF!</v>
      </c>
      <c r="CW13" t="e">
        <f>AND('Değerlendirme Formu'!#REF!,"AAAAAGjtvmQ=")</f>
        <v>#REF!</v>
      </c>
      <c r="CX13" t="e">
        <f>AND('Değerlendirme Formu'!#REF!,"AAAAAGjtvmU=")</f>
        <v>#REF!</v>
      </c>
      <c r="CY13" t="e">
        <f>AND('Değerlendirme Formu'!#REF!,"AAAAAGjtvmY=")</f>
        <v>#REF!</v>
      </c>
      <c r="CZ13" t="e">
        <f>AND('Değerlendirme Formu'!#REF!,"AAAAAGjtvmc=")</f>
        <v>#REF!</v>
      </c>
      <c r="DA13" t="e">
        <f>AND('Değerlendirme Formu'!#REF!,"AAAAAGjtvmg=")</f>
        <v>#REF!</v>
      </c>
      <c r="DB13" t="e">
        <f>AND('Değerlendirme Formu'!#REF!,"AAAAAGjtvmk=")</f>
        <v>#REF!</v>
      </c>
      <c r="DC13" t="e">
        <f>AND('Değerlendirme Formu'!#REF!,"AAAAAGjtvmo=")</f>
        <v>#REF!</v>
      </c>
      <c r="DD13" t="e">
        <f>AND('Değerlendirme Formu'!#REF!,"AAAAAGjtvms=")</f>
        <v>#REF!</v>
      </c>
      <c r="DE13" t="e">
        <f>AND('Değerlendirme Formu'!#REF!,"AAAAAGjtvmw=")</f>
        <v>#REF!</v>
      </c>
      <c r="DF13" t="e">
        <f>IF('Değerlendirme Formu'!#REF!,"AAAAAGjtvm0=",0)</f>
        <v>#REF!</v>
      </c>
      <c r="DG13" t="e">
        <f>AND('Değerlendirme Formu'!#REF!,"AAAAAGjtvm4=")</f>
        <v>#REF!</v>
      </c>
      <c r="DH13" t="e">
        <f>AND('Değerlendirme Formu'!#REF!,"AAAAAGjtvm8=")</f>
        <v>#REF!</v>
      </c>
      <c r="DI13" t="e">
        <f>AND('Değerlendirme Formu'!#REF!,"AAAAAGjtvnA=")</f>
        <v>#REF!</v>
      </c>
      <c r="DJ13" t="e">
        <f>AND('Değerlendirme Formu'!#REF!,"AAAAAGjtvnE=")</f>
        <v>#REF!</v>
      </c>
      <c r="DK13" t="e">
        <f>AND('Değerlendirme Formu'!#REF!,"AAAAAGjtvnI=")</f>
        <v>#REF!</v>
      </c>
      <c r="DL13" t="e">
        <f>AND('Değerlendirme Formu'!#REF!,"AAAAAGjtvnM=")</f>
        <v>#REF!</v>
      </c>
      <c r="DM13" t="e">
        <f>AND('Değerlendirme Formu'!#REF!,"AAAAAGjtvnQ=")</f>
        <v>#REF!</v>
      </c>
      <c r="DN13" t="e">
        <f>AND('Değerlendirme Formu'!#REF!,"AAAAAGjtvnU=")</f>
        <v>#REF!</v>
      </c>
      <c r="DO13" t="e">
        <f>AND('Değerlendirme Formu'!#REF!,"AAAAAGjtvnY=")</f>
        <v>#REF!</v>
      </c>
      <c r="DP13" t="e">
        <f>AND('Değerlendirme Formu'!#REF!,"AAAAAGjtvnc=")</f>
        <v>#REF!</v>
      </c>
      <c r="DQ13" t="e">
        <f>AND('Değerlendirme Formu'!#REF!,"AAAAAGjtvng=")</f>
        <v>#REF!</v>
      </c>
      <c r="DR13" t="e">
        <f>AND('Değerlendirme Formu'!#REF!,"AAAAAGjtvnk=")</f>
        <v>#REF!</v>
      </c>
      <c r="DS13" t="e">
        <f>AND('Değerlendirme Formu'!#REF!,"AAAAAGjtvno=")</f>
        <v>#REF!</v>
      </c>
      <c r="DT13" t="e">
        <f>AND('Değerlendirme Formu'!#REF!,"AAAAAGjtvns=")</f>
        <v>#REF!</v>
      </c>
      <c r="DU13" t="e">
        <f>AND('Değerlendirme Formu'!#REF!,"AAAAAGjtvnw=")</f>
        <v>#REF!</v>
      </c>
      <c r="DV13" t="e">
        <f>AND('Değerlendirme Formu'!#REF!,"AAAAAGjtvn0=")</f>
        <v>#REF!</v>
      </c>
      <c r="DW13" t="e">
        <f>AND('Değerlendirme Formu'!#REF!,"AAAAAGjtvn4=")</f>
        <v>#REF!</v>
      </c>
      <c r="DX13" t="e">
        <f>IF('Değerlendirme Formu'!#REF!,"AAAAAGjtvn8=",0)</f>
        <v>#REF!</v>
      </c>
      <c r="DY13" t="e">
        <f>AND('Değerlendirme Formu'!#REF!,"AAAAAGjtvoA=")</f>
        <v>#REF!</v>
      </c>
      <c r="DZ13" t="e">
        <f>AND('Değerlendirme Formu'!#REF!,"AAAAAGjtvoE=")</f>
        <v>#REF!</v>
      </c>
      <c r="EA13" t="e">
        <f>AND('Değerlendirme Formu'!#REF!,"AAAAAGjtvoI=")</f>
        <v>#REF!</v>
      </c>
      <c r="EB13" t="e">
        <f>AND('Değerlendirme Formu'!#REF!,"AAAAAGjtvoM=")</f>
        <v>#REF!</v>
      </c>
      <c r="EC13" t="e">
        <f>AND('Değerlendirme Formu'!#REF!,"AAAAAGjtvoQ=")</f>
        <v>#REF!</v>
      </c>
      <c r="ED13" t="e">
        <f>AND('Değerlendirme Formu'!#REF!,"AAAAAGjtvoU=")</f>
        <v>#REF!</v>
      </c>
      <c r="EE13" t="e">
        <f>AND('Değerlendirme Formu'!#REF!,"AAAAAGjtvoY=")</f>
        <v>#REF!</v>
      </c>
      <c r="EF13" t="e">
        <f>AND('Değerlendirme Formu'!#REF!,"AAAAAGjtvoc=")</f>
        <v>#REF!</v>
      </c>
      <c r="EG13" t="e">
        <f>AND('Değerlendirme Formu'!#REF!,"AAAAAGjtvog=")</f>
        <v>#REF!</v>
      </c>
      <c r="EH13" t="e">
        <f>AND('Değerlendirme Formu'!#REF!,"AAAAAGjtvok=")</f>
        <v>#REF!</v>
      </c>
      <c r="EI13" t="e">
        <f>AND('Değerlendirme Formu'!#REF!,"AAAAAGjtvoo=")</f>
        <v>#REF!</v>
      </c>
      <c r="EJ13" t="e">
        <f>AND('Değerlendirme Formu'!#REF!,"AAAAAGjtvos=")</f>
        <v>#REF!</v>
      </c>
      <c r="EK13" t="e">
        <f>AND('Değerlendirme Formu'!#REF!,"AAAAAGjtvow=")</f>
        <v>#REF!</v>
      </c>
      <c r="EL13" t="e">
        <f>AND('Değerlendirme Formu'!#REF!,"AAAAAGjtvo0=")</f>
        <v>#REF!</v>
      </c>
      <c r="EM13" t="e">
        <f>AND('Değerlendirme Formu'!#REF!,"AAAAAGjtvo4=")</f>
        <v>#REF!</v>
      </c>
      <c r="EN13" t="e">
        <f>AND('Değerlendirme Formu'!#REF!,"AAAAAGjtvo8=")</f>
        <v>#REF!</v>
      </c>
      <c r="EO13" t="e">
        <f>AND('Değerlendirme Formu'!#REF!,"AAAAAGjtvpA=")</f>
        <v>#REF!</v>
      </c>
      <c r="EP13" t="e">
        <f>IF('Değerlendirme Formu'!#REF!,"AAAAAGjtvpE=",0)</f>
        <v>#REF!</v>
      </c>
      <c r="EQ13" t="e">
        <f>AND('Değerlendirme Formu'!#REF!,"AAAAAGjtvpI=")</f>
        <v>#REF!</v>
      </c>
      <c r="ER13" t="e">
        <f>AND('Değerlendirme Formu'!#REF!,"AAAAAGjtvpM=")</f>
        <v>#REF!</v>
      </c>
      <c r="ES13" t="e">
        <f>AND('Değerlendirme Formu'!#REF!,"AAAAAGjtvpQ=")</f>
        <v>#REF!</v>
      </c>
      <c r="ET13" t="e">
        <f>AND('Değerlendirme Formu'!#REF!,"AAAAAGjtvpU=")</f>
        <v>#REF!</v>
      </c>
      <c r="EU13" t="e">
        <f>AND('Değerlendirme Formu'!#REF!,"AAAAAGjtvpY=")</f>
        <v>#REF!</v>
      </c>
      <c r="EV13" t="e">
        <f>AND('Değerlendirme Formu'!#REF!,"AAAAAGjtvpc=")</f>
        <v>#REF!</v>
      </c>
      <c r="EW13" t="e">
        <f>AND('Değerlendirme Formu'!#REF!,"AAAAAGjtvpg=")</f>
        <v>#REF!</v>
      </c>
      <c r="EX13" t="e">
        <f>AND('Değerlendirme Formu'!#REF!,"AAAAAGjtvpk=")</f>
        <v>#REF!</v>
      </c>
      <c r="EY13" t="e">
        <f>AND('Değerlendirme Formu'!#REF!,"AAAAAGjtvpo=")</f>
        <v>#REF!</v>
      </c>
      <c r="EZ13" t="e">
        <f>AND('Değerlendirme Formu'!#REF!,"AAAAAGjtvps=")</f>
        <v>#REF!</v>
      </c>
      <c r="FA13" t="e">
        <f>AND('Değerlendirme Formu'!#REF!,"AAAAAGjtvpw=")</f>
        <v>#REF!</v>
      </c>
      <c r="FB13" t="e">
        <f>AND('Değerlendirme Formu'!#REF!,"AAAAAGjtvp0=")</f>
        <v>#REF!</v>
      </c>
      <c r="FC13" t="e">
        <f>AND('Değerlendirme Formu'!#REF!,"AAAAAGjtvp4=")</f>
        <v>#REF!</v>
      </c>
      <c r="FD13" t="e">
        <f>AND('Değerlendirme Formu'!#REF!,"AAAAAGjtvp8=")</f>
        <v>#REF!</v>
      </c>
      <c r="FE13" t="e">
        <f>AND('Değerlendirme Formu'!#REF!,"AAAAAGjtvqA=")</f>
        <v>#REF!</v>
      </c>
      <c r="FF13" t="e">
        <f>AND('Değerlendirme Formu'!#REF!,"AAAAAGjtvqE=")</f>
        <v>#REF!</v>
      </c>
      <c r="FG13" t="e">
        <f>AND('Değerlendirme Formu'!#REF!,"AAAAAGjtvqI=")</f>
        <v>#REF!</v>
      </c>
      <c r="FH13" t="e">
        <f>IF('Değerlendirme Formu'!#REF!,"AAAAAGjtvqM=",0)</f>
        <v>#REF!</v>
      </c>
      <c r="FI13" t="e">
        <f>AND('Değerlendirme Formu'!#REF!,"AAAAAGjtvqQ=")</f>
        <v>#REF!</v>
      </c>
      <c r="FJ13" t="e">
        <f>AND('Değerlendirme Formu'!#REF!,"AAAAAGjtvqU=")</f>
        <v>#REF!</v>
      </c>
      <c r="FK13" t="e">
        <f>AND('Değerlendirme Formu'!#REF!,"AAAAAGjtvqY=")</f>
        <v>#REF!</v>
      </c>
      <c r="FL13" t="e">
        <f>AND('Değerlendirme Formu'!#REF!,"AAAAAGjtvqc=")</f>
        <v>#REF!</v>
      </c>
      <c r="FM13" t="e">
        <f>AND('Değerlendirme Formu'!#REF!,"AAAAAGjtvqg=")</f>
        <v>#REF!</v>
      </c>
      <c r="FN13" t="e">
        <f>AND('Değerlendirme Formu'!#REF!,"AAAAAGjtvqk=")</f>
        <v>#REF!</v>
      </c>
      <c r="FO13" t="e">
        <f>AND('Değerlendirme Formu'!#REF!,"AAAAAGjtvqo=")</f>
        <v>#REF!</v>
      </c>
      <c r="FP13" t="e">
        <f>AND('Değerlendirme Formu'!#REF!,"AAAAAGjtvqs=")</f>
        <v>#REF!</v>
      </c>
      <c r="FQ13" t="e">
        <f>AND('Değerlendirme Formu'!#REF!,"AAAAAGjtvqw=")</f>
        <v>#REF!</v>
      </c>
      <c r="FR13" t="e">
        <f>AND('Değerlendirme Formu'!#REF!,"AAAAAGjtvq0=")</f>
        <v>#REF!</v>
      </c>
      <c r="FS13" t="e">
        <f>AND('Değerlendirme Formu'!#REF!,"AAAAAGjtvq4=")</f>
        <v>#REF!</v>
      </c>
      <c r="FT13" t="e">
        <f>AND('Değerlendirme Formu'!#REF!,"AAAAAGjtvq8=")</f>
        <v>#REF!</v>
      </c>
      <c r="FU13" t="e">
        <f>AND('Değerlendirme Formu'!#REF!,"AAAAAGjtvrA=")</f>
        <v>#REF!</v>
      </c>
      <c r="FV13" t="e">
        <f>AND('Değerlendirme Formu'!#REF!,"AAAAAGjtvrE=")</f>
        <v>#REF!</v>
      </c>
      <c r="FW13" t="e">
        <f>AND('Değerlendirme Formu'!#REF!,"AAAAAGjtvrI=")</f>
        <v>#REF!</v>
      </c>
      <c r="FX13" t="e">
        <f>AND('Değerlendirme Formu'!#REF!,"AAAAAGjtvrM=")</f>
        <v>#REF!</v>
      </c>
      <c r="FY13" t="e">
        <f>AND('Değerlendirme Formu'!#REF!,"AAAAAGjtvrQ=")</f>
        <v>#REF!</v>
      </c>
      <c r="FZ13" t="e">
        <f>IF('Değerlendirme Formu'!#REF!,"AAAAAGjtvrU=",0)</f>
        <v>#REF!</v>
      </c>
      <c r="GA13" t="e">
        <f>AND('Değerlendirme Formu'!#REF!,"AAAAAGjtvrY=")</f>
        <v>#REF!</v>
      </c>
      <c r="GB13" t="e">
        <f>AND('Değerlendirme Formu'!#REF!,"AAAAAGjtvrc=")</f>
        <v>#REF!</v>
      </c>
      <c r="GC13" t="e">
        <f>AND('Değerlendirme Formu'!#REF!,"AAAAAGjtvrg=")</f>
        <v>#REF!</v>
      </c>
      <c r="GD13" t="e">
        <f>AND('Değerlendirme Formu'!#REF!,"AAAAAGjtvrk=")</f>
        <v>#REF!</v>
      </c>
      <c r="GE13" t="e">
        <f>AND('Değerlendirme Formu'!#REF!,"AAAAAGjtvro=")</f>
        <v>#REF!</v>
      </c>
      <c r="GF13" t="e">
        <f>AND('Değerlendirme Formu'!#REF!,"AAAAAGjtvrs=")</f>
        <v>#REF!</v>
      </c>
      <c r="GG13" t="e">
        <f>AND('Değerlendirme Formu'!#REF!,"AAAAAGjtvrw=")</f>
        <v>#REF!</v>
      </c>
      <c r="GH13" t="e">
        <f>AND('Değerlendirme Formu'!#REF!,"AAAAAGjtvr0=")</f>
        <v>#REF!</v>
      </c>
      <c r="GI13" t="e">
        <f>AND('Değerlendirme Formu'!#REF!,"AAAAAGjtvr4=")</f>
        <v>#REF!</v>
      </c>
      <c r="GJ13" t="e">
        <f>AND('Değerlendirme Formu'!#REF!,"AAAAAGjtvr8=")</f>
        <v>#REF!</v>
      </c>
      <c r="GK13" t="e">
        <f>AND('Değerlendirme Formu'!#REF!,"AAAAAGjtvsA=")</f>
        <v>#REF!</v>
      </c>
      <c r="GL13" t="e">
        <f>AND('Değerlendirme Formu'!#REF!,"AAAAAGjtvsE=")</f>
        <v>#REF!</v>
      </c>
      <c r="GM13" t="e">
        <f>AND('Değerlendirme Formu'!#REF!,"AAAAAGjtvsI=")</f>
        <v>#REF!</v>
      </c>
      <c r="GN13" t="e">
        <f>AND('Değerlendirme Formu'!#REF!,"AAAAAGjtvsM=")</f>
        <v>#REF!</v>
      </c>
      <c r="GO13" t="e">
        <f>AND('Değerlendirme Formu'!#REF!,"AAAAAGjtvsQ=")</f>
        <v>#REF!</v>
      </c>
      <c r="GP13" t="e">
        <f>AND('Değerlendirme Formu'!#REF!,"AAAAAGjtvsU=")</f>
        <v>#REF!</v>
      </c>
      <c r="GQ13" t="e">
        <f>AND('Değerlendirme Formu'!#REF!,"AAAAAGjtvsY=")</f>
        <v>#REF!</v>
      </c>
      <c r="GR13" t="e">
        <f>IF('Değerlendirme Formu'!#REF!,"AAAAAGjtvsc=",0)</f>
        <v>#REF!</v>
      </c>
      <c r="GS13" t="e">
        <f>AND('Değerlendirme Formu'!#REF!,"AAAAAGjtvsg=")</f>
        <v>#REF!</v>
      </c>
      <c r="GT13" t="e">
        <f>AND('Değerlendirme Formu'!#REF!,"AAAAAGjtvsk=")</f>
        <v>#REF!</v>
      </c>
      <c r="GU13" t="e">
        <f>AND('Değerlendirme Formu'!#REF!,"AAAAAGjtvso=")</f>
        <v>#REF!</v>
      </c>
      <c r="GV13" t="e">
        <f>AND('Değerlendirme Formu'!#REF!,"AAAAAGjtvss=")</f>
        <v>#REF!</v>
      </c>
      <c r="GW13" t="e">
        <f>AND('Değerlendirme Formu'!#REF!,"AAAAAGjtvsw=")</f>
        <v>#REF!</v>
      </c>
      <c r="GX13" t="e">
        <f>AND('Değerlendirme Formu'!#REF!,"AAAAAGjtvs0=")</f>
        <v>#REF!</v>
      </c>
      <c r="GY13" t="e">
        <f>AND('Değerlendirme Formu'!#REF!,"AAAAAGjtvs4=")</f>
        <v>#REF!</v>
      </c>
      <c r="GZ13" t="e">
        <f>AND('Değerlendirme Formu'!#REF!,"AAAAAGjtvs8=")</f>
        <v>#REF!</v>
      </c>
      <c r="HA13" t="e">
        <f>AND('Değerlendirme Formu'!#REF!,"AAAAAGjtvtA=")</f>
        <v>#REF!</v>
      </c>
      <c r="HB13" t="e">
        <f>AND('Değerlendirme Formu'!#REF!,"AAAAAGjtvtE=")</f>
        <v>#REF!</v>
      </c>
      <c r="HC13" t="e">
        <f>AND('Değerlendirme Formu'!#REF!,"AAAAAGjtvtI=")</f>
        <v>#REF!</v>
      </c>
      <c r="HD13" t="e">
        <f>AND('Değerlendirme Formu'!#REF!,"AAAAAGjtvtM=")</f>
        <v>#REF!</v>
      </c>
      <c r="HE13" t="e">
        <f>AND('Değerlendirme Formu'!#REF!,"AAAAAGjtvtQ=")</f>
        <v>#REF!</v>
      </c>
      <c r="HF13" t="e">
        <f>AND('Değerlendirme Formu'!#REF!,"AAAAAGjtvtU=")</f>
        <v>#REF!</v>
      </c>
      <c r="HG13" t="e">
        <f>AND('Değerlendirme Formu'!#REF!,"AAAAAGjtvtY=")</f>
        <v>#REF!</v>
      </c>
      <c r="HH13" t="e">
        <f>AND('Değerlendirme Formu'!#REF!,"AAAAAGjtvtc=")</f>
        <v>#REF!</v>
      </c>
      <c r="HI13" t="e">
        <f>AND('Değerlendirme Formu'!#REF!,"AAAAAGjtvtg=")</f>
        <v>#REF!</v>
      </c>
      <c r="HJ13" t="e">
        <f>IF('Değerlendirme Formu'!#REF!,"AAAAAGjtvtk=",0)</f>
        <v>#REF!</v>
      </c>
      <c r="HK13" t="e">
        <f>AND('Değerlendirme Formu'!#REF!,"AAAAAGjtvto=")</f>
        <v>#REF!</v>
      </c>
      <c r="HL13" t="e">
        <f>AND('Değerlendirme Formu'!#REF!,"AAAAAGjtvts=")</f>
        <v>#REF!</v>
      </c>
      <c r="HM13" t="e">
        <f>AND('Değerlendirme Formu'!#REF!,"AAAAAGjtvtw=")</f>
        <v>#REF!</v>
      </c>
      <c r="HN13" t="e">
        <f>AND('Değerlendirme Formu'!#REF!,"AAAAAGjtvt0=")</f>
        <v>#REF!</v>
      </c>
      <c r="HO13" t="e">
        <f>AND('Değerlendirme Formu'!#REF!,"AAAAAGjtvt4=")</f>
        <v>#REF!</v>
      </c>
      <c r="HP13" t="e">
        <f>AND('Değerlendirme Formu'!#REF!,"AAAAAGjtvt8=")</f>
        <v>#REF!</v>
      </c>
      <c r="HQ13" t="e">
        <f>AND('Değerlendirme Formu'!#REF!,"AAAAAGjtvuA=")</f>
        <v>#REF!</v>
      </c>
      <c r="HR13" t="e">
        <f>AND('Değerlendirme Formu'!#REF!,"AAAAAGjtvuE=")</f>
        <v>#REF!</v>
      </c>
      <c r="HS13" t="e">
        <f>AND('Değerlendirme Formu'!#REF!,"AAAAAGjtvuI=")</f>
        <v>#REF!</v>
      </c>
      <c r="HT13" t="e">
        <f>AND('Değerlendirme Formu'!#REF!,"AAAAAGjtvuM=")</f>
        <v>#REF!</v>
      </c>
      <c r="HU13" t="e">
        <f>AND('Değerlendirme Formu'!#REF!,"AAAAAGjtvuQ=")</f>
        <v>#REF!</v>
      </c>
      <c r="HV13" t="e">
        <f>AND('Değerlendirme Formu'!#REF!,"AAAAAGjtvuU=")</f>
        <v>#REF!</v>
      </c>
      <c r="HW13" t="e">
        <f>AND('Değerlendirme Formu'!#REF!,"AAAAAGjtvuY=")</f>
        <v>#REF!</v>
      </c>
      <c r="HX13" t="e">
        <f>AND('Değerlendirme Formu'!#REF!,"AAAAAGjtvuc=")</f>
        <v>#REF!</v>
      </c>
      <c r="HY13" t="e">
        <f>AND('Değerlendirme Formu'!#REF!,"AAAAAGjtvug=")</f>
        <v>#REF!</v>
      </c>
      <c r="HZ13" t="e">
        <f>AND('Değerlendirme Formu'!#REF!,"AAAAAGjtvuk=")</f>
        <v>#REF!</v>
      </c>
      <c r="IA13" t="e">
        <f>AND('Değerlendirme Formu'!#REF!,"AAAAAGjtvuo=")</f>
        <v>#REF!</v>
      </c>
      <c r="IB13">
        <f>IF('Değerlendirme Formu'!145:145,"AAAAAGjtvus=",0)</f>
        <v>0</v>
      </c>
      <c r="IC13" t="e">
        <f>AND('Değerlendirme Formu'!A145,"AAAAAGjtvuw=")</f>
        <v>#VALUE!</v>
      </c>
      <c r="ID13" t="e">
        <f>AND('Değerlendirme Formu'!B145,"AAAAAGjtvu0=")</f>
        <v>#VALUE!</v>
      </c>
      <c r="IE13" t="e">
        <f>AND('Değerlendirme Formu'!#REF!,"AAAAAGjtvu4=")</f>
        <v>#REF!</v>
      </c>
      <c r="IF13" t="e">
        <f>AND('Değerlendirme Formu'!C145,"AAAAAGjtvu8=")</f>
        <v>#VALUE!</v>
      </c>
      <c r="IG13" t="e">
        <f>AND('Değerlendirme Formu'!D145,"AAAAAGjtvvA=")</f>
        <v>#VALUE!</v>
      </c>
      <c r="IH13" t="e">
        <f>AND('Değerlendirme Formu'!E145,"AAAAAGjtvvE=")</f>
        <v>#VALUE!</v>
      </c>
      <c r="II13" t="e">
        <f>AND('Değerlendirme Formu'!#REF!,"AAAAAGjtvvI=")</f>
        <v>#REF!</v>
      </c>
      <c r="IJ13" t="e">
        <f>AND('Değerlendirme Formu'!#REF!,"AAAAAGjtvvM=")</f>
        <v>#REF!</v>
      </c>
      <c r="IK13" t="e">
        <f>AND('Değerlendirme Formu'!F145,"AAAAAGjtvvQ=")</f>
        <v>#VALUE!</v>
      </c>
      <c r="IL13" t="e">
        <f>AND('Değerlendirme Formu'!#REF!,"AAAAAGjtvvU=")</f>
        <v>#REF!</v>
      </c>
      <c r="IM13" t="e">
        <f>AND('Değerlendirme Formu'!#REF!,"AAAAAGjtvvY=")</f>
        <v>#REF!</v>
      </c>
      <c r="IN13" t="e">
        <f>AND('Değerlendirme Formu'!#REF!,"AAAAAGjtvvc=")</f>
        <v>#REF!</v>
      </c>
      <c r="IO13" t="e">
        <f>AND('Değerlendirme Formu'!#REF!,"AAAAAGjtvvg=")</f>
        <v>#REF!</v>
      </c>
      <c r="IP13" t="e">
        <f>AND('Değerlendirme Formu'!#REF!,"AAAAAGjtvvk=")</f>
        <v>#REF!</v>
      </c>
      <c r="IQ13" t="e">
        <f>AND('Değerlendirme Formu'!G145,"AAAAAGjtvvo=")</f>
        <v>#VALUE!</v>
      </c>
      <c r="IR13" t="e">
        <f>AND('Değerlendirme Formu'!H145,"AAAAAGjtvvs=")</f>
        <v>#VALUE!</v>
      </c>
      <c r="IS13" t="e">
        <f>AND('Değerlendirme Formu'!I145,"AAAAAGjtvvw=")</f>
        <v>#VALUE!</v>
      </c>
      <c r="IT13">
        <f>IF('Değerlendirme Formu'!146:146,"AAAAAGjtvv0=",0)</f>
        <v>0</v>
      </c>
      <c r="IU13" t="b">
        <f>AND('Değerlendirme Formu'!A146,"AAAAAGjtvv4=")</f>
        <v>1</v>
      </c>
      <c r="IV13" t="e">
        <f>AND('Değerlendirme Formu'!B146,"AAAAAGjtvv8=")</f>
        <v>#VALUE!</v>
      </c>
    </row>
    <row r="14" spans="1:256" x14ac:dyDescent="0.2">
      <c r="A14" t="e">
        <f>AND('Değerlendirme Formu'!#REF!,"AAAAAE73bAA=")</f>
        <v>#REF!</v>
      </c>
      <c r="B14" t="e">
        <f>AND('Değerlendirme Formu'!C146,"AAAAAE73bAE=")</f>
        <v>#VALUE!</v>
      </c>
      <c r="C14" t="b">
        <f>AND('Değerlendirme Formu'!D146,"AAAAAE73bAI=")</f>
        <v>1</v>
      </c>
      <c r="D14" t="b">
        <f>AND('Değerlendirme Formu'!E146,"AAAAAE73bAM=")</f>
        <v>0</v>
      </c>
      <c r="E14" t="e">
        <f>AND('Değerlendirme Formu'!#REF!,"AAAAAE73bAQ=")</f>
        <v>#REF!</v>
      </c>
      <c r="F14" t="e">
        <f>AND('Değerlendirme Formu'!#REF!,"AAAAAE73bAU=")</f>
        <v>#REF!</v>
      </c>
      <c r="G14" t="e">
        <f>AND('Değerlendirme Formu'!F146,"AAAAAE73bAY=")</f>
        <v>#VALUE!</v>
      </c>
      <c r="H14" t="e">
        <f>AND('Değerlendirme Formu'!#REF!,"AAAAAE73bAc=")</f>
        <v>#REF!</v>
      </c>
      <c r="I14" t="e">
        <f>AND('Değerlendirme Formu'!#REF!,"AAAAAE73bAg=")</f>
        <v>#REF!</v>
      </c>
      <c r="J14" t="e">
        <f>AND('Değerlendirme Formu'!#REF!,"AAAAAE73bAk=")</f>
        <v>#REF!</v>
      </c>
      <c r="K14" t="e">
        <f>AND('Değerlendirme Formu'!#REF!,"AAAAAE73bAo=")</f>
        <v>#REF!</v>
      </c>
      <c r="L14" t="e">
        <f>AND('Değerlendirme Formu'!#REF!,"AAAAAE73bAs=")</f>
        <v>#REF!</v>
      </c>
      <c r="M14" t="e">
        <f>AND('Değerlendirme Formu'!G146,"AAAAAE73bAw=")</f>
        <v>#VALUE!</v>
      </c>
      <c r="N14" t="e">
        <f>AND('Değerlendirme Formu'!H146,"AAAAAE73bA0=")</f>
        <v>#VALUE!</v>
      </c>
      <c r="O14" t="e">
        <f>AND('Değerlendirme Formu'!I146,"AAAAAE73bA4=")</f>
        <v>#VALUE!</v>
      </c>
      <c r="P14">
        <f>IF('Değerlendirme Formu'!147:147,"AAAAAE73bA8=",0)</f>
        <v>0</v>
      </c>
      <c r="Q14" t="b">
        <f>AND('Değerlendirme Formu'!A147,"AAAAAE73bBA=")</f>
        <v>1</v>
      </c>
      <c r="R14" t="e">
        <f>AND('Değerlendirme Formu'!B147,"AAAAAE73bBE=")</f>
        <v>#VALUE!</v>
      </c>
      <c r="S14" t="e">
        <f>AND('Değerlendirme Formu'!#REF!,"AAAAAE73bBI=")</f>
        <v>#REF!</v>
      </c>
      <c r="T14" t="e">
        <f>AND('Değerlendirme Formu'!C147,"AAAAAE73bBM=")</f>
        <v>#VALUE!</v>
      </c>
      <c r="U14" t="b">
        <f>AND('Değerlendirme Formu'!D147,"AAAAAE73bBQ=")</f>
        <v>1</v>
      </c>
      <c r="V14" t="b">
        <f>AND('Değerlendirme Formu'!E147,"AAAAAE73bBU=")</f>
        <v>0</v>
      </c>
      <c r="W14" t="e">
        <f>AND('Değerlendirme Formu'!#REF!,"AAAAAE73bBY=")</f>
        <v>#REF!</v>
      </c>
      <c r="X14" t="e">
        <f>AND('Değerlendirme Formu'!#REF!,"AAAAAE73bBc=")</f>
        <v>#REF!</v>
      </c>
      <c r="Y14" t="e">
        <f>AND('Değerlendirme Formu'!F147,"AAAAAE73bBg=")</f>
        <v>#VALUE!</v>
      </c>
      <c r="Z14" t="e">
        <f>AND('Değerlendirme Formu'!#REF!,"AAAAAE73bBk=")</f>
        <v>#REF!</v>
      </c>
      <c r="AA14" t="e">
        <f>AND('Değerlendirme Formu'!#REF!,"AAAAAE73bBo=")</f>
        <v>#REF!</v>
      </c>
      <c r="AB14" t="e">
        <f>AND('Değerlendirme Formu'!#REF!,"AAAAAE73bBs=")</f>
        <v>#REF!</v>
      </c>
      <c r="AC14" t="e">
        <f>AND('Değerlendirme Formu'!#REF!,"AAAAAE73bBw=")</f>
        <v>#REF!</v>
      </c>
      <c r="AD14" t="e">
        <f>AND('Değerlendirme Formu'!#REF!,"AAAAAE73bB0=")</f>
        <v>#REF!</v>
      </c>
      <c r="AE14" t="e">
        <f>AND('Değerlendirme Formu'!G147,"AAAAAE73bB4=")</f>
        <v>#VALUE!</v>
      </c>
      <c r="AF14" t="e">
        <f>AND('Değerlendirme Formu'!H147,"AAAAAE73bB8=")</f>
        <v>#VALUE!</v>
      </c>
      <c r="AG14" t="e">
        <f>AND('Değerlendirme Formu'!I147,"AAAAAE73bCA=")</f>
        <v>#VALUE!</v>
      </c>
      <c r="AH14">
        <f>IF('Değerlendirme Formu'!148:148,"AAAAAE73bCE=",0)</f>
        <v>0</v>
      </c>
      <c r="AI14" t="b">
        <f>AND('Değerlendirme Formu'!A148,"AAAAAE73bCI=")</f>
        <v>1</v>
      </c>
      <c r="AJ14" t="e">
        <f>AND('Değerlendirme Formu'!B148,"AAAAAE73bCM=")</f>
        <v>#VALUE!</v>
      </c>
      <c r="AK14" t="e">
        <f>AND('Değerlendirme Formu'!#REF!,"AAAAAE73bCQ=")</f>
        <v>#REF!</v>
      </c>
      <c r="AL14" t="e">
        <f>AND('Değerlendirme Formu'!C148,"AAAAAE73bCU=")</f>
        <v>#VALUE!</v>
      </c>
      <c r="AM14" t="b">
        <f>AND('Değerlendirme Formu'!D148,"AAAAAE73bCY=")</f>
        <v>1</v>
      </c>
      <c r="AN14" t="b">
        <f>AND('Değerlendirme Formu'!E148,"AAAAAE73bCc=")</f>
        <v>0</v>
      </c>
      <c r="AO14" t="e">
        <f>AND('Değerlendirme Formu'!#REF!,"AAAAAE73bCg=")</f>
        <v>#REF!</v>
      </c>
      <c r="AP14" t="e">
        <f>AND('Değerlendirme Formu'!#REF!,"AAAAAE73bCk=")</f>
        <v>#REF!</v>
      </c>
      <c r="AQ14" t="e">
        <f>AND('Değerlendirme Formu'!F148,"AAAAAE73bCo=")</f>
        <v>#VALUE!</v>
      </c>
      <c r="AR14" t="e">
        <f>AND('Değerlendirme Formu'!#REF!,"AAAAAE73bCs=")</f>
        <v>#REF!</v>
      </c>
      <c r="AS14" t="e">
        <f>AND('Değerlendirme Formu'!#REF!,"AAAAAE73bCw=")</f>
        <v>#REF!</v>
      </c>
      <c r="AT14" t="e">
        <f>AND('Değerlendirme Formu'!#REF!,"AAAAAE73bC0=")</f>
        <v>#REF!</v>
      </c>
      <c r="AU14" t="e">
        <f>AND('Değerlendirme Formu'!#REF!,"AAAAAE73bC4=")</f>
        <v>#REF!</v>
      </c>
      <c r="AV14" t="e">
        <f>AND('Değerlendirme Formu'!#REF!,"AAAAAE73bC8=")</f>
        <v>#REF!</v>
      </c>
      <c r="AW14" t="e">
        <f>AND('Değerlendirme Formu'!G148,"AAAAAE73bDA=")</f>
        <v>#VALUE!</v>
      </c>
      <c r="AX14" t="e">
        <f>AND('Değerlendirme Formu'!H148,"AAAAAE73bDE=")</f>
        <v>#VALUE!</v>
      </c>
      <c r="AY14" t="e">
        <f>AND('Değerlendirme Formu'!I148,"AAAAAE73bDI=")</f>
        <v>#VALUE!</v>
      </c>
      <c r="AZ14" t="e">
        <f>IF('Değerlendirme Formu'!#REF!,"AAAAAE73bDM=",0)</f>
        <v>#REF!</v>
      </c>
      <c r="BA14" t="e">
        <f>AND('Değerlendirme Formu'!#REF!,"AAAAAE73bDQ=")</f>
        <v>#REF!</v>
      </c>
      <c r="BB14" t="e">
        <f>AND('Değerlendirme Formu'!#REF!,"AAAAAE73bDU=")</f>
        <v>#REF!</v>
      </c>
      <c r="BC14" t="e">
        <f>AND('Değerlendirme Formu'!#REF!,"AAAAAE73bDY=")</f>
        <v>#REF!</v>
      </c>
      <c r="BD14" t="e">
        <f>AND('Değerlendirme Formu'!#REF!,"AAAAAE73bDc=")</f>
        <v>#REF!</v>
      </c>
      <c r="BE14" t="e">
        <f>AND('Değerlendirme Formu'!#REF!,"AAAAAE73bDg=")</f>
        <v>#REF!</v>
      </c>
      <c r="BF14" t="e">
        <f>AND('Değerlendirme Formu'!#REF!,"AAAAAE73bDk=")</f>
        <v>#REF!</v>
      </c>
      <c r="BG14" t="e">
        <f>AND('Değerlendirme Formu'!#REF!,"AAAAAE73bDo=")</f>
        <v>#REF!</v>
      </c>
      <c r="BH14" t="e">
        <f>AND('Değerlendirme Formu'!#REF!,"AAAAAE73bDs=")</f>
        <v>#REF!</v>
      </c>
      <c r="BI14" t="e">
        <f>AND('Değerlendirme Formu'!#REF!,"AAAAAE73bDw=")</f>
        <v>#REF!</v>
      </c>
      <c r="BJ14" t="e">
        <f>AND('Değerlendirme Formu'!#REF!,"AAAAAE73bD0=")</f>
        <v>#REF!</v>
      </c>
      <c r="BK14" t="e">
        <f>AND('Değerlendirme Formu'!#REF!,"AAAAAE73bD4=")</f>
        <v>#REF!</v>
      </c>
      <c r="BL14" t="e">
        <f>AND('Değerlendirme Formu'!#REF!,"AAAAAE73bD8=")</f>
        <v>#REF!</v>
      </c>
      <c r="BM14" t="e">
        <f>AND('Değerlendirme Formu'!#REF!,"AAAAAE73bEA=")</f>
        <v>#REF!</v>
      </c>
      <c r="BN14" t="e">
        <f>AND('Değerlendirme Formu'!#REF!,"AAAAAE73bEE=")</f>
        <v>#REF!</v>
      </c>
      <c r="BO14" t="e">
        <f>AND('Değerlendirme Formu'!#REF!,"AAAAAE73bEI=")</f>
        <v>#REF!</v>
      </c>
      <c r="BP14" t="e">
        <f>AND('Değerlendirme Formu'!#REF!,"AAAAAE73bEM=")</f>
        <v>#REF!</v>
      </c>
      <c r="BQ14" t="e">
        <f>AND('Değerlendirme Formu'!#REF!,"AAAAAE73bEQ=")</f>
        <v>#REF!</v>
      </c>
      <c r="BR14" t="e">
        <f>IF('Değerlendirme Formu'!#REF!,"AAAAAE73bEU=",0)</f>
        <v>#REF!</v>
      </c>
      <c r="BS14" t="e">
        <f>AND('Değerlendirme Formu'!#REF!,"AAAAAE73bEY=")</f>
        <v>#REF!</v>
      </c>
      <c r="BT14" t="e">
        <f>AND('Değerlendirme Formu'!#REF!,"AAAAAE73bEc=")</f>
        <v>#REF!</v>
      </c>
      <c r="BU14" t="e">
        <f>AND('Değerlendirme Formu'!#REF!,"AAAAAE73bEg=")</f>
        <v>#REF!</v>
      </c>
      <c r="BV14" t="e">
        <f>AND('Değerlendirme Formu'!#REF!,"AAAAAE73bEk=")</f>
        <v>#REF!</v>
      </c>
      <c r="BW14" t="e">
        <f>AND('Değerlendirme Formu'!#REF!,"AAAAAE73bEo=")</f>
        <v>#REF!</v>
      </c>
      <c r="BX14" t="e">
        <f>AND('Değerlendirme Formu'!#REF!,"AAAAAE73bEs=")</f>
        <v>#REF!</v>
      </c>
      <c r="BY14" t="e">
        <f>AND('Değerlendirme Formu'!#REF!,"AAAAAE73bEw=")</f>
        <v>#REF!</v>
      </c>
      <c r="BZ14" t="e">
        <f>AND('Değerlendirme Formu'!#REF!,"AAAAAE73bE0=")</f>
        <v>#REF!</v>
      </c>
      <c r="CA14" t="e">
        <f>AND('Değerlendirme Formu'!#REF!,"AAAAAE73bE4=")</f>
        <v>#REF!</v>
      </c>
      <c r="CB14" t="e">
        <f>AND('Değerlendirme Formu'!#REF!,"AAAAAE73bE8=")</f>
        <v>#REF!</v>
      </c>
      <c r="CC14" t="e">
        <f>AND('Değerlendirme Formu'!#REF!,"AAAAAE73bFA=")</f>
        <v>#REF!</v>
      </c>
      <c r="CD14" t="e">
        <f>AND('Değerlendirme Formu'!#REF!,"AAAAAE73bFE=")</f>
        <v>#REF!</v>
      </c>
      <c r="CE14" t="e">
        <f>AND('Değerlendirme Formu'!#REF!,"AAAAAE73bFI=")</f>
        <v>#REF!</v>
      </c>
      <c r="CF14" t="e">
        <f>AND('Değerlendirme Formu'!#REF!,"AAAAAE73bFM=")</f>
        <v>#REF!</v>
      </c>
      <c r="CG14" t="e">
        <f>AND('Değerlendirme Formu'!#REF!,"AAAAAE73bFQ=")</f>
        <v>#REF!</v>
      </c>
      <c r="CH14" t="e">
        <f>AND('Değerlendirme Formu'!#REF!,"AAAAAE73bFU=")</f>
        <v>#REF!</v>
      </c>
      <c r="CI14" t="e">
        <f>AND('Değerlendirme Formu'!#REF!,"AAAAAE73bFY=")</f>
        <v>#REF!</v>
      </c>
      <c r="CJ14">
        <f>IF('Değerlendirme Formu'!150:150,"AAAAAE73bFc=",0)</f>
        <v>0</v>
      </c>
      <c r="CK14" t="b">
        <f>AND('Değerlendirme Formu'!A150,"AAAAAE73bFg=")</f>
        <v>1</v>
      </c>
      <c r="CL14" t="e">
        <f>AND('Değerlendirme Formu'!B150,"AAAAAE73bFk=")</f>
        <v>#VALUE!</v>
      </c>
      <c r="CM14" t="e">
        <f>AND('Değerlendirme Formu'!#REF!,"AAAAAE73bFo=")</f>
        <v>#REF!</v>
      </c>
      <c r="CN14" t="e">
        <f>AND('Değerlendirme Formu'!C150,"AAAAAE73bFs=")</f>
        <v>#VALUE!</v>
      </c>
      <c r="CO14" t="b">
        <f>AND('Değerlendirme Formu'!D150,"AAAAAE73bFw=")</f>
        <v>1</v>
      </c>
      <c r="CP14" t="b">
        <f>AND('Değerlendirme Formu'!E150,"AAAAAE73bF0=")</f>
        <v>0</v>
      </c>
      <c r="CQ14" t="e">
        <f>AND('Değerlendirme Formu'!#REF!,"AAAAAE73bF4=")</f>
        <v>#REF!</v>
      </c>
      <c r="CR14" t="e">
        <f>AND('Değerlendirme Formu'!#REF!,"AAAAAE73bF8=")</f>
        <v>#REF!</v>
      </c>
      <c r="CS14" t="e">
        <f>AND('Değerlendirme Formu'!F150,"AAAAAE73bGA=")</f>
        <v>#VALUE!</v>
      </c>
      <c r="CT14" t="e">
        <f>AND('Değerlendirme Formu'!#REF!,"AAAAAE73bGE=")</f>
        <v>#REF!</v>
      </c>
      <c r="CU14" t="e">
        <f>AND('Değerlendirme Formu'!#REF!,"AAAAAE73bGI=")</f>
        <v>#REF!</v>
      </c>
      <c r="CV14" t="e">
        <f>AND('Değerlendirme Formu'!#REF!,"AAAAAE73bGM=")</f>
        <v>#REF!</v>
      </c>
      <c r="CW14" t="e">
        <f>AND('Değerlendirme Formu'!#REF!,"AAAAAE73bGQ=")</f>
        <v>#REF!</v>
      </c>
      <c r="CX14" t="e">
        <f>AND('Değerlendirme Formu'!#REF!,"AAAAAE73bGU=")</f>
        <v>#REF!</v>
      </c>
      <c r="CY14" t="e">
        <f>AND('Değerlendirme Formu'!G150,"AAAAAE73bGY=")</f>
        <v>#VALUE!</v>
      </c>
      <c r="CZ14" t="e">
        <f>AND('Değerlendirme Formu'!H150,"AAAAAE73bGc=")</f>
        <v>#VALUE!</v>
      </c>
      <c r="DA14" t="e">
        <f>AND('Değerlendirme Formu'!I150,"AAAAAE73bGg=")</f>
        <v>#VALUE!</v>
      </c>
      <c r="DB14" t="e">
        <f>IF('Değerlendirme Formu'!#REF!,"AAAAAE73bGk=",0)</f>
        <v>#REF!</v>
      </c>
      <c r="DC14" t="e">
        <f>AND('Değerlendirme Formu'!#REF!,"AAAAAE73bGo=")</f>
        <v>#REF!</v>
      </c>
      <c r="DD14" t="e">
        <f>AND('Değerlendirme Formu'!#REF!,"AAAAAE73bGs=")</f>
        <v>#REF!</v>
      </c>
      <c r="DE14" t="e">
        <f>AND('Değerlendirme Formu'!#REF!,"AAAAAE73bGw=")</f>
        <v>#REF!</v>
      </c>
      <c r="DF14" t="e">
        <f>AND('Değerlendirme Formu'!#REF!,"AAAAAE73bG0=")</f>
        <v>#REF!</v>
      </c>
      <c r="DG14" t="e">
        <f>AND('Değerlendirme Formu'!#REF!,"AAAAAE73bG4=")</f>
        <v>#REF!</v>
      </c>
      <c r="DH14" t="e">
        <f>AND('Değerlendirme Formu'!#REF!,"AAAAAE73bG8=")</f>
        <v>#REF!</v>
      </c>
      <c r="DI14" t="e">
        <f>AND('Değerlendirme Formu'!#REF!,"AAAAAE73bHA=")</f>
        <v>#REF!</v>
      </c>
      <c r="DJ14" t="e">
        <f>AND('Değerlendirme Formu'!#REF!,"AAAAAE73bHE=")</f>
        <v>#REF!</v>
      </c>
      <c r="DK14" t="e">
        <f>AND('Değerlendirme Formu'!#REF!,"AAAAAE73bHI=")</f>
        <v>#REF!</v>
      </c>
      <c r="DL14" t="e">
        <f>AND('Değerlendirme Formu'!#REF!,"AAAAAE73bHM=")</f>
        <v>#REF!</v>
      </c>
      <c r="DM14" t="e">
        <f>AND('Değerlendirme Formu'!#REF!,"AAAAAE73bHQ=")</f>
        <v>#REF!</v>
      </c>
      <c r="DN14" t="e">
        <f>AND('Değerlendirme Formu'!#REF!,"AAAAAE73bHU=")</f>
        <v>#REF!</v>
      </c>
      <c r="DO14" t="e">
        <f>AND('Değerlendirme Formu'!#REF!,"AAAAAE73bHY=")</f>
        <v>#REF!</v>
      </c>
      <c r="DP14" t="e">
        <f>AND('Değerlendirme Formu'!#REF!,"AAAAAE73bHc=")</f>
        <v>#REF!</v>
      </c>
      <c r="DQ14" t="e">
        <f>AND('Değerlendirme Formu'!#REF!,"AAAAAE73bHg=")</f>
        <v>#REF!</v>
      </c>
      <c r="DR14" t="e">
        <f>AND('Değerlendirme Formu'!#REF!,"AAAAAE73bHk=")</f>
        <v>#REF!</v>
      </c>
      <c r="DS14" t="e">
        <f>AND('Değerlendirme Formu'!#REF!,"AAAAAE73bHo=")</f>
        <v>#REF!</v>
      </c>
      <c r="DT14" t="e">
        <f>IF('Değerlendirme Formu'!#REF!,"AAAAAE73bHs=",0)</f>
        <v>#REF!</v>
      </c>
      <c r="DU14" t="e">
        <f>AND('Değerlendirme Formu'!#REF!,"AAAAAE73bHw=")</f>
        <v>#REF!</v>
      </c>
      <c r="DV14" t="e">
        <f>AND('Değerlendirme Formu'!#REF!,"AAAAAE73bH0=")</f>
        <v>#REF!</v>
      </c>
      <c r="DW14" t="e">
        <f>AND('Değerlendirme Formu'!#REF!,"AAAAAE73bH4=")</f>
        <v>#REF!</v>
      </c>
      <c r="DX14" t="e">
        <f>AND('Değerlendirme Formu'!#REF!,"AAAAAE73bH8=")</f>
        <v>#REF!</v>
      </c>
      <c r="DY14" t="e">
        <f>AND('Değerlendirme Formu'!#REF!,"AAAAAE73bIA=")</f>
        <v>#REF!</v>
      </c>
      <c r="DZ14" t="e">
        <f>AND('Değerlendirme Formu'!#REF!,"AAAAAE73bIE=")</f>
        <v>#REF!</v>
      </c>
      <c r="EA14" t="e">
        <f>AND('Değerlendirme Formu'!#REF!,"AAAAAE73bII=")</f>
        <v>#REF!</v>
      </c>
      <c r="EB14" t="e">
        <f>AND('Değerlendirme Formu'!#REF!,"AAAAAE73bIM=")</f>
        <v>#REF!</v>
      </c>
      <c r="EC14" t="e">
        <f>AND('Değerlendirme Formu'!#REF!,"AAAAAE73bIQ=")</f>
        <v>#REF!</v>
      </c>
      <c r="ED14" t="e">
        <f>AND('Değerlendirme Formu'!#REF!,"AAAAAE73bIU=")</f>
        <v>#REF!</v>
      </c>
      <c r="EE14" t="e">
        <f>AND('Değerlendirme Formu'!#REF!,"AAAAAE73bIY=")</f>
        <v>#REF!</v>
      </c>
      <c r="EF14" t="e">
        <f>AND('Değerlendirme Formu'!#REF!,"AAAAAE73bIc=")</f>
        <v>#REF!</v>
      </c>
      <c r="EG14" t="e">
        <f>AND('Değerlendirme Formu'!#REF!,"AAAAAE73bIg=")</f>
        <v>#REF!</v>
      </c>
      <c r="EH14" t="e">
        <f>AND('Değerlendirme Formu'!#REF!,"AAAAAE73bIk=")</f>
        <v>#REF!</v>
      </c>
      <c r="EI14" t="e">
        <f>AND('Değerlendirme Formu'!#REF!,"AAAAAE73bIo=")</f>
        <v>#REF!</v>
      </c>
      <c r="EJ14" t="e">
        <f>AND('Değerlendirme Formu'!#REF!,"AAAAAE73bIs=")</f>
        <v>#REF!</v>
      </c>
      <c r="EK14" t="e">
        <f>AND('Değerlendirme Formu'!#REF!,"AAAAAE73bIw=")</f>
        <v>#REF!</v>
      </c>
      <c r="EL14">
        <f>IF('Değerlendirme Formu'!59:59,"AAAAAE73bI0=",0)</f>
        <v>0</v>
      </c>
      <c r="EM14" t="e">
        <f>AND('Değerlendirme Formu'!A59,"AAAAAE73bI4=")</f>
        <v>#VALUE!</v>
      </c>
      <c r="EN14" t="e">
        <f>AND('Değerlendirme Formu'!B59,"AAAAAE73bI8=")</f>
        <v>#VALUE!</v>
      </c>
      <c r="EO14" t="e">
        <f>AND('Değerlendirme Formu'!#REF!,"AAAAAE73bJA=")</f>
        <v>#REF!</v>
      </c>
      <c r="EP14" t="e">
        <f>AND('Değerlendirme Formu'!C59,"AAAAAE73bJE=")</f>
        <v>#VALUE!</v>
      </c>
      <c r="EQ14" t="e">
        <f>AND('Değerlendirme Formu'!D59,"AAAAAE73bJI=")</f>
        <v>#VALUE!</v>
      </c>
      <c r="ER14" t="e">
        <f>AND('Değerlendirme Formu'!E59,"AAAAAE73bJM=")</f>
        <v>#VALUE!</v>
      </c>
      <c r="ES14" t="e">
        <f>AND('Değerlendirme Formu'!#REF!,"AAAAAE73bJQ=")</f>
        <v>#REF!</v>
      </c>
      <c r="ET14" t="e">
        <f>AND('Değerlendirme Formu'!#REF!,"AAAAAE73bJU=")</f>
        <v>#REF!</v>
      </c>
      <c r="EU14" t="e">
        <f>AND('Değerlendirme Formu'!F59,"AAAAAE73bJY=")</f>
        <v>#VALUE!</v>
      </c>
      <c r="EV14" t="e">
        <f>AND('Değerlendirme Formu'!#REF!,"AAAAAE73bJc=")</f>
        <v>#REF!</v>
      </c>
      <c r="EW14" t="e">
        <f>AND('Değerlendirme Formu'!#REF!,"AAAAAE73bJg=")</f>
        <v>#REF!</v>
      </c>
      <c r="EX14" t="e">
        <f>AND('Değerlendirme Formu'!#REF!,"AAAAAE73bJk=")</f>
        <v>#REF!</v>
      </c>
      <c r="EY14" t="e">
        <f>AND('Değerlendirme Formu'!#REF!,"AAAAAE73bJo=")</f>
        <v>#REF!</v>
      </c>
      <c r="EZ14" t="e">
        <f>AND('Değerlendirme Formu'!#REF!,"AAAAAE73bJs=")</f>
        <v>#REF!</v>
      </c>
      <c r="FA14" t="e">
        <f>AND('Değerlendirme Formu'!G59,"AAAAAE73bJw=")</f>
        <v>#VALUE!</v>
      </c>
      <c r="FB14" t="e">
        <f>AND('Değerlendirme Formu'!H59,"AAAAAE73bJ0=")</f>
        <v>#VALUE!</v>
      </c>
      <c r="FC14" t="e">
        <f>AND('Değerlendirme Formu'!I59,"AAAAAE73bJ4=")</f>
        <v>#VALUE!</v>
      </c>
      <c r="FD14">
        <f>IF('Değerlendirme Formu'!60:60,"AAAAAE73bJ8=",0)</f>
        <v>0</v>
      </c>
      <c r="FE14" t="b">
        <f>AND('Değerlendirme Formu'!A60,"AAAAAE73bKA=")</f>
        <v>1</v>
      </c>
      <c r="FF14" t="e">
        <f>AND('Değerlendirme Formu'!B60,"AAAAAE73bKE=")</f>
        <v>#VALUE!</v>
      </c>
      <c r="FG14" t="e">
        <f>AND('Değerlendirme Formu'!#REF!,"AAAAAE73bKI=")</f>
        <v>#REF!</v>
      </c>
      <c r="FH14" t="e">
        <f>AND('Değerlendirme Formu'!C60,"AAAAAE73bKM=")</f>
        <v>#VALUE!</v>
      </c>
      <c r="FI14" t="b">
        <f>AND('Değerlendirme Formu'!D60,"AAAAAE73bKQ=")</f>
        <v>1</v>
      </c>
      <c r="FJ14" t="b">
        <f>AND('Değerlendirme Formu'!E60,"AAAAAE73bKU=")</f>
        <v>0</v>
      </c>
      <c r="FK14" t="e">
        <f>AND('Değerlendirme Formu'!#REF!,"AAAAAE73bKY=")</f>
        <v>#REF!</v>
      </c>
      <c r="FL14" t="e">
        <f>AND('Değerlendirme Formu'!#REF!,"AAAAAE73bKc=")</f>
        <v>#REF!</v>
      </c>
      <c r="FM14" t="e">
        <f>AND('Değerlendirme Formu'!F60,"AAAAAE73bKg=")</f>
        <v>#VALUE!</v>
      </c>
      <c r="FN14" t="e">
        <f>AND('Değerlendirme Formu'!#REF!,"AAAAAE73bKk=")</f>
        <v>#REF!</v>
      </c>
      <c r="FO14" t="e">
        <f>AND('Değerlendirme Formu'!#REF!,"AAAAAE73bKo=")</f>
        <v>#REF!</v>
      </c>
      <c r="FP14" t="e">
        <f>AND('Değerlendirme Formu'!#REF!,"AAAAAE73bKs=")</f>
        <v>#REF!</v>
      </c>
      <c r="FQ14" t="e">
        <f>AND('Değerlendirme Formu'!#REF!,"AAAAAE73bKw=")</f>
        <v>#REF!</v>
      </c>
      <c r="FR14" t="e">
        <f>AND('Değerlendirme Formu'!#REF!,"AAAAAE73bK0=")</f>
        <v>#REF!</v>
      </c>
      <c r="FS14" t="e">
        <f>AND('Değerlendirme Formu'!G60,"AAAAAE73bK4=")</f>
        <v>#VALUE!</v>
      </c>
      <c r="FT14" t="e">
        <f>AND('Değerlendirme Formu'!H60,"AAAAAE73bK8=")</f>
        <v>#VALUE!</v>
      </c>
      <c r="FU14" t="e">
        <f>AND('Değerlendirme Formu'!I60,"AAAAAE73bLA=")</f>
        <v>#VALUE!</v>
      </c>
      <c r="FV14">
        <f>IF('Değerlendirme Formu'!65:65,"AAAAAE73bLE=",0)</f>
        <v>0</v>
      </c>
      <c r="FW14" t="b">
        <f>AND('Değerlendirme Formu'!A65,"AAAAAE73bLI=")</f>
        <v>1</v>
      </c>
      <c r="FX14" t="e">
        <f>AND('Değerlendirme Formu'!B65,"AAAAAE73bLM=")</f>
        <v>#VALUE!</v>
      </c>
      <c r="FY14" t="e">
        <f>AND('Değerlendirme Formu'!#REF!,"AAAAAE73bLQ=")</f>
        <v>#REF!</v>
      </c>
      <c r="FZ14" t="e">
        <f>AND('Değerlendirme Formu'!C65,"AAAAAE73bLU=")</f>
        <v>#VALUE!</v>
      </c>
      <c r="GA14" t="b">
        <f>AND('Değerlendirme Formu'!D65,"AAAAAE73bLY=")</f>
        <v>1</v>
      </c>
      <c r="GB14" t="b">
        <f>AND('Değerlendirme Formu'!E65,"AAAAAE73bLc=")</f>
        <v>0</v>
      </c>
      <c r="GC14" t="e">
        <f>AND('Değerlendirme Formu'!#REF!,"AAAAAE73bLg=")</f>
        <v>#REF!</v>
      </c>
      <c r="GD14" t="e">
        <f>AND('Değerlendirme Formu'!#REF!,"AAAAAE73bLk=")</f>
        <v>#REF!</v>
      </c>
      <c r="GE14" t="e">
        <f>AND('Değerlendirme Formu'!F65,"AAAAAE73bLo=")</f>
        <v>#VALUE!</v>
      </c>
      <c r="GF14" t="e">
        <f>AND('Değerlendirme Formu'!#REF!,"AAAAAE73bLs=")</f>
        <v>#REF!</v>
      </c>
      <c r="GG14" t="e">
        <f>AND('Değerlendirme Formu'!#REF!,"AAAAAE73bLw=")</f>
        <v>#REF!</v>
      </c>
      <c r="GH14" t="e">
        <f>AND('Değerlendirme Formu'!#REF!,"AAAAAE73bL0=")</f>
        <v>#REF!</v>
      </c>
      <c r="GI14" t="e">
        <f>AND('Değerlendirme Formu'!#REF!,"AAAAAE73bL4=")</f>
        <v>#REF!</v>
      </c>
      <c r="GJ14" t="e">
        <f>AND('Değerlendirme Formu'!#REF!,"AAAAAE73bL8=")</f>
        <v>#REF!</v>
      </c>
      <c r="GK14" t="e">
        <f>AND('Değerlendirme Formu'!G65,"AAAAAE73bMA=")</f>
        <v>#VALUE!</v>
      </c>
      <c r="GL14" t="e">
        <f>AND('Değerlendirme Formu'!H65,"AAAAAE73bME=")</f>
        <v>#VALUE!</v>
      </c>
      <c r="GM14" t="e">
        <f>AND('Değerlendirme Formu'!I65,"AAAAAE73bMI=")</f>
        <v>#VALUE!</v>
      </c>
      <c r="GN14" t="e">
        <f>IF('Değerlendirme Formu'!#REF!,"AAAAAE73bMM=",0)</f>
        <v>#REF!</v>
      </c>
      <c r="GO14" t="e">
        <f>AND('Değerlendirme Formu'!#REF!,"AAAAAE73bMQ=")</f>
        <v>#REF!</v>
      </c>
      <c r="GP14" t="e">
        <f>AND('Değerlendirme Formu'!#REF!,"AAAAAE73bMU=")</f>
        <v>#REF!</v>
      </c>
      <c r="GQ14" t="e">
        <f>AND('Değerlendirme Formu'!#REF!,"AAAAAE73bMY=")</f>
        <v>#REF!</v>
      </c>
      <c r="GR14" t="e">
        <f>AND('Değerlendirme Formu'!#REF!,"AAAAAE73bMc=")</f>
        <v>#REF!</v>
      </c>
      <c r="GS14" t="e">
        <f>AND('Değerlendirme Formu'!#REF!,"AAAAAE73bMg=")</f>
        <v>#REF!</v>
      </c>
      <c r="GT14" t="e">
        <f>AND('Değerlendirme Formu'!#REF!,"AAAAAE73bMk=")</f>
        <v>#REF!</v>
      </c>
      <c r="GU14" t="e">
        <f>AND('Değerlendirme Formu'!#REF!,"AAAAAE73bMo=")</f>
        <v>#REF!</v>
      </c>
      <c r="GV14" t="e">
        <f>AND('Değerlendirme Formu'!#REF!,"AAAAAE73bMs=")</f>
        <v>#REF!</v>
      </c>
      <c r="GW14" t="e">
        <f>AND('Değerlendirme Formu'!#REF!,"AAAAAE73bMw=")</f>
        <v>#REF!</v>
      </c>
      <c r="GX14" t="e">
        <f>AND('Değerlendirme Formu'!#REF!,"AAAAAE73bM0=")</f>
        <v>#REF!</v>
      </c>
      <c r="GY14" t="e">
        <f>AND('Değerlendirme Formu'!#REF!,"AAAAAE73bM4=")</f>
        <v>#REF!</v>
      </c>
      <c r="GZ14" t="e">
        <f>AND('Değerlendirme Formu'!#REF!,"AAAAAE73bM8=")</f>
        <v>#REF!</v>
      </c>
      <c r="HA14" t="e">
        <f>AND('Değerlendirme Formu'!#REF!,"AAAAAE73bNA=")</f>
        <v>#REF!</v>
      </c>
      <c r="HB14" t="e">
        <f>AND('Değerlendirme Formu'!#REF!,"AAAAAE73bNE=")</f>
        <v>#REF!</v>
      </c>
      <c r="HC14" t="e">
        <f>AND('Değerlendirme Formu'!#REF!,"AAAAAE73bNI=")</f>
        <v>#REF!</v>
      </c>
      <c r="HD14" t="e">
        <f>AND('Değerlendirme Formu'!#REF!,"AAAAAE73bNM=")</f>
        <v>#REF!</v>
      </c>
      <c r="HE14" t="e">
        <f>AND('Değerlendirme Formu'!#REF!,"AAAAAE73bNQ=")</f>
        <v>#REF!</v>
      </c>
      <c r="HF14">
        <f>IF('Değerlendirme Formu'!67:67,"AAAAAE73bNU=",0)</f>
        <v>0</v>
      </c>
      <c r="HG14" t="b">
        <f>AND('Değerlendirme Formu'!A67,"AAAAAE73bNY=")</f>
        <v>1</v>
      </c>
      <c r="HH14" t="e">
        <f>AND('Değerlendirme Formu'!B67,"AAAAAE73bNc=")</f>
        <v>#VALUE!</v>
      </c>
      <c r="HI14" t="e">
        <f>AND('Değerlendirme Formu'!#REF!,"AAAAAE73bNg=")</f>
        <v>#REF!</v>
      </c>
      <c r="HJ14" t="e">
        <f>AND('Değerlendirme Formu'!C67,"AAAAAE73bNk=")</f>
        <v>#VALUE!</v>
      </c>
      <c r="HK14" t="b">
        <f>AND('Değerlendirme Formu'!D67,"AAAAAE73bNo=")</f>
        <v>1</v>
      </c>
      <c r="HL14" t="b">
        <f>AND('Değerlendirme Formu'!E67,"AAAAAE73bNs=")</f>
        <v>0</v>
      </c>
      <c r="HM14" t="e">
        <f>AND('Değerlendirme Formu'!#REF!,"AAAAAE73bNw=")</f>
        <v>#REF!</v>
      </c>
      <c r="HN14" t="e">
        <f>AND('Değerlendirme Formu'!#REF!,"AAAAAE73bN0=")</f>
        <v>#REF!</v>
      </c>
      <c r="HO14" t="e">
        <f>AND('Değerlendirme Formu'!F67,"AAAAAE73bN4=")</f>
        <v>#VALUE!</v>
      </c>
      <c r="HP14" t="e">
        <f>AND('Değerlendirme Formu'!#REF!,"AAAAAE73bN8=")</f>
        <v>#REF!</v>
      </c>
      <c r="HQ14" t="e">
        <f>AND('Değerlendirme Formu'!#REF!,"AAAAAE73bOA=")</f>
        <v>#REF!</v>
      </c>
      <c r="HR14" t="e">
        <f>AND('Değerlendirme Formu'!#REF!,"AAAAAE73bOE=")</f>
        <v>#REF!</v>
      </c>
      <c r="HS14" t="e">
        <f>AND('Değerlendirme Formu'!#REF!,"AAAAAE73bOI=")</f>
        <v>#REF!</v>
      </c>
      <c r="HT14" t="e">
        <f>AND('Değerlendirme Formu'!#REF!,"AAAAAE73bOM=")</f>
        <v>#REF!</v>
      </c>
      <c r="HU14" t="e">
        <f>AND('Değerlendirme Formu'!G67,"AAAAAE73bOQ=")</f>
        <v>#VALUE!</v>
      </c>
      <c r="HV14" t="e">
        <f>AND('Değerlendirme Formu'!H67,"AAAAAE73bOU=")</f>
        <v>#VALUE!</v>
      </c>
      <c r="HW14" t="e">
        <f>AND('Değerlendirme Formu'!I67,"AAAAAE73bOY=")</f>
        <v>#VALUE!</v>
      </c>
      <c r="HX14" t="e">
        <f>IF('Değerlendirme Formu'!#REF!,"AAAAAE73bOc=",0)</f>
        <v>#REF!</v>
      </c>
      <c r="HY14" t="e">
        <f>AND('Değerlendirme Formu'!#REF!,"AAAAAE73bOg=")</f>
        <v>#REF!</v>
      </c>
      <c r="HZ14" t="e">
        <f>AND('Değerlendirme Formu'!#REF!,"AAAAAE73bOk=")</f>
        <v>#REF!</v>
      </c>
      <c r="IA14" t="e">
        <f>AND('Değerlendirme Formu'!#REF!,"AAAAAE73bOo=")</f>
        <v>#REF!</v>
      </c>
      <c r="IB14" t="e">
        <f>AND('Değerlendirme Formu'!#REF!,"AAAAAE73bOs=")</f>
        <v>#REF!</v>
      </c>
      <c r="IC14" t="e">
        <f>AND('Değerlendirme Formu'!#REF!,"AAAAAE73bOw=")</f>
        <v>#REF!</v>
      </c>
      <c r="ID14" t="e">
        <f>AND('Değerlendirme Formu'!#REF!,"AAAAAE73bO0=")</f>
        <v>#REF!</v>
      </c>
      <c r="IE14" t="e">
        <f>AND('Değerlendirme Formu'!#REF!,"AAAAAE73bO4=")</f>
        <v>#REF!</v>
      </c>
      <c r="IF14" t="e">
        <f>AND('Değerlendirme Formu'!#REF!,"AAAAAE73bO8=")</f>
        <v>#REF!</v>
      </c>
      <c r="IG14" t="e">
        <f>AND('Değerlendirme Formu'!#REF!,"AAAAAE73bPA=")</f>
        <v>#REF!</v>
      </c>
      <c r="IH14" t="e">
        <f>AND('Değerlendirme Formu'!#REF!,"AAAAAE73bPE=")</f>
        <v>#REF!</v>
      </c>
      <c r="II14" t="e">
        <f>AND('Değerlendirme Formu'!#REF!,"AAAAAE73bPI=")</f>
        <v>#REF!</v>
      </c>
      <c r="IJ14" t="e">
        <f>AND('Değerlendirme Formu'!#REF!,"AAAAAE73bPM=")</f>
        <v>#REF!</v>
      </c>
      <c r="IK14" t="e">
        <f>AND('Değerlendirme Formu'!#REF!,"AAAAAE73bPQ=")</f>
        <v>#REF!</v>
      </c>
      <c r="IL14" t="e">
        <f>AND('Değerlendirme Formu'!#REF!,"AAAAAE73bPU=")</f>
        <v>#REF!</v>
      </c>
      <c r="IM14" t="e">
        <f>AND('Değerlendirme Formu'!#REF!,"AAAAAE73bPY=")</f>
        <v>#REF!</v>
      </c>
      <c r="IN14" t="e">
        <f>AND('Değerlendirme Formu'!#REF!,"AAAAAE73bPc=")</f>
        <v>#REF!</v>
      </c>
      <c r="IO14" t="e">
        <f>AND('Değerlendirme Formu'!#REF!,"AAAAAE73bPg=")</f>
        <v>#REF!</v>
      </c>
      <c r="IP14">
        <f>IF('Değerlendirme Formu'!71:71,"AAAAAE73bPk=",0)</f>
        <v>0</v>
      </c>
      <c r="IQ14" t="b">
        <f>AND('Değerlendirme Formu'!A71,"AAAAAE73bPo=")</f>
        <v>1</v>
      </c>
      <c r="IR14" t="e">
        <f>AND('Değerlendirme Formu'!B71,"AAAAAE73bPs=")</f>
        <v>#VALUE!</v>
      </c>
      <c r="IS14" t="e">
        <f>AND('Değerlendirme Formu'!#REF!,"AAAAAE73bPw=")</f>
        <v>#REF!</v>
      </c>
      <c r="IT14" t="e">
        <f>AND('Değerlendirme Formu'!C71,"AAAAAE73bP0=")</f>
        <v>#VALUE!</v>
      </c>
      <c r="IU14" t="b">
        <f>AND('Değerlendirme Formu'!D71,"AAAAAE73bP4=")</f>
        <v>1</v>
      </c>
      <c r="IV14" t="b">
        <f>AND('Değerlendirme Formu'!E71,"AAAAAE73bP8=")</f>
        <v>0</v>
      </c>
    </row>
    <row r="15" spans="1:256" x14ac:dyDescent="0.2">
      <c r="A15" t="e">
        <f>AND('Değerlendirme Formu'!#REF!,"AAAAAF78bQA=")</f>
        <v>#REF!</v>
      </c>
      <c r="B15" t="e">
        <f>AND('Değerlendirme Formu'!#REF!,"AAAAAF78bQE=")</f>
        <v>#REF!</v>
      </c>
      <c r="C15" t="e">
        <f>AND('Değerlendirme Formu'!F71,"AAAAAF78bQI=")</f>
        <v>#VALUE!</v>
      </c>
      <c r="D15" t="e">
        <f>AND('Değerlendirme Formu'!#REF!,"AAAAAF78bQM=")</f>
        <v>#REF!</v>
      </c>
      <c r="E15" t="e">
        <f>AND('Değerlendirme Formu'!#REF!,"AAAAAF78bQQ=")</f>
        <v>#REF!</v>
      </c>
      <c r="F15" t="e">
        <f>AND('Değerlendirme Formu'!#REF!,"AAAAAF78bQU=")</f>
        <v>#REF!</v>
      </c>
      <c r="G15" t="e">
        <f>AND('Değerlendirme Formu'!#REF!,"AAAAAF78bQY=")</f>
        <v>#REF!</v>
      </c>
      <c r="H15" t="e">
        <f>AND('Değerlendirme Formu'!#REF!,"AAAAAF78bQc=")</f>
        <v>#REF!</v>
      </c>
      <c r="I15" t="e">
        <f>AND('Değerlendirme Formu'!G71,"AAAAAF78bQg=")</f>
        <v>#VALUE!</v>
      </c>
      <c r="J15" t="e">
        <f>AND('Değerlendirme Formu'!H71,"AAAAAF78bQk=")</f>
        <v>#VALUE!</v>
      </c>
      <c r="K15" t="e">
        <f>AND('Değerlendirme Formu'!I71,"AAAAAF78bQo=")</f>
        <v>#VALUE!</v>
      </c>
      <c r="L15" t="e">
        <f>IF('Değerlendirme Formu'!#REF!,"AAAAAF78bQs=",0)</f>
        <v>#REF!</v>
      </c>
      <c r="M15" t="e">
        <f>AND('Değerlendirme Formu'!#REF!,"AAAAAF78bQw=")</f>
        <v>#REF!</v>
      </c>
      <c r="N15" t="e">
        <f>AND('Değerlendirme Formu'!#REF!,"AAAAAF78bQ0=")</f>
        <v>#REF!</v>
      </c>
      <c r="O15" t="e">
        <f>AND('Değerlendirme Formu'!#REF!,"AAAAAF78bQ4=")</f>
        <v>#REF!</v>
      </c>
      <c r="P15" t="e">
        <f>AND('Değerlendirme Formu'!#REF!,"AAAAAF78bQ8=")</f>
        <v>#REF!</v>
      </c>
      <c r="Q15" t="e">
        <f>AND('Değerlendirme Formu'!#REF!,"AAAAAF78bRA=")</f>
        <v>#REF!</v>
      </c>
      <c r="R15" t="e">
        <f>AND('Değerlendirme Formu'!#REF!,"AAAAAF78bRE=")</f>
        <v>#REF!</v>
      </c>
      <c r="S15" t="e">
        <f>AND('Değerlendirme Formu'!#REF!,"AAAAAF78bRI=")</f>
        <v>#REF!</v>
      </c>
      <c r="T15" t="e">
        <f>AND('Değerlendirme Formu'!#REF!,"AAAAAF78bRM=")</f>
        <v>#REF!</v>
      </c>
      <c r="U15" t="e">
        <f>AND('Değerlendirme Formu'!#REF!,"AAAAAF78bRQ=")</f>
        <v>#REF!</v>
      </c>
      <c r="V15" t="e">
        <f>AND('Değerlendirme Formu'!#REF!,"AAAAAF78bRU=")</f>
        <v>#REF!</v>
      </c>
      <c r="W15" t="e">
        <f>AND('Değerlendirme Formu'!#REF!,"AAAAAF78bRY=")</f>
        <v>#REF!</v>
      </c>
      <c r="X15" t="e">
        <f>AND('Değerlendirme Formu'!#REF!,"AAAAAF78bRc=")</f>
        <v>#REF!</v>
      </c>
      <c r="Y15" t="e">
        <f>AND('Değerlendirme Formu'!#REF!,"AAAAAF78bRg=")</f>
        <v>#REF!</v>
      </c>
      <c r="Z15" t="e">
        <f>AND('Değerlendirme Formu'!#REF!,"AAAAAF78bRk=")</f>
        <v>#REF!</v>
      </c>
      <c r="AA15" t="e">
        <f>AND('Değerlendirme Formu'!#REF!,"AAAAAF78bRo=")</f>
        <v>#REF!</v>
      </c>
      <c r="AB15" t="e">
        <f>AND('Değerlendirme Formu'!#REF!,"AAAAAF78bRs=")</f>
        <v>#REF!</v>
      </c>
      <c r="AC15" t="e">
        <f>AND('Değerlendirme Formu'!#REF!,"AAAAAF78bRw=")</f>
        <v>#REF!</v>
      </c>
      <c r="AD15" t="e">
        <f>IF('Değerlendirme Formu'!#REF!,"AAAAAF78bR0=",0)</f>
        <v>#REF!</v>
      </c>
      <c r="AE15" t="e">
        <f>AND('Değerlendirme Formu'!#REF!,"AAAAAF78bR4=")</f>
        <v>#REF!</v>
      </c>
      <c r="AF15" t="e">
        <f>AND('Değerlendirme Formu'!#REF!,"AAAAAF78bR8=")</f>
        <v>#REF!</v>
      </c>
      <c r="AG15" t="e">
        <f>AND('Değerlendirme Formu'!#REF!,"AAAAAF78bSA=")</f>
        <v>#REF!</v>
      </c>
      <c r="AH15" t="e">
        <f>AND('Değerlendirme Formu'!#REF!,"AAAAAF78bSE=")</f>
        <v>#REF!</v>
      </c>
      <c r="AI15" t="e">
        <f>AND('Değerlendirme Formu'!#REF!,"AAAAAF78bSI=")</f>
        <v>#REF!</v>
      </c>
      <c r="AJ15" t="e">
        <f>AND('Değerlendirme Formu'!#REF!,"AAAAAF78bSM=")</f>
        <v>#REF!</v>
      </c>
      <c r="AK15" t="e">
        <f>AND('Değerlendirme Formu'!#REF!,"AAAAAF78bSQ=")</f>
        <v>#REF!</v>
      </c>
      <c r="AL15" t="e">
        <f>AND('Değerlendirme Formu'!#REF!,"AAAAAF78bSU=")</f>
        <v>#REF!</v>
      </c>
      <c r="AM15" t="e">
        <f>AND('Değerlendirme Formu'!#REF!,"AAAAAF78bSY=")</f>
        <v>#REF!</v>
      </c>
      <c r="AN15" t="e">
        <f>AND('Değerlendirme Formu'!#REF!,"AAAAAF78bSc=")</f>
        <v>#REF!</v>
      </c>
      <c r="AO15" t="e">
        <f>AND('Değerlendirme Formu'!#REF!,"AAAAAF78bSg=")</f>
        <v>#REF!</v>
      </c>
      <c r="AP15" t="e">
        <f>AND('Değerlendirme Formu'!#REF!,"AAAAAF78bSk=")</f>
        <v>#REF!</v>
      </c>
      <c r="AQ15" t="e">
        <f>AND('Değerlendirme Formu'!#REF!,"AAAAAF78bSo=")</f>
        <v>#REF!</v>
      </c>
      <c r="AR15" t="e">
        <f>AND('Değerlendirme Formu'!#REF!,"AAAAAF78bSs=")</f>
        <v>#REF!</v>
      </c>
      <c r="AS15" t="e">
        <f>AND('Değerlendirme Formu'!#REF!,"AAAAAF78bSw=")</f>
        <v>#REF!</v>
      </c>
      <c r="AT15" t="e">
        <f>AND('Değerlendirme Formu'!#REF!,"AAAAAF78bS0=")</f>
        <v>#REF!</v>
      </c>
      <c r="AU15" t="e">
        <f>AND('Değerlendirme Formu'!#REF!,"AAAAAF78bS4=")</f>
        <v>#REF!</v>
      </c>
      <c r="AV15">
        <f>IF('Değerlendirme Formu'!278:278,"AAAAAF78bS8=",0)</f>
        <v>0</v>
      </c>
      <c r="AW15" t="e">
        <f>AND('Değerlendirme Formu'!A278,"AAAAAF78bTA=")</f>
        <v>#VALUE!</v>
      </c>
      <c r="AX15" t="e">
        <f>AND('Değerlendirme Formu'!B278,"AAAAAF78bTE=")</f>
        <v>#VALUE!</v>
      </c>
      <c r="AY15" t="e">
        <f>AND('Değerlendirme Formu'!#REF!,"AAAAAF78bTI=")</f>
        <v>#REF!</v>
      </c>
      <c r="AZ15" t="e">
        <f>AND('Değerlendirme Formu'!C278,"AAAAAF78bTM=")</f>
        <v>#VALUE!</v>
      </c>
      <c r="BA15" t="e">
        <f>AND('Değerlendirme Formu'!D278,"AAAAAF78bTQ=")</f>
        <v>#VALUE!</v>
      </c>
      <c r="BB15" t="e">
        <f>AND('Değerlendirme Formu'!E278,"AAAAAF78bTU=")</f>
        <v>#VALUE!</v>
      </c>
      <c r="BC15" t="e">
        <f>AND('Değerlendirme Formu'!#REF!,"AAAAAF78bTY=")</f>
        <v>#REF!</v>
      </c>
      <c r="BD15" t="e">
        <f>AND('Değerlendirme Formu'!#REF!,"AAAAAF78bTc=")</f>
        <v>#REF!</v>
      </c>
      <c r="BE15" t="e">
        <f>AND('Değerlendirme Formu'!F278,"AAAAAF78bTg=")</f>
        <v>#VALUE!</v>
      </c>
      <c r="BF15" t="e">
        <f>AND('Değerlendirme Formu'!#REF!,"AAAAAF78bTk=")</f>
        <v>#REF!</v>
      </c>
      <c r="BG15" t="e">
        <f>AND('Değerlendirme Formu'!#REF!,"AAAAAF78bTo=")</f>
        <v>#REF!</v>
      </c>
      <c r="BH15" t="e">
        <f>AND('Değerlendirme Formu'!#REF!,"AAAAAF78bTs=")</f>
        <v>#REF!</v>
      </c>
      <c r="BI15" t="e">
        <f>AND('Değerlendirme Formu'!#REF!,"AAAAAF78bTw=")</f>
        <v>#REF!</v>
      </c>
      <c r="BJ15" t="e">
        <f>AND('Değerlendirme Formu'!#REF!,"AAAAAF78bT0=")</f>
        <v>#REF!</v>
      </c>
      <c r="BK15" t="e">
        <f>AND('Değerlendirme Formu'!G278,"AAAAAF78bT4=")</f>
        <v>#VALUE!</v>
      </c>
      <c r="BL15" t="e">
        <f>AND('Değerlendirme Formu'!H278,"AAAAAF78bT8=")</f>
        <v>#VALUE!</v>
      </c>
      <c r="BM15" t="e">
        <f>AND('Değerlendirme Formu'!I278,"AAAAAF78bUA=")</f>
        <v>#VALUE!</v>
      </c>
      <c r="BN15" t="e">
        <f>IF('Değerlendirme Formu'!#REF!,"AAAAAF78bUE=",0)</f>
        <v>#REF!</v>
      </c>
      <c r="BO15" t="e">
        <f>AND('Değerlendirme Formu'!#REF!,"AAAAAF78bUI=")</f>
        <v>#REF!</v>
      </c>
      <c r="BP15" t="e">
        <f>AND('Değerlendirme Formu'!#REF!,"AAAAAF78bUM=")</f>
        <v>#REF!</v>
      </c>
      <c r="BQ15" t="e">
        <f>AND('Değerlendirme Formu'!#REF!,"AAAAAF78bUQ=")</f>
        <v>#REF!</v>
      </c>
      <c r="BR15" t="e">
        <f>AND('Değerlendirme Formu'!#REF!,"AAAAAF78bUU=")</f>
        <v>#REF!</v>
      </c>
      <c r="BS15" t="e">
        <f>AND('Değerlendirme Formu'!#REF!,"AAAAAF78bUY=")</f>
        <v>#REF!</v>
      </c>
      <c r="BT15" t="e">
        <f>AND('Değerlendirme Formu'!#REF!,"AAAAAF78bUc=")</f>
        <v>#REF!</v>
      </c>
      <c r="BU15" t="e">
        <f>AND('Değerlendirme Formu'!#REF!,"AAAAAF78bUg=")</f>
        <v>#REF!</v>
      </c>
      <c r="BV15" t="e">
        <f>AND('Değerlendirme Formu'!#REF!,"AAAAAF78bUk=")</f>
        <v>#REF!</v>
      </c>
      <c r="BW15" t="e">
        <f>AND('Değerlendirme Formu'!#REF!,"AAAAAF78bUo=")</f>
        <v>#REF!</v>
      </c>
      <c r="BX15" t="e">
        <f>AND('Değerlendirme Formu'!#REF!,"AAAAAF78bUs=")</f>
        <v>#REF!</v>
      </c>
      <c r="BY15" t="e">
        <f>AND('Değerlendirme Formu'!#REF!,"AAAAAF78bUw=")</f>
        <v>#REF!</v>
      </c>
      <c r="BZ15" t="e">
        <f>AND('Değerlendirme Formu'!#REF!,"AAAAAF78bU0=")</f>
        <v>#REF!</v>
      </c>
      <c r="CA15" t="e">
        <f>AND('Değerlendirme Formu'!#REF!,"AAAAAF78bU4=")</f>
        <v>#REF!</v>
      </c>
      <c r="CB15" t="e">
        <f>AND('Değerlendirme Formu'!#REF!,"AAAAAF78bU8=")</f>
        <v>#REF!</v>
      </c>
      <c r="CC15" t="e">
        <f>AND('Değerlendirme Formu'!#REF!,"AAAAAF78bVA=")</f>
        <v>#REF!</v>
      </c>
      <c r="CD15" t="e">
        <f>AND('Değerlendirme Formu'!#REF!,"AAAAAF78bVE=")</f>
        <v>#REF!</v>
      </c>
      <c r="CE15" t="e">
        <f>AND('Değerlendirme Formu'!#REF!,"AAAAAF78bVI=")</f>
        <v>#REF!</v>
      </c>
      <c r="CF15">
        <f>IF('Değerlendirme Formu'!279:279,"AAAAAF78bVM=",0)</f>
        <v>0</v>
      </c>
      <c r="CG15" t="b">
        <f>AND('Değerlendirme Formu'!A279,"AAAAAF78bVQ=")</f>
        <v>1</v>
      </c>
      <c r="CH15" t="e">
        <f>AND('Değerlendirme Formu'!B279,"AAAAAF78bVU=")</f>
        <v>#VALUE!</v>
      </c>
      <c r="CI15" t="e">
        <f>AND('Değerlendirme Formu'!#REF!,"AAAAAF78bVY=")</f>
        <v>#REF!</v>
      </c>
      <c r="CJ15" t="e">
        <f>AND('Değerlendirme Formu'!C279,"AAAAAF78bVc=")</f>
        <v>#VALUE!</v>
      </c>
      <c r="CK15" t="b">
        <f>AND('Değerlendirme Formu'!D279,"AAAAAF78bVg=")</f>
        <v>1</v>
      </c>
      <c r="CL15" t="b">
        <f>AND('Değerlendirme Formu'!E279,"AAAAAF78bVk=")</f>
        <v>0</v>
      </c>
      <c r="CM15" t="e">
        <f>AND('Değerlendirme Formu'!#REF!,"AAAAAF78bVo=")</f>
        <v>#REF!</v>
      </c>
      <c r="CN15" t="e">
        <f>AND('Değerlendirme Formu'!#REF!,"AAAAAF78bVs=")</f>
        <v>#REF!</v>
      </c>
      <c r="CO15" t="e">
        <f>AND('Değerlendirme Formu'!F279,"AAAAAF78bVw=")</f>
        <v>#VALUE!</v>
      </c>
      <c r="CP15" t="e">
        <f>AND('Değerlendirme Formu'!#REF!,"AAAAAF78bV0=")</f>
        <v>#REF!</v>
      </c>
      <c r="CQ15" t="e">
        <f>AND('Değerlendirme Formu'!#REF!,"AAAAAF78bV4=")</f>
        <v>#REF!</v>
      </c>
      <c r="CR15" t="e">
        <f>AND('Değerlendirme Formu'!#REF!,"AAAAAF78bV8=")</f>
        <v>#REF!</v>
      </c>
      <c r="CS15" t="e">
        <f>AND('Değerlendirme Formu'!#REF!,"AAAAAF78bWA=")</f>
        <v>#REF!</v>
      </c>
      <c r="CT15" t="e">
        <f>AND('Değerlendirme Formu'!#REF!,"AAAAAF78bWE=")</f>
        <v>#REF!</v>
      </c>
      <c r="CU15" t="e">
        <f>AND('Değerlendirme Formu'!G279,"AAAAAF78bWI=")</f>
        <v>#VALUE!</v>
      </c>
      <c r="CV15" t="e">
        <f>AND('Değerlendirme Formu'!H279,"AAAAAF78bWM=")</f>
        <v>#VALUE!</v>
      </c>
      <c r="CW15" t="e">
        <f>AND('Değerlendirme Formu'!I279,"AAAAAF78bWQ=")</f>
        <v>#VALUE!</v>
      </c>
      <c r="CX15">
        <f>IF('Değerlendirme Formu'!282:282,"AAAAAF78bWU=",0)</f>
        <v>0</v>
      </c>
      <c r="CY15" t="b">
        <f>AND('Değerlendirme Formu'!A282,"AAAAAF78bWY=")</f>
        <v>1</v>
      </c>
      <c r="CZ15" t="e">
        <f>AND('Değerlendirme Formu'!B282,"AAAAAF78bWc=")</f>
        <v>#VALUE!</v>
      </c>
      <c r="DA15" t="e">
        <f>AND('Değerlendirme Formu'!#REF!,"AAAAAF78bWg=")</f>
        <v>#REF!</v>
      </c>
      <c r="DB15" t="e">
        <f>AND('Değerlendirme Formu'!C282,"AAAAAF78bWk=")</f>
        <v>#VALUE!</v>
      </c>
      <c r="DC15" t="b">
        <f>AND('Değerlendirme Formu'!D282,"AAAAAF78bWo=")</f>
        <v>1</v>
      </c>
      <c r="DD15" t="b">
        <f>AND('Değerlendirme Formu'!E282,"AAAAAF78bWs=")</f>
        <v>0</v>
      </c>
      <c r="DE15" t="e">
        <f>AND('Değerlendirme Formu'!#REF!,"AAAAAF78bWw=")</f>
        <v>#REF!</v>
      </c>
      <c r="DF15" t="e">
        <f>AND('Değerlendirme Formu'!#REF!,"AAAAAF78bW0=")</f>
        <v>#REF!</v>
      </c>
      <c r="DG15" t="e">
        <f>AND('Değerlendirme Formu'!F282,"AAAAAF78bW4=")</f>
        <v>#VALUE!</v>
      </c>
      <c r="DH15" t="e">
        <f>AND('Değerlendirme Formu'!#REF!,"AAAAAF78bW8=")</f>
        <v>#REF!</v>
      </c>
      <c r="DI15" t="e">
        <f>AND('Değerlendirme Formu'!#REF!,"AAAAAF78bXA=")</f>
        <v>#REF!</v>
      </c>
      <c r="DJ15" t="e">
        <f>AND('Değerlendirme Formu'!#REF!,"AAAAAF78bXE=")</f>
        <v>#REF!</v>
      </c>
      <c r="DK15" t="e">
        <f>AND('Değerlendirme Formu'!#REF!,"AAAAAF78bXI=")</f>
        <v>#REF!</v>
      </c>
      <c r="DL15" t="e">
        <f>AND('Değerlendirme Formu'!#REF!,"AAAAAF78bXM=")</f>
        <v>#REF!</v>
      </c>
      <c r="DM15" t="e">
        <f>AND('Değerlendirme Formu'!G282,"AAAAAF78bXQ=")</f>
        <v>#VALUE!</v>
      </c>
      <c r="DN15" t="e">
        <f>AND('Değerlendirme Formu'!H282,"AAAAAF78bXU=")</f>
        <v>#VALUE!</v>
      </c>
      <c r="DO15" t="e">
        <f>AND('Değerlendirme Formu'!I282,"AAAAAF78bXY=")</f>
        <v>#VALUE!</v>
      </c>
      <c r="DP15" t="e">
        <f>IF('Değerlendirme Formu'!#REF!,"AAAAAF78bXc=",0)</f>
        <v>#REF!</v>
      </c>
      <c r="DQ15" t="e">
        <f>AND('Değerlendirme Formu'!#REF!,"AAAAAF78bXg=")</f>
        <v>#REF!</v>
      </c>
      <c r="DR15" t="e">
        <f>AND('Değerlendirme Formu'!#REF!,"AAAAAF78bXk=")</f>
        <v>#REF!</v>
      </c>
      <c r="DS15" t="e">
        <f>AND('Değerlendirme Formu'!#REF!,"AAAAAF78bXo=")</f>
        <v>#REF!</v>
      </c>
      <c r="DT15" t="e">
        <f>AND('Değerlendirme Formu'!#REF!,"AAAAAF78bXs=")</f>
        <v>#REF!</v>
      </c>
      <c r="DU15" t="e">
        <f>AND('Değerlendirme Formu'!#REF!,"AAAAAF78bXw=")</f>
        <v>#REF!</v>
      </c>
      <c r="DV15" t="e">
        <f>AND('Değerlendirme Formu'!#REF!,"AAAAAF78bX0=")</f>
        <v>#REF!</v>
      </c>
      <c r="DW15" t="e">
        <f>AND('Değerlendirme Formu'!#REF!,"AAAAAF78bX4=")</f>
        <v>#REF!</v>
      </c>
      <c r="DX15" t="e">
        <f>AND('Değerlendirme Formu'!#REF!,"AAAAAF78bX8=")</f>
        <v>#REF!</v>
      </c>
      <c r="DY15" t="e">
        <f>AND('Değerlendirme Formu'!#REF!,"AAAAAF78bYA=")</f>
        <v>#REF!</v>
      </c>
      <c r="DZ15" t="e">
        <f>AND('Değerlendirme Formu'!#REF!,"AAAAAF78bYE=")</f>
        <v>#REF!</v>
      </c>
      <c r="EA15" t="e">
        <f>AND('Değerlendirme Formu'!#REF!,"AAAAAF78bYI=")</f>
        <v>#REF!</v>
      </c>
      <c r="EB15" t="e">
        <f>AND('Değerlendirme Formu'!#REF!,"AAAAAF78bYM=")</f>
        <v>#REF!</v>
      </c>
      <c r="EC15" t="e">
        <f>AND('Değerlendirme Formu'!#REF!,"AAAAAF78bYQ=")</f>
        <v>#REF!</v>
      </c>
      <c r="ED15" t="e">
        <f>AND('Değerlendirme Formu'!#REF!,"AAAAAF78bYU=")</f>
        <v>#REF!</v>
      </c>
      <c r="EE15" t="e">
        <f>AND('Değerlendirme Formu'!#REF!,"AAAAAF78bYY=")</f>
        <v>#REF!</v>
      </c>
      <c r="EF15" t="e">
        <f>AND('Değerlendirme Formu'!#REF!,"AAAAAF78bYc=")</f>
        <v>#REF!</v>
      </c>
      <c r="EG15" t="e">
        <f>AND('Değerlendirme Formu'!#REF!,"AAAAAF78bYg=")</f>
        <v>#REF!</v>
      </c>
      <c r="EH15" t="e">
        <f>IF('Değerlendirme Formu'!#REF!,"AAAAAF78bYk=",0)</f>
        <v>#REF!</v>
      </c>
      <c r="EI15" t="e">
        <f>AND('Değerlendirme Formu'!#REF!,"AAAAAF78bYo=")</f>
        <v>#REF!</v>
      </c>
      <c r="EJ15" t="e">
        <f>AND('Değerlendirme Formu'!#REF!,"AAAAAF78bYs=")</f>
        <v>#REF!</v>
      </c>
      <c r="EK15" t="e">
        <f>AND('Değerlendirme Formu'!#REF!,"AAAAAF78bYw=")</f>
        <v>#REF!</v>
      </c>
      <c r="EL15" t="e">
        <f>AND('Değerlendirme Formu'!#REF!,"AAAAAF78bY0=")</f>
        <v>#REF!</v>
      </c>
      <c r="EM15" t="e">
        <f>AND('Değerlendirme Formu'!#REF!,"AAAAAF78bY4=")</f>
        <v>#REF!</v>
      </c>
      <c r="EN15" t="e">
        <f>AND('Değerlendirme Formu'!#REF!,"AAAAAF78bY8=")</f>
        <v>#REF!</v>
      </c>
      <c r="EO15" t="e">
        <f>AND('Değerlendirme Formu'!#REF!,"AAAAAF78bZA=")</f>
        <v>#REF!</v>
      </c>
      <c r="EP15" t="e">
        <f>AND('Değerlendirme Formu'!#REF!,"AAAAAF78bZE=")</f>
        <v>#REF!</v>
      </c>
      <c r="EQ15" t="e">
        <f>AND('Değerlendirme Formu'!#REF!,"AAAAAF78bZI=")</f>
        <v>#REF!</v>
      </c>
      <c r="ER15" t="e">
        <f>AND('Değerlendirme Formu'!#REF!,"AAAAAF78bZM=")</f>
        <v>#REF!</v>
      </c>
      <c r="ES15" t="e">
        <f>AND('Değerlendirme Formu'!#REF!,"AAAAAF78bZQ=")</f>
        <v>#REF!</v>
      </c>
      <c r="ET15" t="e">
        <f>AND('Değerlendirme Formu'!#REF!,"AAAAAF78bZU=")</f>
        <v>#REF!</v>
      </c>
      <c r="EU15" t="e">
        <f>AND('Değerlendirme Formu'!#REF!,"AAAAAF78bZY=")</f>
        <v>#REF!</v>
      </c>
      <c r="EV15" t="e">
        <f>AND('Değerlendirme Formu'!#REF!,"AAAAAF78bZc=")</f>
        <v>#REF!</v>
      </c>
      <c r="EW15" t="e">
        <f>AND('Değerlendirme Formu'!#REF!,"AAAAAF78bZg=")</f>
        <v>#REF!</v>
      </c>
      <c r="EX15" t="e">
        <f>AND('Değerlendirme Formu'!#REF!,"AAAAAF78bZk=")</f>
        <v>#REF!</v>
      </c>
      <c r="EY15" t="e">
        <f>AND('Değerlendirme Formu'!#REF!,"AAAAAF78bZo=")</f>
        <v>#REF!</v>
      </c>
      <c r="EZ15">
        <f>IF('Değerlendirme Formu'!283:283,"AAAAAF78bZs=",0)</f>
        <v>0</v>
      </c>
      <c r="FA15" t="b">
        <f>AND('Değerlendirme Formu'!A283,"AAAAAF78bZw=")</f>
        <v>1</v>
      </c>
      <c r="FB15" t="e">
        <f>AND('Değerlendirme Formu'!B283,"AAAAAF78bZ0=")</f>
        <v>#VALUE!</v>
      </c>
      <c r="FC15" t="e">
        <f>AND('Değerlendirme Formu'!#REF!,"AAAAAF78bZ4=")</f>
        <v>#REF!</v>
      </c>
      <c r="FD15" t="e">
        <f>AND('Değerlendirme Formu'!C283,"AAAAAF78bZ8=")</f>
        <v>#VALUE!</v>
      </c>
      <c r="FE15" t="b">
        <f>AND('Değerlendirme Formu'!D283,"AAAAAF78baA=")</f>
        <v>1</v>
      </c>
      <c r="FF15" t="b">
        <f>AND('Değerlendirme Formu'!E283,"AAAAAF78baE=")</f>
        <v>0</v>
      </c>
      <c r="FG15" t="e">
        <f>AND('Değerlendirme Formu'!#REF!,"AAAAAF78baI=")</f>
        <v>#REF!</v>
      </c>
      <c r="FH15" t="e">
        <f>AND('Değerlendirme Formu'!#REF!,"AAAAAF78baM=")</f>
        <v>#REF!</v>
      </c>
      <c r="FI15" t="e">
        <f>AND('Değerlendirme Formu'!F283,"AAAAAF78baQ=")</f>
        <v>#VALUE!</v>
      </c>
      <c r="FJ15" t="e">
        <f>AND('Değerlendirme Formu'!#REF!,"AAAAAF78baU=")</f>
        <v>#REF!</v>
      </c>
      <c r="FK15" t="e">
        <f>AND('Değerlendirme Formu'!#REF!,"AAAAAF78baY=")</f>
        <v>#REF!</v>
      </c>
      <c r="FL15" t="e">
        <f>AND('Değerlendirme Formu'!#REF!,"AAAAAF78bac=")</f>
        <v>#REF!</v>
      </c>
      <c r="FM15" t="e">
        <f>AND('Değerlendirme Formu'!#REF!,"AAAAAF78bag=")</f>
        <v>#REF!</v>
      </c>
      <c r="FN15" t="e">
        <f>AND('Değerlendirme Formu'!#REF!,"AAAAAF78bak=")</f>
        <v>#REF!</v>
      </c>
      <c r="FO15" t="e">
        <f>AND('Değerlendirme Formu'!G283,"AAAAAF78bao=")</f>
        <v>#VALUE!</v>
      </c>
      <c r="FP15" t="e">
        <f>AND('Değerlendirme Formu'!H283,"AAAAAF78bas=")</f>
        <v>#VALUE!</v>
      </c>
      <c r="FQ15" t="e">
        <f>AND('Değerlendirme Formu'!I283,"AAAAAF78baw=")</f>
        <v>#VALUE!</v>
      </c>
      <c r="FR15">
        <f>IF('Değerlendirme Formu'!284:284,"AAAAAF78ba0=",0)</f>
        <v>0</v>
      </c>
      <c r="FS15" t="b">
        <f>AND('Değerlendirme Formu'!A284,"AAAAAF78ba4=")</f>
        <v>1</v>
      </c>
      <c r="FT15" t="e">
        <f>AND('Değerlendirme Formu'!B284,"AAAAAF78ba8=")</f>
        <v>#VALUE!</v>
      </c>
      <c r="FU15" t="e">
        <f>AND('Değerlendirme Formu'!#REF!,"AAAAAF78bbA=")</f>
        <v>#REF!</v>
      </c>
      <c r="FV15" t="e">
        <f>AND('Değerlendirme Formu'!C284,"AAAAAF78bbE=")</f>
        <v>#VALUE!</v>
      </c>
      <c r="FW15" t="b">
        <f>AND('Değerlendirme Formu'!D284,"AAAAAF78bbI=")</f>
        <v>1</v>
      </c>
      <c r="FX15" t="b">
        <f>AND('Değerlendirme Formu'!E284,"AAAAAF78bbM=")</f>
        <v>0</v>
      </c>
      <c r="FY15" t="e">
        <f>AND('Değerlendirme Formu'!#REF!,"AAAAAF78bbQ=")</f>
        <v>#REF!</v>
      </c>
      <c r="FZ15" t="e">
        <f>AND('Değerlendirme Formu'!#REF!,"AAAAAF78bbU=")</f>
        <v>#REF!</v>
      </c>
      <c r="GA15" t="e">
        <f>AND('Değerlendirme Formu'!F284,"AAAAAF78bbY=")</f>
        <v>#VALUE!</v>
      </c>
      <c r="GB15" t="e">
        <f>AND('Değerlendirme Formu'!#REF!,"AAAAAF78bbc=")</f>
        <v>#REF!</v>
      </c>
      <c r="GC15" t="e">
        <f>AND('Değerlendirme Formu'!#REF!,"AAAAAF78bbg=")</f>
        <v>#REF!</v>
      </c>
      <c r="GD15" t="e">
        <f>AND('Değerlendirme Formu'!#REF!,"AAAAAF78bbk=")</f>
        <v>#REF!</v>
      </c>
      <c r="GE15" t="e">
        <f>AND('Değerlendirme Formu'!#REF!,"AAAAAF78bbo=")</f>
        <v>#REF!</v>
      </c>
      <c r="GF15" t="e">
        <f>AND('Değerlendirme Formu'!#REF!,"AAAAAF78bbs=")</f>
        <v>#REF!</v>
      </c>
      <c r="GG15" t="e">
        <f>AND('Değerlendirme Formu'!G284,"AAAAAF78bbw=")</f>
        <v>#VALUE!</v>
      </c>
      <c r="GH15" t="e">
        <f>AND('Değerlendirme Formu'!H284,"AAAAAF78bb0=")</f>
        <v>#VALUE!</v>
      </c>
      <c r="GI15" t="e">
        <f>AND('Değerlendirme Formu'!I284,"AAAAAF78bb4=")</f>
        <v>#VALUE!</v>
      </c>
      <c r="GJ15">
        <f>IF('Değerlendirme Formu'!285:285,"AAAAAF78bb8=",0)</f>
        <v>0</v>
      </c>
      <c r="GK15" t="b">
        <f>AND('Değerlendirme Formu'!A285,"AAAAAF78bcA=")</f>
        <v>1</v>
      </c>
      <c r="GL15" t="e">
        <f>AND('Değerlendirme Formu'!B285,"AAAAAF78bcE=")</f>
        <v>#VALUE!</v>
      </c>
      <c r="GM15" t="e">
        <f>AND('Değerlendirme Formu'!#REF!,"AAAAAF78bcI=")</f>
        <v>#REF!</v>
      </c>
      <c r="GN15" t="e">
        <f>AND('Değerlendirme Formu'!C285,"AAAAAF78bcM=")</f>
        <v>#VALUE!</v>
      </c>
      <c r="GO15" t="b">
        <f>AND('Değerlendirme Formu'!D285,"AAAAAF78bcQ=")</f>
        <v>1</v>
      </c>
      <c r="GP15" t="b">
        <f>AND('Değerlendirme Formu'!E285,"AAAAAF78bcU=")</f>
        <v>0</v>
      </c>
      <c r="GQ15" t="e">
        <f>AND('Değerlendirme Formu'!#REF!,"AAAAAF78bcY=")</f>
        <v>#REF!</v>
      </c>
      <c r="GR15" t="e">
        <f>AND('Değerlendirme Formu'!#REF!,"AAAAAF78bcc=")</f>
        <v>#REF!</v>
      </c>
      <c r="GS15" t="e">
        <f>AND('Değerlendirme Formu'!F285,"AAAAAF78bcg=")</f>
        <v>#VALUE!</v>
      </c>
      <c r="GT15" t="e">
        <f>AND('Değerlendirme Formu'!#REF!,"AAAAAF78bck=")</f>
        <v>#REF!</v>
      </c>
      <c r="GU15" t="e">
        <f>AND('Değerlendirme Formu'!#REF!,"AAAAAF78bco=")</f>
        <v>#REF!</v>
      </c>
      <c r="GV15" t="e">
        <f>AND('Değerlendirme Formu'!#REF!,"AAAAAF78bcs=")</f>
        <v>#REF!</v>
      </c>
      <c r="GW15" t="e">
        <f>AND('Değerlendirme Formu'!#REF!,"AAAAAF78bcw=")</f>
        <v>#REF!</v>
      </c>
      <c r="GX15" t="e">
        <f>AND('Değerlendirme Formu'!#REF!,"AAAAAF78bc0=")</f>
        <v>#REF!</v>
      </c>
      <c r="GY15" t="e">
        <f>AND('Değerlendirme Formu'!G285,"AAAAAF78bc4=")</f>
        <v>#VALUE!</v>
      </c>
      <c r="GZ15" t="e">
        <f>AND('Değerlendirme Formu'!H285,"AAAAAF78bc8=")</f>
        <v>#VALUE!</v>
      </c>
      <c r="HA15" t="e">
        <f>AND('Değerlendirme Formu'!I285,"AAAAAF78bdA=")</f>
        <v>#VALUE!</v>
      </c>
      <c r="HB15">
        <f>IF('Değerlendirme Formu'!286:286,"AAAAAF78bdE=",0)</f>
        <v>0</v>
      </c>
      <c r="HC15" t="b">
        <f>AND('Değerlendirme Formu'!A286,"AAAAAF78bdI=")</f>
        <v>1</v>
      </c>
      <c r="HD15" t="e">
        <f>AND('Değerlendirme Formu'!B286,"AAAAAF78bdM=")</f>
        <v>#VALUE!</v>
      </c>
      <c r="HE15" t="e">
        <f>AND('Değerlendirme Formu'!#REF!,"AAAAAF78bdQ=")</f>
        <v>#REF!</v>
      </c>
      <c r="HF15" t="e">
        <f>AND('Değerlendirme Formu'!C286,"AAAAAF78bdU=")</f>
        <v>#VALUE!</v>
      </c>
      <c r="HG15" t="b">
        <f>AND('Değerlendirme Formu'!D286,"AAAAAF78bdY=")</f>
        <v>1</v>
      </c>
      <c r="HH15" t="b">
        <f>AND('Değerlendirme Formu'!E286,"AAAAAF78bdc=")</f>
        <v>0</v>
      </c>
      <c r="HI15" t="e">
        <f>AND('Değerlendirme Formu'!#REF!,"AAAAAF78bdg=")</f>
        <v>#REF!</v>
      </c>
      <c r="HJ15" t="e">
        <f>AND('Değerlendirme Formu'!#REF!,"AAAAAF78bdk=")</f>
        <v>#REF!</v>
      </c>
      <c r="HK15" t="e">
        <f>AND('Değerlendirme Formu'!F286,"AAAAAF78bdo=")</f>
        <v>#VALUE!</v>
      </c>
      <c r="HL15" t="e">
        <f>AND('Değerlendirme Formu'!#REF!,"AAAAAF78bds=")</f>
        <v>#REF!</v>
      </c>
      <c r="HM15" t="e">
        <f>AND('Değerlendirme Formu'!#REF!,"AAAAAF78bdw=")</f>
        <v>#REF!</v>
      </c>
      <c r="HN15" t="e">
        <f>AND('Değerlendirme Formu'!#REF!,"AAAAAF78bd0=")</f>
        <v>#REF!</v>
      </c>
      <c r="HO15" t="e">
        <f>AND('Değerlendirme Formu'!#REF!,"AAAAAF78bd4=")</f>
        <v>#REF!</v>
      </c>
      <c r="HP15" t="e">
        <f>AND('Değerlendirme Formu'!#REF!,"AAAAAF78bd8=")</f>
        <v>#REF!</v>
      </c>
      <c r="HQ15" t="e">
        <f>AND('Değerlendirme Formu'!G286,"AAAAAF78beA=")</f>
        <v>#VALUE!</v>
      </c>
      <c r="HR15" t="e">
        <f>AND('Değerlendirme Formu'!H286,"AAAAAF78beE=")</f>
        <v>#VALUE!</v>
      </c>
      <c r="HS15" t="e">
        <f>AND('Değerlendirme Formu'!I286,"AAAAAF78beI=")</f>
        <v>#VALUE!</v>
      </c>
      <c r="HT15" t="e">
        <f>IF('Değerlendirme Formu'!#REF!,"AAAAAF78beM=",0)</f>
        <v>#REF!</v>
      </c>
      <c r="HU15" t="e">
        <f>AND('Değerlendirme Formu'!#REF!,"AAAAAF78beQ=")</f>
        <v>#REF!</v>
      </c>
      <c r="HV15" t="e">
        <f>AND('Değerlendirme Formu'!#REF!,"AAAAAF78beU=")</f>
        <v>#REF!</v>
      </c>
      <c r="HW15" t="e">
        <f>AND('Değerlendirme Formu'!#REF!,"AAAAAF78beY=")</f>
        <v>#REF!</v>
      </c>
      <c r="HX15" t="e">
        <f>AND('Değerlendirme Formu'!#REF!,"AAAAAF78bec=")</f>
        <v>#REF!</v>
      </c>
      <c r="HY15" t="e">
        <f>AND('Değerlendirme Formu'!#REF!,"AAAAAF78beg=")</f>
        <v>#REF!</v>
      </c>
      <c r="HZ15" t="e">
        <f>AND('Değerlendirme Formu'!#REF!,"AAAAAF78bek=")</f>
        <v>#REF!</v>
      </c>
      <c r="IA15" t="e">
        <f>AND('Değerlendirme Formu'!#REF!,"AAAAAF78beo=")</f>
        <v>#REF!</v>
      </c>
      <c r="IB15" t="e">
        <f>AND('Değerlendirme Formu'!#REF!,"AAAAAF78bes=")</f>
        <v>#REF!</v>
      </c>
      <c r="IC15" t="e">
        <f>AND('Değerlendirme Formu'!#REF!,"AAAAAF78bew=")</f>
        <v>#REF!</v>
      </c>
      <c r="ID15" t="e">
        <f>AND('Değerlendirme Formu'!#REF!,"AAAAAF78be0=")</f>
        <v>#REF!</v>
      </c>
      <c r="IE15" t="e">
        <f>AND('Değerlendirme Formu'!#REF!,"AAAAAF78be4=")</f>
        <v>#REF!</v>
      </c>
      <c r="IF15" t="e">
        <f>AND('Değerlendirme Formu'!#REF!,"AAAAAF78be8=")</f>
        <v>#REF!</v>
      </c>
      <c r="IG15" t="e">
        <f>AND('Değerlendirme Formu'!#REF!,"AAAAAF78bfA=")</f>
        <v>#REF!</v>
      </c>
      <c r="IH15" t="e">
        <f>AND('Değerlendirme Formu'!#REF!,"AAAAAF78bfE=")</f>
        <v>#REF!</v>
      </c>
      <c r="II15" t="e">
        <f>AND('Değerlendirme Formu'!#REF!,"AAAAAF78bfI=")</f>
        <v>#REF!</v>
      </c>
      <c r="IJ15" t="e">
        <f>AND('Değerlendirme Formu'!#REF!,"AAAAAF78bfM=")</f>
        <v>#REF!</v>
      </c>
      <c r="IK15" t="e">
        <f>AND('Değerlendirme Formu'!#REF!,"AAAAAF78bfQ=")</f>
        <v>#REF!</v>
      </c>
      <c r="IL15" t="e">
        <f>IF('Değerlendirme Formu'!#REF!,"AAAAAF78bfU=",0)</f>
        <v>#REF!</v>
      </c>
      <c r="IM15" t="e">
        <f>AND('Değerlendirme Formu'!#REF!,"AAAAAF78bfY=")</f>
        <v>#REF!</v>
      </c>
      <c r="IN15" t="e">
        <f>AND('Değerlendirme Formu'!#REF!,"AAAAAF78bfc=")</f>
        <v>#REF!</v>
      </c>
      <c r="IO15" t="e">
        <f>AND('Değerlendirme Formu'!#REF!,"AAAAAF78bfg=")</f>
        <v>#REF!</v>
      </c>
      <c r="IP15" t="e">
        <f>AND('Değerlendirme Formu'!#REF!,"AAAAAF78bfk=")</f>
        <v>#REF!</v>
      </c>
      <c r="IQ15" t="e">
        <f>AND('Değerlendirme Formu'!#REF!,"AAAAAF78bfo=")</f>
        <v>#REF!</v>
      </c>
      <c r="IR15" t="e">
        <f>AND('Değerlendirme Formu'!#REF!,"AAAAAF78bfs=")</f>
        <v>#REF!</v>
      </c>
      <c r="IS15" t="e">
        <f>AND('Değerlendirme Formu'!#REF!,"AAAAAF78bfw=")</f>
        <v>#REF!</v>
      </c>
      <c r="IT15" t="e">
        <f>AND('Değerlendirme Formu'!#REF!,"AAAAAF78bf0=")</f>
        <v>#REF!</v>
      </c>
      <c r="IU15" t="e">
        <f>AND('Değerlendirme Formu'!#REF!,"AAAAAF78bf4=")</f>
        <v>#REF!</v>
      </c>
      <c r="IV15" t="e">
        <f>AND('Değerlendirme Formu'!#REF!,"AAAAAF78bf8=")</f>
        <v>#REF!</v>
      </c>
    </row>
    <row r="16" spans="1:256" x14ac:dyDescent="0.2">
      <c r="A16" t="e">
        <f>AND('Değerlendirme Formu'!#REF!,"AAAAAG/rZwA=")</f>
        <v>#REF!</v>
      </c>
      <c r="B16" t="e">
        <f>AND('Değerlendirme Formu'!#REF!,"AAAAAG/rZwE=")</f>
        <v>#REF!</v>
      </c>
      <c r="C16" t="e">
        <f>AND('Değerlendirme Formu'!#REF!,"AAAAAG/rZwI=")</f>
        <v>#REF!</v>
      </c>
      <c r="D16" t="e">
        <f>AND('Değerlendirme Formu'!#REF!,"AAAAAG/rZwM=")</f>
        <v>#REF!</v>
      </c>
      <c r="E16" t="e">
        <f>AND('Değerlendirme Formu'!#REF!,"AAAAAG/rZwQ=")</f>
        <v>#REF!</v>
      </c>
      <c r="F16" t="e">
        <f>AND('Değerlendirme Formu'!#REF!,"AAAAAG/rZwU=")</f>
        <v>#REF!</v>
      </c>
      <c r="G16" t="e">
        <f>AND('Değerlendirme Formu'!#REF!,"AAAAAG/rZwY=")</f>
        <v>#REF!</v>
      </c>
      <c r="H16">
        <f>IF('Değerlendirme Formu'!288:288,"AAAAAG/rZwc=",0)</f>
        <v>0</v>
      </c>
      <c r="I16" t="b">
        <f>AND('Değerlendirme Formu'!A288,"AAAAAG/rZwg=")</f>
        <v>1</v>
      </c>
      <c r="J16" t="e">
        <f>AND('Değerlendirme Formu'!B288,"AAAAAG/rZwk=")</f>
        <v>#VALUE!</v>
      </c>
      <c r="K16" t="e">
        <f>AND('Değerlendirme Formu'!#REF!,"AAAAAG/rZwo=")</f>
        <v>#REF!</v>
      </c>
      <c r="L16" t="e">
        <f>AND('Değerlendirme Formu'!C288,"AAAAAG/rZws=")</f>
        <v>#VALUE!</v>
      </c>
      <c r="M16" t="b">
        <f>AND('Değerlendirme Formu'!D288,"AAAAAG/rZww=")</f>
        <v>1</v>
      </c>
      <c r="N16" t="b">
        <f>AND('Değerlendirme Formu'!E288,"AAAAAG/rZw0=")</f>
        <v>0</v>
      </c>
      <c r="O16" t="e">
        <f>AND('Değerlendirme Formu'!#REF!,"AAAAAG/rZw4=")</f>
        <v>#REF!</v>
      </c>
      <c r="P16" t="e">
        <f>AND('Değerlendirme Formu'!#REF!,"AAAAAG/rZw8=")</f>
        <v>#REF!</v>
      </c>
      <c r="Q16" t="e">
        <f>AND('Değerlendirme Formu'!F288,"AAAAAG/rZxA=")</f>
        <v>#VALUE!</v>
      </c>
      <c r="R16" t="e">
        <f>AND('Değerlendirme Formu'!#REF!,"AAAAAG/rZxE=")</f>
        <v>#REF!</v>
      </c>
      <c r="S16" t="e">
        <f>AND('Değerlendirme Formu'!#REF!,"AAAAAG/rZxI=")</f>
        <v>#REF!</v>
      </c>
      <c r="T16" t="e">
        <f>AND('Değerlendirme Formu'!#REF!,"AAAAAG/rZxM=")</f>
        <v>#REF!</v>
      </c>
      <c r="U16" t="e">
        <f>AND('Değerlendirme Formu'!#REF!,"AAAAAG/rZxQ=")</f>
        <v>#REF!</v>
      </c>
      <c r="V16" t="e">
        <f>AND('Değerlendirme Formu'!#REF!,"AAAAAG/rZxU=")</f>
        <v>#REF!</v>
      </c>
      <c r="W16" t="e">
        <f>AND('Değerlendirme Formu'!G288,"AAAAAG/rZxY=")</f>
        <v>#VALUE!</v>
      </c>
      <c r="X16" t="e">
        <f>AND('Değerlendirme Formu'!H288,"AAAAAG/rZxc=")</f>
        <v>#VALUE!</v>
      </c>
      <c r="Y16" t="e">
        <f>AND('Değerlendirme Formu'!I288,"AAAAAG/rZxg=")</f>
        <v>#VALUE!</v>
      </c>
      <c r="Z16">
        <f>IF('Değerlendirme Formu'!292:292,"AAAAAG/rZxk=",0)</f>
        <v>0</v>
      </c>
      <c r="AA16" t="b">
        <f>AND('Değerlendirme Formu'!A292,"AAAAAG/rZxo=")</f>
        <v>1</v>
      </c>
      <c r="AB16" t="e">
        <f>AND('Değerlendirme Formu'!B292,"AAAAAG/rZxs=")</f>
        <v>#VALUE!</v>
      </c>
      <c r="AC16" t="e">
        <f>AND('Değerlendirme Formu'!#REF!,"AAAAAG/rZxw=")</f>
        <v>#REF!</v>
      </c>
      <c r="AD16" t="e">
        <f>AND('Değerlendirme Formu'!C292,"AAAAAG/rZx0=")</f>
        <v>#VALUE!</v>
      </c>
      <c r="AE16" t="b">
        <f>AND('Değerlendirme Formu'!D292,"AAAAAG/rZx4=")</f>
        <v>1</v>
      </c>
      <c r="AF16" t="b">
        <f>AND('Değerlendirme Formu'!E292,"AAAAAG/rZx8=")</f>
        <v>0</v>
      </c>
      <c r="AG16" t="e">
        <f>AND('Değerlendirme Formu'!#REF!,"AAAAAG/rZyA=")</f>
        <v>#REF!</v>
      </c>
      <c r="AH16" t="e">
        <f>AND('Değerlendirme Formu'!#REF!,"AAAAAG/rZyE=")</f>
        <v>#REF!</v>
      </c>
      <c r="AI16" t="e">
        <f>AND('Değerlendirme Formu'!F292,"AAAAAG/rZyI=")</f>
        <v>#VALUE!</v>
      </c>
      <c r="AJ16" t="e">
        <f>AND('Değerlendirme Formu'!#REF!,"AAAAAG/rZyM=")</f>
        <v>#REF!</v>
      </c>
      <c r="AK16" t="e">
        <f>AND('Değerlendirme Formu'!#REF!,"AAAAAG/rZyQ=")</f>
        <v>#REF!</v>
      </c>
      <c r="AL16" t="e">
        <f>AND('Değerlendirme Formu'!#REF!,"AAAAAG/rZyU=")</f>
        <v>#REF!</v>
      </c>
      <c r="AM16" t="e">
        <f>AND('Değerlendirme Formu'!#REF!,"AAAAAG/rZyY=")</f>
        <v>#REF!</v>
      </c>
      <c r="AN16" t="e">
        <f>AND('Değerlendirme Formu'!#REF!,"AAAAAG/rZyc=")</f>
        <v>#REF!</v>
      </c>
      <c r="AO16" t="e">
        <f>AND('Değerlendirme Formu'!G292,"AAAAAG/rZyg=")</f>
        <v>#VALUE!</v>
      </c>
      <c r="AP16" t="e">
        <f>AND('Değerlendirme Formu'!H292,"AAAAAG/rZyk=")</f>
        <v>#VALUE!</v>
      </c>
      <c r="AQ16" t="e">
        <f>AND('Değerlendirme Formu'!I292,"AAAAAG/rZyo=")</f>
        <v>#VALUE!</v>
      </c>
      <c r="AR16">
        <f>IF('Değerlendirme Formu'!293:293,"AAAAAG/rZys=",0)</f>
        <v>0</v>
      </c>
      <c r="AS16" t="e">
        <f>AND('Değerlendirme Formu'!A293,"AAAAAG/rZyw=")</f>
        <v>#VALUE!</v>
      </c>
      <c r="AT16" t="e">
        <f>AND('Değerlendirme Formu'!B293,"AAAAAG/rZy0=")</f>
        <v>#VALUE!</v>
      </c>
      <c r="AU16" t="e">
        <f>AND('Değerlendirme Formu'!#REF!,"AAAAAG/rZy4=")</f>
        <v>#REF!</v>
      </c>
      <c r="AV16" t="e">
        <f>AND('Değerlendirme Formu'!#REF!,"AAAAAG/rZy8=")</f>
        <v>#REF!</v>
      </c>
      <c r="AW16" t="e">
        <f>AND('Değerlendirme Formu'!#REF!,"AAAAAG/rZzA=")</f>
        <v>#REF!</v>
      </c>
      <c r="AX16" t="e">
        <f>AND('Değerlendirme Formu'!#REF!,"AAAAAG/rZzE=")</f>
        <v>#REF!</v>
      </c>
      <c r="AY16" t="e">
        <f>AND('Değerlendirme Formu'!#REF!,"AAAAAG/rZzI=")</f>
        <v>#REF!</v>
      </c>
      <c r="AZ16" t="e">
        <f>AND('Değerlendirme Formu'!#REF!,"AAAAAG/rZzM=")</f>
        <v>#REF!</v>
      </c>
      <c r="BA16" t="e">
        <f>AND('Değerlendirme Formu'!F293,"AAAAAG/rZzQ=")</f>
        <v>#VALUE!</v>
      </c>
      <c r="BB16" t="e">
        <f>AND('Değerlendirme Formu'!#REF!,"AAAAAG/rZzU=")</f>
        <v>#REF!</v>
      </c>
      <c r="BC16" t="b">
        <f>AND('Değerlendirme Formu'!C293,"AAAAAG/rZzY=")</f>
        <v>1</v>
      </c>
      <c r="BD16" t="b">
        <f>AND('Değerlendirme Formu'!D293,"AAAAAG/rZzc=")</f>
        <v>1</v>
      </c>
      <c r="BE16" t="b">
        <f>AND('Değerlendirme Formu'!E293,"AAAAAG/rZzg=")</f>
        <v>1</v>
      </c>
      <c r="BF16" t="e">
        <f>AND('Değerlendirme Formu'!#REF!,"AAAAAG/rZzk=")</f>
        <v>#REF!</v>
      </c>
      <c r="BG16" t="e">
        <f>AND('Değerlendirme Formu'!G293,"AAAAAG/rZzo=")</f>
        <v>#VALUE!</v>
      </c>
      <c r="BH16" t="e">
        <f>AND('Değerlendirme Formu'!H293,"AAAAAG/rZzs=")</f>
        <v>#VALUE!</v>
      </c>
      <c r="BI16" t="e">
        <f>AND('Değerlendirme Formu'!I293,"AAAAAG/rZzw=")</f>
        <v>#VALUE!</v>
      </c>
      <c r="BJ16" t="e">
        <f>IF('Değerlendirme Formu'!#REF!,"AAAAAG/rZz0=",0)</f>
        <v>#REF!</v>
      </c>
      <c r="BK16" t="e">
        <f>AND('Değerlendirme Formu'!#REF!,"AAAAAG/rZz4=")</f>
        <v>#REF!</v>
      </c>
      <c r="BL16" t="e">
        <f>AND('Değerlendirme Formu'!#REF!,"AAAAAG/rZz8=")</f>
        <v>#REF!</v>
      </c>
      <c r="BM16" t="e">
        <f>AND('Değerlendirme Formu'!#REF!,"AAAAAG/rZ0A=")</f>
        <v>#REF!</v>
      </c>
      <c r="BN16" t="e">
        <f>AND('Değerlendirme Formu'!#REF!,"AAAAAG/rZ0E=")</f>
        <v>#REF!</v>
      </c>
      <c r="BO16" t="e">
        <f>AND('Değerlendirme Formu'!#REF!,"AAAAAG/rZ0I=")</f>
        <v>#REF!</v>
      </c>
      <c r="BP16" t="e">
        <f>AND('Değerlendirme Formu'!#REF!,"AAAAAG/rZ0M=")</f>
        <v>#REF!</v>
      </c>
      <c r="BQ16" t="e">
        <f>AND('Değerlendirme Formu'!#REF!,"AAAAAG/rZ0Q=")</f>
        <v>#REF!</v>
      </c>
      <c r="BR16" t="e">
        <f>AND('Değerlendirme Formu'!#REF!,"AAAAAG/rZ0U=")</f>
        <v>#REF!</v>
      </c>
      <c r="BS16" t="e">
        <f>AND('Değerlendirme Formu'!#REF!,"AAAAAG/rZ0Y=")</f>
        <v>#REF!</v>
      </c>
      <c r="BT16" t="e">
        <f>AND('Değerlendirme Formu'!#REF!,"AAAAAG/rZ0c=")</f>
        <v>#REF!</v>
      </c>
      <c r="BU16" t="e">
        <f>AND('Değerlendirme Formu'!#REF!,"AAAAAG/rZ0g=")</f>
        <v>#REF!</v>
      </c>
      <c r="BV16" t="e">
        <f>AND('Değerlendirme Formu'!#REF!,"AAAAAG/rZ0k=")</f>
        <v>#REF!</v>
      </c>
      <c r="BW16" t="e">
        <f>AND('Değerlendirme Formu'!#REF!,"AAAAAG/rZ0o=")</f>
        <v>#REF!</v>
      </c>
      <c r="BX16" t="e">
        <f>AND('Değerlendirme Formu'!#REF!,"AAAAAG/rZ0s=")</f>
        <v>#REF!</v>
      </c>
      <c r="BY16" t="e">
        <f>AND('Değerlendirme Formu'!#REF!,"AAAAAG/rZ0w=")</f>
        <v>#REF!</v>
      </c>
      <c r="BZ16" t="e">
        <f>AND('Değerlendirme Formu'!#REF!,"AAAAAG/rZ00=")</f>
        <v>#REF!</v>
      </c>
      <c r="CA16" t="e">
        <f>AND('Değerlendirme Formu'!#REF!,"AAAAAG/rZ04=")</f>
        <v>#REF!</v>
      </c>
      <c r="CB16" t="e">
        <f>IF('Değerlendirme Formu'!#REF!,"AAAAAG/rZ08=",0)</f>
        <v>#REF!</v>
      </c>
      <c r="CC16" t="e">
        <f>AND('Değerlendirme Formu'!#REF!,"AAAAAG/rZ1A=")</f>
        <v>#REF!</v>
      </c>
      <c r="CD16" t="e">
        <f>AND('Değerlendirme Formu'!#REF!,"AAAAAG/rZ1E=")</f>
        <v>#REF!</v>
      </c>
      <c r="CE16" t="e">
        <f>AND('Değerlendirme Formu'!#REF!,"AAAAAG/rZ1I=")</f>
        <v>#REF!</v>
      </c>
      <c r="CF16" t="e">
        <f>AND('Değerlendirme Formu'!#REF!,"AAAAAG/rZ1M=")</f>
        <v>#REF!</v>
      </c>
      <c r="CG16" t="e">
        <f>AND('Değerlendirme Formu'!#REF!,"AAAAAG/rZ1Q=")</f>
        <v>#REF!</v>
      </c>
      <c r="CH16" t="e">
        <f>AND('Değerlendirme Formu'!#REF!,"AAAAAG/rZ1U=")</f>
        <v>#REF!</v>
      </c>
      <c r="CI16" t="e">
        <f>AND('Değerlendirme Formu'!#REF!,"AAAAAG/rZ1Y=")</f>
        <v>#REF!</v>
      </c>
      <c r="CJ16" t="e">
        <f>AND('Değerlendirme Formu'!#REF!,"AAAAAG/rZ1c=")</f>
        <v>#REF!</v>
      </c>
      <c r="CK16" t="e">
        <f>AND('Değerlendirme Formu'!#REF!,"AAAAAG/rZ1g=")</f>
        <v>#REF!</v>
      </c>
      <c r="CL16" t="e">
        <f>AND('Değerlendirme Formu'!#REF!,"AAAAAG/rZ1k=")</f>
        <v>#REF!</v>
      </c>
      <c r="CM16" t="e">
        <f>AND('Değerlendirme Formu'!#REF!,"AAAAAG/rZ1o=")</f>
        <v>#REF!</v>
      </c>
      <c r="CN16" t="e">
        <f>AND('Değerlendirme Formu'!#REF!,"AAAAAG/rZ1s=")</f>
        <v>#REF!</v>
      </c>
      <c r="CO16" t="e">
        <f>AND('Değerlendirme Formu'!#REF!,"AAAAAG/rZ1w=")</f>
        <v>#REF!</v>
      </c>
      <c r="CP16" t="e">
        <f>AND('Değerlendirme Formu'!#REF!,"AAAAAG/rZ10=")</f>
        <v>#REF!</v>
      </c>
      <c r="CQ16" t="e">
        <f>AND('Değerlendirme Formu'!#REF!,"AAAAAG/rZ14=")</f>
        <v>#REF!</v>
      </c>
      <c r="CR16" t="e">
        <f>AND('Değerlendirme Formu'!#REF!,"AAAAAG/rZ18=")</f>
        <v>#REF!</v>
      </c>
      <c r="CS16" t="e">
        <f>AND('Değerlendirme Formu'!#REF!,"AAAAAG/rZ2A=")</f>
        <v>#REF!</v>
      </c>
      <c r="CT16" t="e">
        <f>IF('Değerlendirme Formu'!#REF!,"AAAAAG/rZ2E=",0)</f>
        <v>#REF!</v>
      </c>
      <c r="CU16" t="e">
        <f>AND('Değerlendirme Formu'!#REF!,"AAAAAG/rZ2I=")</f>
        <v>#REF!</v>
      </c>
      <c r="CV16" t="e">
        <f>AND('Değerlendirme Formu'!#REF!,"AAAAAG/rZ2M=")</f>
        <v>#REF!</v>
      </c>
      <c r="CW16" t="e">
        <f>AND('Değerlendirme Formu'!#REF!,"AAAAAG/rZ2Q=")</f>
        <v>#REF!</v>
      </c>
      <c r="CX16" t="e">
        <f>AND('Değerlendirme Formu'!#REF!,"AAAAAG/rZ2U=")</f>
        <v>#REF!</v>
      </c>
      <c r="CY16" t="e">
        <f>AND('Değerlendirme Formu'!#REF!,"AAAAAG/rZ2Y=")</f>
        <v>#REF!</v>
      </c>
      <c r="CZ16" t="e">
        <f>AND('Değerlendirme Formu'!#REF!,"AAAAAG/rZ2c=")</f>
        <v>#REF!</v>
      </c>
      <c r="DA16" t="e">
        <f>AND('Değerlendirme Formu'!#REF!,"AAAAAG/rZ2g=")</f>
        <v>#REF!</v>
      </c>
      <c r="DB16" t="e">
        <f>AND('Değerlendirme Formu'!#REF!,"AAAAAG/rZ2k=")</f>
        <v>#REF!</v>
      </c>
      <c r="DC16" t="e">
        <f>AND('Değerlendirme Formu'!#REF!,"AAAAAG/rZ2o=")</f>
        <v>#REF!</v>
      </c>
      <c r="DD16" t="e">
        <f>AND('Değerlendirme Formu'!#REF!,"AAAAAG/rZ2s=")</f>
        <v>#REF!</v>
      </c>
      <c r="DE16" t="e">
        <f>AND('Değerlendirme Formu'!#REF!,"AAAAAG/rZ2w=")</f>
        <v>#REF!</v>
      </c>
      <c r="DF16" t="e">
        <f>AND('Değerlendirme Formu'!#REF!,"AAAAAG/rZ20=")</f>
        <v>#REF!</v>
      </c>
      <c r="DG16" t="e">
        <f>AND('Değerlendirme Formu'!#REF!,"AAAAAG/rZ24=")</f>
        <v>#REF!</v>
      </c>
      <c r="DH16" t="e">
        <f>AND('Değerlendirme Formu'!#REF!,"AAAAAG/rZ28=")</f>
        <v>#REF!</v>
      </c>
      <c r="DI16" t="e">
        <f>AND('Değerlendirme Formu'!#REF!,"AAAAAG/rZ3A=")</f>
        <v>#REF!</v>
      </c>
      <c r="DJ16" t="e">
        <f>AND('Değerlendirme Formu'!#REF!,"AAAAAG/rZ3E=")</f>
        <v>#REF!</v>
      </c>
      <c r="DK16" t="e">
        <f>AND('Değerlendirme Formu'!#REF!,"AAAAAG/rZ3I=")</f>
        <v>#REF!</v>
      </c>
      <c r="DL16" t="e">
        <f>IF('Değerlendirme Formu'!#REF!,"AAAAAG/rZ3M=",0)</f>
        <v>#REF!</v>
      </c>
      <c r="DM16" t="e">
        <f>AND('Değerlendirme Formu'!#REF!,"AAAAAG/rZ3Q=")</f>
        <v>#REF!</v>
      </c>
      <c r="DN16" t="e">
        <f>AND('Değerlendirme Formu'!#REF!,"AAAAAG/rZ3U=")</f>
        <v>#REF!</v>
      </c>
      <c r="DO16" t="e">
        <f>AND('Değerlendirme Formu'!#REF!,"AAAAAG/rZ3Y=")</f>
        <v>#REF!</v>
      </c>
      <c r="DP16" t="e">
        <f>AND('Değerlendirme Formu'!#REF!,"AAAAAG/rZ3c=")</f>
        <v>#REF!</v>
      </c>
      <c r="DQ16" t="e">
        <f>AND('Değerlendirme Formu'!#REF!,"AAAAAG/rZ3g=")</f>
        <v>#REF!</v>
      </c>
      <c r="DR16" t="e">
        <f>AND('Değerlendirme Formu'!#REF!,"AAAAAG/rZ3k=")</f>
        <v>#REF!</v>
      </c>
      <c r="DS16" t="e">
        <f>AND('Değerlendirme Formu'!#REF!,"AAAAAG/rZ3o=")</f>
        <v>#REF!</v>
      </c>
      <c r="DT16" t="e">
        <f>AND('Değerlendirme Formu'!#REF!,"AAAAAG/rZ3s=")</f>
        <v>#REF!</v>
      </c>
      <c r="DU16" t="e">
        <f>AND('Değerlendirme Formu'!#REF!,"AAAAAG/rZ3w=")</f>
        <v>#REF!</v>
      </c>
      <c r="DV16" t="e">
        <f>AND('Değerlendirme Formu'!#REF!,"AAAAAG/rZ30=")</f>
        <v>#REF!</v>
      </c>
      <c r="DW16" t="e">
        <f>AND('Değerlendirme Formu'!#REF!,"AAAAAG/rZ34=")</f>
        <v>#REF!</v>
      </c>
      <c r="DX16" t="e">
        <f>AND('Değerlendirme Formu'!#REF!,"AAAAAG/rZ38=")</f>
        <v>#REF!</v>
      </c>
      <c r="DY16" t="e">
        <f>AND('Değerlendirme Formu'!#REF!,"AAAAAG/rZ4A=")</f>
        <v>#REF!</v>
      </c>
      <c r="DZ16" t="e">
        <f>AND('Değerlendirme Formu'!#REF!,"AAAAAG/rZ4E=")</f>
        <v>#REF!</v>
      </c>
      <c r="EA16" t="e">
        <f>AND('Değerlendirme Formu'!#REF!,"AAAAAG/rZ4I=")</f>
        <v>#REF!</v>
      </c>
      <c r="EB16" t="e">
        <f>AND('Değerlendirme Formu'!#REF!,"AAAAAG/rZ4M=")</f>
        <v>#REF!</v>
      </c>
      <c r="EC16" t="e">
        <f>AND('Değerlendirme Formu'!#REF!,"AAAAAG/rZ4Q=")</f>
        <v>#REF!</v>
      </c>
      <c r="ED16" t="e">
        <f>IF('Değerlendirme Formu'!#REF!,"AAAAAG/rZ4U=",0)</f>
        <v>#REF!</v>
      </c>
      <c r="EE16" t="e">
        <f>AND('Değerlendirme Formu'!#REF!,"AAAAAG/rZ4Y=")</f>
        <v>#REF!</v>
      </c>
      <c r="EF16" t="e">
        <f>AND('Değerlendirme Formu'!#REF!,"AAAAAG/rZ4c=")</f>
        <v>#REF!</v>
      </c>
      <c r="EG16" t="e">
        <f>AND('Değerlendirme Formu'!#REF!,"AAAAAG/rZ4g=")</f>
        <v>#REF!</v>
      </c>
      <c r="EH16" t="e">
        <f>AND('Değerlendirme Formu'!#REF!,"AAAAAG/rZ4k=")</f>
        <v>#REF!</v>
      </c>
      <c r="EI16" t="e">
        <f>AND('Değerlendirme Formu'!#REF!,"AAAAAG/rZ4o=")</f>
        <v>#REF!</v>
      </c>
      <c r="EJ16" t="e">
        <f>AND('Değerlendirme Formu'!#REF!,"AAAAAG/rZ4s=")</f>
        <v>#REF!</v>
      </c>
      <c r="EK16" t="e">
        <f>AND('Değerlendirme Formu'!#REF!,"AAAAAG/rZ4w=")</f>
        <v>#REF!</v>
      </c>
      <c r="EL16" t="e">
        <f>AND('Değerlendirme Formu'!#REF!,"AAAAAG/rZ40=")</f>
        <v>#REF!</v>
      </c>
      <c r="EM16" t="e">
        <f>AND('Değerlendirme Formu'!#REF!,"AAAAAG/rZ44=")</f>
        <v>#REF!</v>
      </c>
      <c r="EN16" t="e">
        <f>AND('Değerlendirme Formu'!#REF!,"AAAAAG/rZ48=")</f>
        <v>#REF!</v>
      </c>
      <c r="EO16" t="e">
        <f>AND('Değerlendirme Formu'!#REF!,"AAAAAG/rZ5A=")</f>
        <v>#REF!</v>
      </c>
      <c r="EP16" t="e">
        <f>AND('Değerlendirme Formu'!#REF!,"AAAAAG/rZ5E=")</f>
        <v>#REF!</v>
      </c>
      <c r="EQ16" t="e">
        <f>AND('Değerlendirme Formu'!#REF!,"AAAAAG/rZ5I=")</f>
        <v>#REF!</v>
      </c>
      <c r="ER16" t="e">
        <f>AND('Değerlendirme Formu'!#REF!,"AAAAAG/rZ5M=")</f>
        <v>#REF!</v>
      </c>
      <c r="ES16" t="e">
        <f>AND('Değerlendirme Formu'!#REF!,"AAAAAG/rZ5Q=")</f>
        <v>#REF!</v>
      </c>
      <c r="ET16" t="e">
        <f>AND('Değerlendirme Formu'!#REF!,"AAAAAG/rZ5U=")</f>
        <v>#REF!</v>
      </c>
      <c r="EU16" t="e">
        <f>AND('Değerlendirme Formu'!#REF!,"AAAAAG/rZ5Y=")</f>
        <v>#REF!</v>
      </c>
      <c r="EV16" t="e">
        <f>IF('Değerlendirme Formu'!#REF!,"AAAAAG/rZ5c=",0)</f>
        <v>#REF!</v>
      </c>
      <c r="EW16" t="e">
        <f>AND('Değerlendirme Formu'!#REF!,"AAAAAG/rZ5g=")</f>
        <v>#REF!</v>
      </c>
      <c r="EX16" t="e">
        <f>AND('Değerlendirme Formu'!#REF!,"AAAAAG/rZ5k=")</f>
        <v>#REF!</v>
      </c>
      <c r="EY16" t="e">
        <f>AND('Değerlendirme Formu'!#REF!,"AAAAAG/rZ5o=")</f>
        <v>#REF!</v>
      </c>
      <c r="EZ16" t="e">
        <f>AND('Değerlendirme Formu'!#REF!,"AAAAAG/rZ5s=")</f>
        <v>#REF!</v>
      </c>
      <c r="FA16" t="e">
        <f>AND('Değerlendirme Formu'!#REF!,"AAAAAG/rZ5w=")</f>
        <v>#REF!</v>
      </c>
      <c r="FB16" t="e">
        <f>AND('Değerlendirme Formu'!#REF!,"AAAAAG/rZ50=")</f>
        <v>#REF!</v>
      </c>
      <c r="FC16" t="e">
        <f>AND('Değerlendirme Formu'!#REF!,"AAAAAG/rZ54=")</f>
        <v>#REF!</v>
      </c>
      <c r="FD16" t="e">
        <f>AND('Değerlendirme Formu'!#REF!,"AAAAAG/rZ58=")</f>
        <v>#REF!</v>
      </c>
      <c r="FE16" t="e">
        <f>AND('Değerlendirme Formu'!#REF!,"AAAAAG/rZ6A=")</f>
        <v>#REF!</v>
      </c>
      <c r="FF16" t="e">
        <f>AND('Değerlendirme Formu'!#REF!,"AAAAAG/rZ6E=")</f>
        <v>#REF!</v>
      </c>
      <c r="FG16" t="e">
        <f>AND('Değerlendirme Formu'!#REF!,"AAAAAG/rZ6I=")</f>
        <v>#REF!</v>
      </c>
      <c r="FH16" t="e">
        <f>AND('Değerlendirme Formu'!#REF!,"AAAAAG/rZ6M=")</f>
        <v>#REF!</v>
      </c>
      <c r="FI16" t="e">
        <f>AND('Değerlendirme Formu'!#REF!,"AAAAAG/rZ6Q=")</f>
        <v>#REF!</v>
      </c>
      <c r="FJ16" t="e">
        <f>AND('Değerlendirme Formu'!#REF!,"AAAAAG/rZ6U=")</f>
        <v>#REF!</v>
      </c>
      <c r="FK16" t="e">
        <f>AND('Değerlendirme Formu'!#REF!,"AAAAAG/rZ6Y=")</f>
        <v>#REF!</v>
      </c>
      <c r="FL16" t="e">
        <f>AND('Değerlendirme Formu'!#REF!,"AAAAAG/rZ6c=")</f>
        <v>#REF!</v>
      </c>
      <c r="FM16" t="e">
        <f>AND('Değerlendirme Formu'!#REF!,"AAAAAG/rZ6g=")</f>
        <v>#REF!</v>
      </c>
      <c r="FN16" t="e">
        <f>IF('Değerlendirme Formu'!#REF!,"AAAAAG/rZ6k=",0)</f>
        <v>#REF!</v>
      </c>
      <c r="FO16" t="e">
        <f>AND('Değerlendirme Formu'!#REF!,"AAAAAG/rZ6o=")</f>
        <v>#REF!</v>
      </c>
      <c r="FP16" t="e">
        <f>AND('Değerlendirme Formu'!#REF!,"AAAAAG/rZ6s=")</f>
        <v>#REF!</v>
      </c>
      <c r="FQ16" t="e">
        <f>AND('Değerlendirme Formu'!#REF!,"AAAAAG/rZ6w=")</f>
        <v>#REF!</v>
      </c>
      <c r="FR16" t="e">
        <f>AND('Değerlendirme Formu'!#REF!,"AAAAAG/rZ60=")</f>
        <v>#REF!</v>
      </c>
      <c r="FS16" t="e">
        <f>AND('Değerlendirme Formu'!#REF!,"AAAAAG/rZ64=")</f>
        <v>#REF!</v>
      </c>
      <c r="FT16" t="e">
        <f>AND('Değerlendirme Formu'!#REF!,"AAAAAG/rZ68=")</f>
        <v>#REF!</v>
      </c>
      <c r="FU16" t="e">
        <f>AND('Değerlendirme Formu'!#REF!,"AAAAAG/rZ7A=")</f>
        <v>#REF!</v>
      </c>
      <c r="FV16" t="e">
        <f>AND('Değerlendirme Formu'!#REF!,"AAAAAG/rZ7E=")</f>
        <v>#REF!</v>
      </c>
      <c r="FW16" t="e">
        <f>AND('Değerlendirme Formu'!#REF!,"AAAAAG/rZ7I=")</f>
        <v>#REF!</v>
      </c>
      <c r="FX16" t="e">
        <f>AND('Değerlendirme Formu'!#REF!,"AAAAAG/rZ7M=")</f>
        <v>#REF!</v>
      </c>
      <c r="FY16" t="e">
        <f>AND('Değerlendirme Formu'!#REF!,"AAAAAG/rZ7Q=")</f>
        <v>#REF!</v>
      </c>
      <c r="FZ16" t="e">
        <f>AND('Değerlendirme Formu'!#REF!,"AAAAAG/rZ7U=")</f>
        <v>#REF!</v>
      </c>
      <c r="GA16" t="e">
        <f>AND('Değerlendirme Formu'!#REF!,"AAAAAG/rZ7Y=")</f>
        <v>#REF!</v>
      </c>
      <c r="GB16" t="e">
        <f>AND('Değerlendirme Formu'!#REF!,"AAAAAG/rZ7c=")</f>
        <v>#REF!</v>
      </c>
      <c r="GC16" t="e">
        <f>AND('Değerlendirme Formu'!#REF!,"AAAAAG/rZ7g=")</f>
        <v>#REF!</v>
      </c>
      <c r="GD16" t="e">
        <f>AND('Değerlendirme Formu'!#REF!,"AAAAAG/rZ7k=")</f>
        <v>#REF!</v>
      </c>
      <c r="GE16" t="e">
        <f>AND('Değerlendirme Formu'!#REF!,"AAAAAG/rZ7o=")</f>
        <v>#REF!</v>
      </c>
      <c r="GF16" t="e">
        <f>IF('Değerlendirme Formu'!#REF!,"AAAAAG/rZ7s=",0)</f>
        <v>#REF!</v>
      </c>
      <c r="GG16" t="e">
        <f>AND('Değerlendirme Formu'!#REF!,"AAAAAG/rZ7w=")</f>
        <v>#REF!</v>
      </c>
      <c r="GH16" t="e">
        <f>AND('Değerlendirme Formu'!#REF!,"AAAAAG/rZ70=")</f>
        <v>#REF!</v>
      </c>
      <c r="GI16" t="e">
        <f>AND('Değerlendirme Formu'!#REF!,"AAAAAG/rZ74=")</f>
        <v>#REF!</v>
      </c>
      <c r="GJ16" t="e">
        <f>AND('Değerlendirme Formu'!#REF!,"AAAAAG/rZ78=")</f>
        <v>#REF!</v>
      </c>
      <c r="GK16" t="e">
        <f>AND('Değerlendirme Formu'!#REF!,"AAAAAG/rZ8A=")</f>
        <v>#REF!</v>
      </c>
      <c r="GL16" t="e">
        <f>AND('Değerlendirme Formu'!#REF!,"AAAAAG/rZ8E=")</f>
        <v>#REF!</v>
      </c>
      <c r="GM16" t="e">
        <f>AND('Değerlendirme Formu'!#REF!,"AAAAAG/rZ8I=")</f>
        <v>#REF!</v>
      </c>
      <c r="GN16" t="e">
        <f>AND('Değerlendirme Formu'!#REF!,"AAAAAG/rZ8M=")</f>
        <v>#REF!</v>
      </c>
      <c r="GO16" t="e">
        <f>AND('Değerlendirme Formu'!#REF!,"AAAAAG/rZ8Q=")</f>
        <v>#REF!</v>
      </c>
      <c r="GP16" t="e">
        <f>AND('Değerlendirme Formu'!#REF!,"AAAAAG/rZ8U=")</f>
        <v>#REF!</v>
      </c>
      <c r="GQ16" t="e">
        <f>AND('Değerlendirme Formu'!#REF!,"AAAAAG/rZ8Y=")</f>
        <v>#REF!</v>
      </c>
      <c r="GR16" t="e">
        <f>AND('Değerlendirme Formu'!#REF!,"AAAAAG/rZ8c=")</f>
        <v>#REF!</v>
      </c>
      <c r="GS16" t="e">
        <f>AND('Değerlendirme Formu'!#REF!,"AAAAAG/rZ8g=")</f>
        <v>#REF!</v>
      </c>
      <c r="GT16" t="e">
        <f>AND('Değerlendirme Formu'!#REF!,"AAAAAG/rZ8k=")</f>
        <v>#REF!</v>
      </c>
      <c r="GU16" t="e">
        <f>AND('Değerlendirme Formu'!#REF!,"AAAAAG/rZ8o=")</f>
        <v>#REF!</v>
      </c>
      <c r="GV16" t="e">
        <f>AND('Değerlendirme Formu'!#REF!,"AAAAAG/rZ8s=")</f>
        <v>#REF!</v>
      </c>
      <c r="GW16" t="e">
        <f>AND('Değerlendirme Formu'!#REF!,"AAAAAG/rZ8w=")</f>
        <v>#REF!</v>
      </c>
      <c r="GX16" t="e">
        <f>IF('Değerlendirme Formu'!#REF!,"AAAAAG/rZ80=",0)</f>
        <v>#REF!</v>
      </c>
      <c r="GY16" t="e">
        <f>AND('Değerlendirme Formu'!#REF!,"AAAAAG/rZ84=")</f>
        <v>#REF!</v>
      </c>
      <c r="GZ16" t="e">
        <f>AND('Değerlendirme Formu'!#REF!,"AAAAAG/rZ88=")</f>
        <v>#REF!</v>
      </c>
      <c r="HA16" t="e">
        <f>AND('Değerlendirme Formu'!#REF!,"AAAAAG/rZ9A=")</f>
        <v>#REF!</v>
      </c>
      <c r="HB16" t="e">
        <f>AND('Değerlendirme Formu'!#REF!,"AAAAAG/rZ9E=")</f>
        <v>#REF!</v>
      </c>
      <c r="HC16" t="e">
        <f>AND('Değerlendirme Formu'!#REF!,"AAAAAG/rZ9I=")</f>
        <v>#REF!</v>
      </c>
      <c r="HD16" t="e">
        <f>AND('Değerlendirme Formu'!#REF!,"AAAAAG/rZ9M=")</f>
        <v>#REF!</v>
      </c>
      <c r="HE16" t="e">
        <f>AND('Değerlendirme Formu'!#REF!,"AAAAAG/rZ9Q=")</f>
        <v>#REF!</v>
      </c>
      <c r="HF16" t="e">
        <f>AND('Değerlendirme Formu'!#REF!,"AAAAAG/rZ9U=")</f>
        <v>#REF!</v>
      </c>
      <c r="HG16" t="e">
        <f>AND('Değerlendirme Formu'!#REF!,"AAAAAG/rZ9Y=")</f>
        <v>#REF!</v>
      </c>
      <c r="HH16" t="e">
        <f>AND('Değerlendirme Formu'!#REF!,"AAAAAG/rZ9c=")</f>
        <v>#REF!</v>
      </c>
      <c r="HI16" t="e">
        <f>AND('Değerlendirme Formu'!#REF!,"AAAAAG/rZ9g=")</f>
        <v>#REF!</v>
      </c>
      <c r="HJ16" t="e">
        <f>AND('Değerlendirme Formu'!#REF!,"AAAAAG/rZ9k=")</f>
        <v>#REF!</v>
      </c>
      <c r="HK16" t="e">
        <f>AND('Değerlendirme Formu'!#REF!,"AAAAAG/rZ9o=")</f>
        <v>#REF!</v>
      </c>
      <c r="HL16" t="e">
        <f>AND('Değerlendirme Formu'!#REF!,"AAAAAG/rZ9s=")</f>
        <v>#REF!</v>
      </c>
      <c r="HM16" t="e">
        <f>AND('Değerlendirme Formu'!#REF!,"AAAAAG/rZ9w=")</f>
        <v>#REF!</v>
      </c>
      <c r="HN16" t="e">
        <f>AND('Değerlendirme Formu'!#REF!,"AAAAAG/rZ90=")</f>
        <v>#REF!</v>
      </c>
      <c r="HO16" t="e">
        <f>AND('Değerlendirme Formu'!#REF!,"AAAAAG/rZ94=")</f>
        <v>#REF!</v>
      </c>
      <c r="HP16" t="e">
        <f>IF('Değerlendirme Formu'!#REF!,"AAAAAG/rZ98=",0)</f>
        <v>#REF!</v>
      </c>
      <c r="HQ16" t="e">
        <f>AND('Değerlendirme Formu'!#REF!,"AAAAAG/rZ+A=")</f>
        <v>#REF!</v>
      </c>
      <c r="HR16" t="e">
        <f>AND('Değerlendirme Formu'!#REF!,"AAAAAG/rZ+E=")</f>
        <v>#REF!</v>
      </c>
      <c r="HS16" t="e">
        <f>AND('Değerlendirme Formu'!#REF!,"AAAAAG/rZ+I=")</f>
        <v>#REF!</v>
      </c>
      <c r="HT16" t="e">
        <f>AND('Değerlendirme Formu'!#REF!,"AAAAAG/rZ+M=")</f>
        <v>#REF!</v>
      </c>
      <c r="HU16" t="e">
        <f>AND('Değerlendirme Formu'!#REF!,"AAAAAG/rZ+Q=")</f>
        <v>#REF!</v>
      </c>
      <c r="HV16" t="e">
        <f>AND('Değerlendirme Formu'!#REF!,"AAAAAG/rZ+U=")</f>
        <v>#REF!</v>
      </c>
      <c r="HW16" t="e">
        <f>AND('Değerlendirme Formu'!#REF!,"AAAAAG/rZ+Y=")</f>
        <v>#REF!</v>
      </c>
      <c r="HX16" t="e">
        <f>AND('Değerlendirme Formu'!#REF!,"AAAAAG/rZ+c=")</f>
        <v>#REF!</v>
      </c>
      <c r="HY16" t="e">
        <f>AND('Değerlendirme Formu'!#REF!,"AAAAAG/rZ+g=")</f>
        <v>#REF!</v>
      </c>
      <c r="HZ16" t="e">
        <f>AND('Değerlendirme Formu'!#REF!,"AAAAAG/rZ+k=")</f>
        <v>#REF!</v>
      </c>
      <c r="IA16" t="e">
        <f>AND('Değerlendirme Formu'!#REF!,"AAAAAG/rZ+o=")</f>
        <v>#REF!</v>
      </c>
      <c r="IB16" t="e">
        <f>AND('Değerlendirme Formu'!#REF!,"AAAAAG/rZ+s=")</f>
        <v>#REF!</v>
      </c>
      <c r="IC16" t="e">
        <f>AND('Değerlendirme Formu'!#REF!,"AAAAAG/rZ+w=")</f>
        <v>#REF!</v>
      </c>
      <c r="ID16" t="e">
        <f>AND('Değerlendirme Formu'!#REF!,"AAAAAG/rZ+0=")</f>
        <v>#REF!</v>
      </c>
      <c r="IE16" t="e">
        <f>AND('Değerlendirme Formu'!#REF!,"AAAAAG/rZ+4=")</f>
        <v>#REF!</v>
      </c>
      <c r="IF16" t="e">
        <f>AND('Değerlendirme Formu'!#REF!,"AAAAAG/rZ+8=")</f>
        <v>#REF!</v>
      </c>
      <c r="IG16" t="e">
        <f>AND('Değerlendirme Formu'!#REF!,"AAAAAG/rZ/A=")</f>
        <v>#REF!</v>
      </c>
      <c r="IH16" t="e">
        <f>IF('Değerlendirme Formu'!#REF!,"AAAAAG/rZ/E=",0)</f>
        <v>#REF!</v>
      </c>
      <c r="II16" t="e">
        <f>AND('Değerlendirme Formu'!#REF!,"AAAAAG/rZ/I=")</f>
        <v>#REF!</v>
      </c>
      <c r="IJ16" t="e">
        <f>AND('Değerlendirme Formu'!#REF!,"AAAAAG/rZ/M=")</f>
        <v>#REF!</v>
      </c>
      <c r="IK16" t="e">
        <f>AND('Değerlendirme Formu'!#REF!,"AAAAAG/rZ/Q=")</f>
        <v>#REF!</v>
      </c>
      <c r="IL16" t="e">
        <f>AND('Değerlendirme Formu'!#REF!,"AAAAAG/rZ/U=")</f>
        <v>#REF!</v>
      </c>
      <c r="IM16" t="e">
        <f>AND('Değerlendirme Formu'!#REF!,"AAAAAG/rZ/Y=")</f>
        <v>#REF!</v>
      </c>
      <c r="IN16" t="e">
        <f>AND('Değerlendirme Formu'!#REF!,"AAAAAG/rZ/c=")</f>
        <v>#REF!</v>
      </c>
      <c r="IO16" t="e">
        <f>AND('Değerlendirme Formu'!#REF!,"AAAAAG/rZ/g=")</f>
        <v>#REF!</v>
      </c>
      <c r="IP16" t="e">
        <f>AND('Değerlendirme Formu'!#REF!,"AAAAAG/rZ/k=")</f>
        <v>#REF!</v>
      </c>
      <c r="IQ16" t="e">
        <f>AND('Değerlendirme Formu'!#REF!,"AAAAAG/rZ/o=")</f>
        <v>#REF!</v>
      </c>
      <c r="IR16" t="e">
        <f>AND('Değerlendirme Formu'!#REF!,"AAAAAG/rZ/s=")</f>
        <v>#REF!</v>
      </c>
      <c r="IS16" t="e">
        <f>AND('Değerlendirme Formu'!#REF!,"AAAAAG/rZ/w=")</f>
        <v>#REF!</v>
      </c>
      <c r="IT16" t="e">
        <f>AND('Değerlendirme Formu'!#REF!,"AAAAAG/rZ/0=")</f>
        <v>#REF!</v>
      </c>
      <c r="IU16" t="e">
        <f>AND('Değerlendirme Formu'!#REF!,"AAAAAG/rZ/4=")</f>
        <v>#REF!</v>
      </c>
      <c r="IV16" t="e">
        <f>AND('Değerlendirme Formu'!#REF!,"AAAAAG/rZ/8=")</f>
        <v>#REF!</v>
      </c>
    </row>
    <row r="17" spans="1:256" x14ac:dyDescent="0.2">
      <c r="A17" t="e">
        <f>AND('Değerlendirme Formu'!#REF!,"AAAAADHfvgA=")</f>
        <v>#REF!</v>
      </c>
      <c r="B17" t="e">
        <f>AND('Değerlendirme Formu'!#REF!,"AAAAADHfvgE=")</f>
        <v>#REF!</v>
      </c>
      <c r="C17" t="e">
        <f>AND('Değerlendirme Formu'!#REF!,"AAAAADHfvgI=")</f>
        <v>#REF!</v>
      </c>
      <c r="D17" t="e">
        <f>IF('Değerlendirme Formu'!#REF!,"AAAAADHfvgM=",0)</f>
        <v>#REF!</v>
      </c>
      <c r="E17" t="e">
        <f>AND('Değerlendirme Formu'!#REF!,"AAAAADHfvgQ=")</f>
        <v>#REF!</v>
      </c>
      <c r="F17" t="e">
        <f>AND('Değerlendirme Formu'!#REF!,"AAAAADHfvgU=")</f>
        <v>#REF!</v>
      </c>
      <c r="G17" t="e">
        <f>AND('Değerlendirme Formu'!#REF!,"AAAAADHfvgY=")</f>
        <v>#REF!</v>
      </c>
      <c r="H17" t="e">
        <f>AND('Değerlendirme Formu'!#REF!,"AAAAADHfvgc=")</f>
        <v>#REF!</v>
      </c>
      <c r="I17" t="e">
        <f>AND('Değerlendirme Formu'!#REF!,"AAAAADHfvgg=")</f>
        <v>#REF!</v>
      </c>
      <c r="J17" t="e">
        <f>AND('Değerlendirme Formu'!#REF!,"AAAAADHfvgk=")</f>
        <v>#REF!</v>
      </c>
      <c r="K17" t="e">
        <f>AND('Değerlendirme Formu'!#REF!,"AAAAADHfvgo=")</f>
        <v>#REF!</v>
      </c>
      <c r="L17" t="e">
        <f>AND('Değerlendirme Formu'!#REF!,"AAAAADHfvgs=")</f>
        <v>#REF!</v>
      </c>
      <c r="M17" t="e">
        <f>AND('Değerlendirme Formu'!#REF!,"AAAAADHfvgw=")</f>
        <v>#REF!</v>
      </c>
      <c r="N17" t="e">
        <f>AND('Değerlendirme Formu'!#REF!,"AAAAADHfvg0=")</f>
        <v>#REF!</v>
      </c>
      <c r="O17" t="e">
        <f>AND('Değerlendirme Formu'!#REF!,"AAAAADHfvg4=")</f>
        <v>#REF!</v>
      </c>
      <c r="P17" t="e">
        <f>AND('Değerlendirme Formu'!#REF!,"AAAAADHfvg8=")</f>
        <v>#REF!</v>
      </c>
      <c r="Q17" t="e">
        <f>AND('Değerlendirme Formu'!#REF!,"AAAAADHfvhA=")</f>
        <v>#REF!</v>
      </c>
      <c r="R17" t="e">
        <f>AND('Değerlendirme Formu'!#REF!,"AAAAADHfvhE=")</f>
        <v>#REF!</v>
      </c>
      <c r="S17" t="e">
        <f>AND('Değerlendirme Formu'!#REF!,"AAAAADHfvhI=")</f>
        <v>#REF!</v>
      </c>
      <c r="T17" t="e">
        <f>AND('Değerlendirme Formu'!#REF!,"AAAAADHfvhM=")</f>
        <v>#REF!</v>
      </c>
      <c r="U17" t="e">
        <f>AND('Değerlendirme Formu'!#REF!,"AAAAADHfvhQ=")</f>
        <v>#REF!</v>
      </c>
      <c r="V17" t="e">
        <f>IF('Değerlendirme Formu'!#REF!,"AAAAADHfvhU=",0)</f>
        <v>#REF!</v>
      </c>
      <c r="W17" t="e">
        <f>AND('Değerlendirme Formu'!#REF!,"AAAAADHfvhY=")</f>
        <v>#REF!</v>
      </c>
      <c r="X17" t="e">
        <f>AND('Değerlendirme Formu'!#REF!,"AAAAADHfvhc=")</f>
        <v>#REF!</v>
      </c>
      <c r="Y17" t="e">
        <f>AND('Değerlendirme Formu'!#REF!,"AAAAADHfvhg=")</f>
        <v>#REF!</v>
      </c>
      <c r="Z17" t="e">
        <f>AND('Değerlendirme Formu'!#REF!,"AAAAADHfvhk=")</f>
        <v>#REF!</v>
      </c>
      <c r="AA17" t="e">
        <f>AND('Değerlendirme Formu'!#REF!,"AAAAADHfvho=")</f>
        <v>#REF!</v>
      </c>
      <c r="AB17" t="e">
        <f>AND('Değerlendirme Formu'!#REF!,"AAAAADHfvhs=")</f>
        <v>#REF!</v>
      </c>
      <c r="AC17" t="e">
        <f>AND('Değerlendirme Formu'!#REF!,"AAAAADHfvhw=")</f>
        <v>#REF!</v>
      </c>
      <c r="AD17" t="e">
        <f>AND('Değerlendirme Formu'!#REF!,"AAAAADHfvh0=")</f>
        <v>#REF!</v>
      </c>
      <c r="AE17" t="e">
        <f>AND('Değerlendirme Formu'!#REF!,"AAAAADHfvh4=")</f>
        <v>#REF!</v>
      </c>
      <c r="AF17" t="e">
        <f>AND('Değerlendirme Formu'!#REF!,"AAAAADHfvh8=")</f>
        <v>#REF!</v>
      </c>
      <c r="AG17" t="e">
        <f>AND('Değerlendirme Formu'!#REF!,"AAAAADHfviA=")</f>
        <v>#REF!</v>
      </c>
      <c r="AH17" t="e">
        <f>AND('Değerlendirme Formu'!#REF!,"AAAAADHfviE=")</f>
        <v>#REF!</v>
      </c>
      <c r="AI17" t="e">
        <f>AND('Değerlendirme Formu'!#REF!,"AAAAADHfviI=")</f>
        <v>#REF!</v>
      </c>
      <c r="AJ17" t="e">
        <f>AND('Değerlendirme Formu'!#REF!,"AAAAADHfviM=")</f>
        <v>#REF!</v>
      </c>
      <c r="AK17" t="e">
        <f>AND('Değerlendirme Formu'!#REF!,"AAAAADHfviQ=")</f>
        <v>#REF!</v>
      </c>
      <c r="AL17" t="e">
        <f>AND('Değerlendirme Formu'!#REF!,"AAAAADHfviU=")</f>
        <v>#REF!</v>
      </c>
      <c r="AM17" t="e">
        <f>AND('Değerlendirme Formu'!#REF!,"AAAAADHfviY=")</f>
        <v>#REF!</v>
      </c>
      <c r="AN17" t="e">
        <f>IF('Değerlendirme Formu'!#REF!,"AAAAADHfvic=",0)</f>
        <v>#REF!</v>
      </c>
      <c r="AO17" t="e">
        <f>AND('Değerlendirme Formu'!#REF!,"AAAAADHfvig=")</f>
        <v>#REF!</v>
      </c>
      <c r="AP17" t="e">
        <f>AND('Değerlendirme Formu'!#REF!,"AAAAADHfvik=")</f>
        <v>#REF!</v>
      </c>
      <c r="AQ17" t="e">
        <f>AND('Değerlendirme Formu'!#REF!,"AAAAADHfvio=")</f>
        <v>#REF!</v>
      </c>
      <c r="AR17" t="e">
        <f>AND('Değerlendirme Formu'!#REF!,"AAAAADHfvis=")</f>
        <v>#REF!</v>
      </c>
      <c r="AS17" t="e">
        <f>AND('Değerlendirme Formu'!#REF!,"AAAAADHfviw=")</f>
        <v>#REF!</v>
      </c>
      <c r="AT17" t="e">
        <f>AND('Değerlendirme Formu'!#REF!,"AAAAADHfvi0=")</f>
        <v>#REF!</v>
      </c>
      <c r="AU17" t="e">
        <f>AND('Değerlendirme Formu'!#REF!,"AAAAADHfvi4=")</f>
        <v>#REF!</v>
      </c>
      <c r="AV17" t="e">
        <f>AND('Değerlendirme Formu'!#REF!,"AAAAADHfvi8=")</f>
        <v>#REF!</v>
      </c>
      <c r="AW17" t="e">
        <f>AND('Değerlendirme Formu'!#REF!,"AAAAADHfvjA=")</f>
        <v>#REF!</v>
      </c>
      <c r="AX17" t="e">
        <f>AND('Değerlendirme Formu'!#REF!,"AAAAADHfvjE=")</f>
        <v>#REF!</v>
      </c>
      <c r="AY17" t="e">
        <f>AND('Değerlendirme Formu'!#REF!,"AAAAADHfvjI=")</f>
        <v>#REF!</v>
      </c>
      <c r="AZ17" t="e">
        <f>AND('Değerlendirme Formu'!#REF!,"AAAAADHfvjM=")</f>
        <v>#REF!</v>
      </c>
      <c r="BA17" t="e">
        <f>AND('Değerlendirme Formu'!#REF!,"AAAAADHfvjQ=")</f>
        <v>#REF!</v>
      </c>
      <c r="BB17" t="e">
        <f>AND('Değerlendirme Formu'!#REF!,"AAAAADHfvjU=")</f>
        <v>#REF!</v>
      </c>
      <c r="BC17" t="e">
        <f>AND('Değerlendirme Formu'!#REF!,"AAAAADHfvjY=")</f>
        <v>#REF!</v>
      </c>
      <c r="BD17" t="e">
        <f>AND('Değerlendirme Formu'!#REF!,"AAAAADHfvjc=")</f>
        <v>#REF!</v>
      </c>
      <c r="BE17" t="e">
        <f>AND('Değerlendirme Formu'!#REF!,"AAAAADHfvjg=")</f>
        <v>#REF!</v>
      </c>
      <c r="BF17" t="e">
        <f>IF('Değerlendirme Formu'!#REF!,"AAAAADHfvjk=",0)</f>
        <v>#REF!</v>
      </c>
      <c r="BG17" t="e">
        <f>AND('Değerlendirme Formu'!#REF!,"AAAAADHfvjo=")</f>
        <v>#REF!</v>
      </c>
      <c r="BH17" t="e">
        <f>AND('Değerlendirme Formu'!#REF!,"AAAAADHfvjs=")</f>
        <v>#REF!</v>
      </c>
      <c r="BI17" t="e">
        <f>AND('Değerlendirme Formu'!#REF!,"AAAAADHfvjw=")</f>
        <v>#REF!</v>
      </c>
      <c r="BJ17" t="e">
        <f>AND('Değerlendirme Formu'!#REF!,"AAAAADHfvj0=")</f>
        <v>#REF!</v>
      </c>
      <c r="BK17" t="e">
        <f>AND('Değerlendirme Formu'!#REF!,"AAAAADHfvj4=")</f>
        <v>#REF!</v>
      </c>
      <c r="BL17" t="e">
        <f>AND('Değerlendirme Formu'!#REF!,"AAAAADHfvj8=")</f>
        <v>#REF!</v>
      </c>
      <c r="BM17" t="e">
        <f>AND('Değerlendirme Formu'!#REF!,"AAAAADHfvkA=")</f>
        <v>#REF!</v>
      </c>
      <c r="BN17" t="e">
        <f>AND('Değerlendirme Formu'!#REF!,"AAAAADHfvkE=")</f>
        <v>#REF!</v>
      </c>
      <c r="BO17" t="e">
        <f>AND('Değerlendirme Formu'!#REF!,"AAAAADHfvkI=")</f>
        <v>#REF!</v>
      </c>
      <c r="BP17" t="e">
        <f>AND('Değerlendirme Formu'!#REF!,"AAAAADHfvkM=")</f>
        <v>#REF!</v>
      </c>
      <c r="BQ17" t="e">
        <f>AND('Değerlendirme Formu'!#REF!,"AAAAADHfvkQ=")</f>
        <v>#REF!</v>
      </c>
      <c r="BR17" t="e">
        <f>AND('Değerlendirme Formu'!#REF!,"AAAAADHfvkU=")</f>
        <v>#REF!</v>
      </c>
      <c r="BS17" t="e">
        <f>AND('Değerlendirme Formu'!#REF!,"AAAAADHfvkY=")</f>
        <v>#REF!</v>
      </c>
      <c r="BT17" t="e">
        <f>AND('Değerlendirme Formu'!#REF!,"AAAAADHfvkc=")</f>
        <v>#REF!</v>
      </c>
      <c r="BU17" t="e">
        <f>AND('Değerlendirme Formu'!#REF!,"AAAAADHfvkg=")</f>
        <v>#REF!</v>
      </c>
      <c r="BV17" t="e">
        <f>AND('Değerlendirme Formu'!#REF!,"AAAAADHfvkk=")</f>
        <v>#REF!</v>
      </c>
      <c r="BW17" t="e">
        <f>AND('Değerlendirme Formu'!#REF!,"AAAAADHfvko=")</f>
        <v>#REF!</v>
      </c>
      <c r="BX17" t="e">
        <f>IF('Değerlendirme Formu'!#REF!,"AAAAADHfvks=",0)</f>
        <v>#REF!</v>
      </c>
      <c r="BY17" t="e">
        <f>AND('Değerlendirme Formu'!#REF!,"AAAAADHfvkw=")</f>
        <v>#REF!</v>
      </c>
      <c r="BZ17" t="e">
        <f>AND('Değerlendirme Formu'!#REF!,"AAAAADHfvk0=")</f>
        <v>#REF!</v>
      </c>
      <c r="CA17" t="e">
        <f>AND('Değerlendirme Formu'!#REF!,"AAAAADHfvk4=")</f>
        <v>#REF!</v>
      </c>
      <c r="CB17" t="e">
        <f>AND('Değerlendirme Formu'!#REF!,"AAAAADHfvk8=")</f>
        <v>#REF!</v>
      </c>
      <c r="CC17" t="e">
        <f>AND('Değerlendirme Formu'!#REF!,"AAAAADHfvlA=")</f>
        <v>#REF!</v>
      </c>
      <c r="CD17" t="e">
        <f>AND('Değerlendirme Formu'!#REF!,"AAAAADHfvlE=")</f>
        <v>#REF!</v>
      </c>
      <c r="CE17" t="e">
        <f>AND('Değerlendirme Formu'!#REF!,"AAAAADHfvlI=")</f>
        <v>#REF!</v>
      </c>
      <c r="CF17" t="e">
        <f>AND('Değerlendirme Formu'!#REF!,"AAAAADHfvlM=")</f>
        <v>#REF!</v>
      </c>
      <c r="CG17" t="e">
        <f>AND('Değerlendirme Formu'!#REF!,"AAAAADHfvlQ=")</f>
        <v>#REF!</v>
      </c>
      <c r="CH17" t="e">
        <f>AND('Değerlendirme Formu'!#REF!,"AAAAADHfvlU=")</f>
        <v>#REF!</v>
      </c>
      <c r="CI17" t="e">
        <f>AND('Değerlendirme Formu'!#REF!,"AAAAADHfvlY=")</f>
        <v>#REF!</v>
      </c>
      <c r="CJ17" t="e">
        <f>AND('Değerlendirme Formu'!#REF!,"AAAAADHfvlc=")</f>
        <v>#REF!</v>
      </c>
      <c r="CK17" t="e">
        <f>AND('Değerlendirme Formu'!#REF!,"AAAAADHfvlg=")</f>
        <v>#REF!</v>
      </c>
      <c r="CL17" t="e">
        <f>AND('Değerlendirme Formu'!#REF!,"AAAAADHfvlk=")</f>
        <v>#REF!</v>
      </c>
      <c r="CM17" t="e">
        <f>AND('Değerlendirme Formu'!#REF!,"AAAAADHfvlo=")</f>
        <v>#REF!</v>
      </c>
      <c r="CN17" t="e">
        <f>AND('Değerlendirme Formu'!#REF!,"AAAAADHfvls=")</f>
        <v>#REF!</v>
      </c>
      <c r="CO17" t="e">
        <f>AND('Değerlendirme Formu'!#REF!,"AAAAADHfvlw=")</f>
        <v>#REF!</v>
      </c>
      <c r="CP17" t="e">
        <f>IF('Değerlendirme Formu'!#REF!,"AAAAADHfvl0=",0)</f>
        <v>#REF!</v>
      </c>
      <c r="CQ17" t="e">
        <f>AND('Değerlendirme Formu'!#REF!,"AAAAADHfvl4=")</f>
        <v>#REF!</v>
      </c>
      <c r="CR17" t="e">
        <f>AND('Değerlendirme Formu'!#REF!,"AAAAADHfvl8=")</f>
        <v>#REF!</v>
      </c>
      <c r="CS17" t="e">
        <f>AND('Değerlendirme Formu'!#REF!,"AAAAADHfvmA=")</f>
        <v>#REF!</v>
      </c>
      <c r="CT17" t="e">
        <f>AND('Değerlendirme Formu'!#REF!,"AAAAADHfvmE=")</f>
        <v>#REF!</v>
      </c>
      <c r="CU17" t="e">
        <f>AND('Değerlendirme Formu'!#REF!,"AAAAADHfvmI=")</f>
        <v>#REF!</v>
      </c>
      <c r="CV17" t="e">
        <f>AND('Değerlendirme Formu'!#REF!,"AAAAADHfvmM=")</f>
        <v>#REF!</v>
      </c>
      <c r="CW17" t="e">
        <f>AND('Değerlendirme Formu'!#REF!,"AAAAADHfvmQ=")</f>
        <v>#REF!</v>
      </c>
      <c r="CX17" t="e">
        <f>AND('Değerlendirme Formu'!#REF!,"AAAAADHfvmU=")</f>
        <v>#REF!</v>
      </c>
      <c r="CY17" t="e">
        <f>AND('Değerlendirme Formu'!#REF!,"AAAAADHfvmY=")</f>
        <v>#REF!</v>
      </c>
      <c r="CZ17" t="e">
        <f>AND('Değerlendirme Formu'!#REF!,"AAAAADHfvmc=")</f>
        <v>#REF!</v>
      </c>
      <c r="DA17" t="e">
        <f>AND('Değerlendirme Formu'!#REF!,"AAAAADHfvmg=")</f>
        <v>#REF!</v>
      </c>
      <c r="DB17" t="e">
        <f>AND('Değerlendirme Formu'!#REF!,"AAAAADHfvmk=")</f>
        <v>#REF!</v>
      </c>
      <c r="DC17" t="e">
        <f>AND('Değerlendirme Formu'!#REF!,"AAAAADHfvmo=")</f>
        <v>#REF!</v>
      </c>
      <c r="DD17" t="e">
        <f>AND('Değerlendirme Formu'!#REF!,"AAAAADHfvms=")</f>
        <v>#REF!</v>
      </c>
      <c r="DE17" t="e">
        <f>AND('Değerlendirme Formu'!#REF!,"AAAAADHfvmw=")</f>
        <v>#REF!</v>
      </c>
      <c r="DF17" t="e">
        <f>AND('Değerlendirme Formu'!#REF!,"AAAAADHfvm0=")</f>
        <v>#REF!</v>
      </c>
      <c r="DG17" t="e">
        <f>AND('Değerlendirme Formu'!#REF!,"AAAAADHfvm4=")</f>
        <v>#REF!</v>
      </c>
      <c r="DH17" t="e">
        <f>IF('Değerlendirme Formu'!#REF!,"AAAAADHfvm8=",0)</f>
        <v>#REF!</v>
      </c>
      <c r="DI17" t="e">
        <f>AND('Değerlendirme Formu'!#REF!,"AAAAADHfvnA=")</f>
        <v>#REF!</v>
      </c>
      <c r="DJ17" t="e">
        <f>AND('Değerlendirme Formu'!#REF!,"AAAAADHfvnE=")</f>
        <v>#REF!</v>
      </c>
      <c r="DK17" t="e">
        <f>AND('Değerlendirme Formu'!#REF!,"AAAAADHfvnI=")</f>
        <v>#REF!</v>
      </c>
      <c r="DL17" t="e">
        <f>AND('Değerlendirme Formu'!#REF!,"AAAAADHfvnM=")</f>
        <v>#REF!</v>
      </c>
      <c r="DM17" t="e">
        <f>AND('Değerlendirme Formu'!#REF!,"AAAAADHfvnQ=")</f>
        <v>#REF!</v>
      </c>
      <c r="DN17" t="e">
        <f>AND('Değerlendirme Formu'!#REF!,"AAAAADHfvnU=")</f>
        <v>#REF!</v>
      </c>
      <c r="DO17" t="e">
        <f>AND('Değerlendirme Formu'!#REF!,"AAAAADHfvnY=")</f>
        <v>#REF!</v>
      </c>
      <c r="DP17" t="e">
        <f>AND('Değerlendirme Formu'!#REF!,"AAAAADHfvnc=")</f>
        <v>#REF!</v>
      </c>
      <c r="DQ17" t="e">
        <f>AND('Değerlendirme Formu'!#REF!,"AAAAADHfvng=")</f>
        <v>#REF!</v>
      </c>
      <c r="DR17" t="e">
        <f>AND('Değerlendirme Formu'!#REF!,"AAAAADHfvnk=")</f>
        <v>#REF!</v>
      </c>
      <c r="DS17" t="e">
        <f>AND('Değerlendirme Formu'!#REF!,"AAAAADHfvno=")</f>
        <v>#REF!</v>
      </c>
      <c r="DT17" t="e">
        <f>AND('Değerlendirme Formu'!#REF!,"AAAAADHfvns=")</f>
        <v>#REF!</v>
      </c>
      <c r="DU17" t="e">
        <f>AND('Değerlendirme Formu'!#REF!,"AAAAADHfvnw=")</f>
        <v>#REF!</v>
      </c>
      <c r="DV17" t="e">
        <f>AND('Değerlendirme Formu'!#REF!,"AAAAADHfvn0=")</f>
        <v>#REF!</v>
      </c>
      <c r="DW17" t="e">
        <f>AND('Değerlendirme Formu'!#REF!,"AAAAADHfvn4=")</f>
        <v>#REF!</v>
      </c>
      <c r="DX17" t="e">
        <f>AND('Değerlendirme Formu'!#REF!,"AAAAADHfvn8=")</f>
        <v>#REF!</v>
      </c>
      <c r="DY17" t="e">
        <f>AND('Değerlendirme Formu'!#REF!,"AAAAADHfvoA=")</f>
        <v>#REF!</v>
      </c>
      <c r="DZ17" t="e">
        <f>IF('Değerlendirme Formu'!#REF!,"AAAAADHfvoE=",0)</f>
        <v>#REF!</v>
      </c>
      <c r="EA17" t="e">
        <f>AND('Değerlendirme Formu'!#REF!,"AAAAADHfvoI=")</f>
        <v>#REF!</v>
      </c>
      <c r="EB17" t="e">
        <f>AND('Değerlendirme Formu'!#REF!,"AAAAADHfvoM=")</f>
        <v>#REF!</v>
      </c>
      <c r="EC17" t="e">
        <f>AND('Değerlendirme Formu'!#REF!,"AAAAADHfvoQ=")</f>
        <v>#REF!</v>
      </c>
      <c r="ED17" t="e">
        <f>AND('Değerlendirme Formu'!#REF!,"AAAAADHfvoU=")</f>
        <v>#REF!</v>
      </c>
      <c r="EE17" t="e">
        <f>AND('Değerlendirme Formu'!#REF!,"AAAAADHfvoY=")</f>
        <v>#REF!</v>
      </c>
      <c r="EF17" t="e">
        <f>AND('Değerlendirme Formu'!#REF!,"AAAAADHfvoc=")</f>
        <v>#REF!</v>
      </c>
      <c r="EG17" t="e">
        <f>AND('Değerlendirme Formu'!#REF!,"AAAAADHfvog=")</f>
        <v>#REF!</v>
      </c>
      <c r="EH17" t="e">
        <f>AND('Değerlendirme Formu'!#REF!,"AAAAADHfvok=")</f>
        <v>#REF!</v>
      </c>
      <c r="EI17" t="e">
        <f>AND('Değerlendirme Formu'!#REF!,"AAAAADHfvoo=")</f>
        <v>#REF!</v>
      </c>
      <c r="EJ17" t="e">
        <f>AND('Değerlendirme Formu'!#REF!,"AAAAADHfvos=")</f>
        <v>#REF!</v>
      </c>
      <c r="EK17" t="e">
        <f>AND('Değerlendirme Formu'!#REF!,"AAAAADHfvow=")</f>
        <v>#REF!</v>
      </c>
      <c r="EL17" t="e">
        <f>AND('Değerlendirme Formu'!#REF!,"AAAAADHfvo0=")</f>
        <v>#REF!</v>
      </c>
      <c r="EM17" t="e">
        <f>AND('Değerlendirme Formu'!#REF!,"AAAAADHfvo4=")</f>
        <v>#REF!</v>
      </c>
      <c r="EN17" t="e">
        <f>AND('Değerlendirme Formu'!#REF!,"AAAAADHfvo8=")</f>
        <v>#REF!</v>
      </c>
      <c r="EO17" t="e">
        <f>AND('Değerlendirme Formu'!#REF!,"AAAAADHfvpA=")</f>
        <v>#REF!</v>
      </c>
      <c r="EP17" t="e">
        <f>AND('Değerlendirme Formu'!#REF!,"AAAAADHfvpE=")</f>
        <v>#REF!</v>
      </c>
      <c r="EQ17" t="e">
        <f>AND('Değerlendirme Formu'!#REF!,"AAAAADHfvpI=")</f>
        <v>#REF!</v>
      </c>
      <c r="ER17" t="e">
        <f>IF('Değerlendirme Formu'!#REF!,"AAAAADHfvpM=",0)</f>
        <v>#REF!</v>
      </c>
      <c r="ES17" t="e">
        <f>AND('Değerlendirme Formu'!#REF!,"AAAAADHfvpQ=")</f>
        <v>#REF!</v>
      </c>
      <c r="ET17" t="e">
        <f>AND('Değerlendirme Formu'!#REF!,"AAAAADHfvpU=")</f>
        <v>#REF!</v>
      </c>
      <c r="EU17" t="e">
        <f>AND('Değerlendirme Formu'!#REF!,"AAAAADHfvpY=")</f>
        <v>#REF!</v>
      </c>
      <c r="EV17" t="e">
        <f>AND('Değerlendirme Formu'!#REF!,"AAAAADHfvpc=")</f>
        <v>#REF!</v>
      </c>
      <c r="EW17" t="e">
        <f>AND('Değerlendirme Formu'!#REF!,"AAAAADHfvpg=")</f>
        <v>#REF!</v>
      </c>
      <c r="EX17" t="e">
        <f>AND('Değerlendirme Formu'!#REF!,"AAAAADHfvpk=")</f>
        <v>#REF!</v>
      </c>
      <c r="EY17" t="e">
        <f>AND('Değerlendirme Formu'!#REF!,"AAAAADHfvpo=")</f>
        <v>#REF!</v>
      </c>
      <c r="EZ17" t="e">
        <f>AND('Değerlendirme Formu'!#REF!,"AAAAADHfvps=")</f>
        <v>#REF!</v>
      </c>
      <c r="FA17" t="e">
        <f>AND('Değerlendirme Formu'!#REF!,"AAAAADHfvpw=")</f>
        <v>#REF!</v>
      </c>
      <c r="FB17" t="e">
        <f>AND('Değerlendirme Formu'!#REF!,"AAAAADHfvp0=")</f>
        <v>#REF!</v>
      </c>
      <c r="FC17" t="e">
        <f>AND('Değerlendirme Formu'!#REF!,"AAAAADHfvp4=")</f>
        <v>#REF!</v>
      </c>
      <c r="FD17" t="e">
        <f>AND('Değerlendirme Formu'!#REF!,"AAAAADHfvp8=")</f>
        <v>#REF!</v>
      </c>
      <c r="FE17" t="e">
        <f>AND('Değerlendirme Formu'!#REF!,"AAAAADHfvqA=")</f>
        <v>#REF!</v>
      </c>
      <c r="FF17" t="e">
        <f>AND('Değerlendirme Formu'!#REF!,"AAAAADHfvqE=")</f>
        <v>#REF!</v>
      </c>
      <c r="FG17" t="e">
        <f>AND('Değerlendirme Formu'!#REF!,"AAAAADHfvqI=")</f>
        <v>#REF!</v>
      </c>
      <c r="FH17" t="e">
        <f>AND('Değerlendirme Formu'!#REF!,"AAAAADHfvqM=")</f>
        <v>#REF!</v>
      </c>
      <c r="FI17" t="e">
        <f>AND('Değerlendirme Formu'!#REF!,"AAAAADHfvqQ=")</f>
        <v>#REF!</v>
      </c>
      <c r="FJ17" t="e">
        <f>IF('Değerlendirme Formu'!#REF!,"AAAAADHfvqU=",0)</f>
        <v>#REF!</v>
      </c>
      <c r="FK17" t="e">
        <f>AND('Değerlendirme Formu'!#REF!,"AAAAADHfvqY=")</f>
        <v>#REF!</v>
      </c>
      <c r="FL17" t="e">
        <f>AND('Değerlendirme Formu'!#REF!,"AAAAADHfvqc=")</f>
        <v>#REF!</v>
      </c>
      <c r="FM17" t="e">
        <f>AND('Değerlendirme Formu'!#REF!,"AAAAADHfvqg=")</f>
        <v>#REF!</v>
      </c>
      <c r="FN17" t="e">
        <f>AND('Değerlendirme Formu'!#REF!,"AAAAADHfvqk=")</f>
        <v>#REF!</v>
      </c>
      <c r="FO17" t="e">
        <f>AND('Değerlendirme Formu'!#REF!,"AAAAADHfvqo=")</f>
        <v>#REF!</v>
      </c>
      <c r="FP17" t="e">
        <f>AND('Değerlendirme Formu'!#REF!,"AAAAADHfvqs=")</f>
        <v>#REF!</v>
      </c>
      <c r="FQ17" t="e">
        <f>AND('Değerlendirme Formu'!#REF!,"AAAAADHfvqw=")</f>
        <v>#REF!</v>
      </c>
      <c r="FR17" t="e">
        <f>AND('Değerlendirme Formu'!#REF!,"AAAAADHfvq0=")</f>
        <v>#REF!</v>
      </c>
      <c r="FS17" t="e">
        <f>AND('Değerlendirme Formu'!#REF!,"AAAAADHfvq4=")</f>
        <v>#REF!</v>
      </c>
      <c r="FT17" t="e">
        <f>AND('Değerlendirme Formu'!#REF!,"AAAAADHfvq8=")</f>
        <v>#REF!</v>
      </c>
      <c r="FU17" t="e">
        <f>AND('Değerlendirme Formu'!#REF!,"AAAAADHfvrA=")</f>
        <v>#REF!</v>
      </c>
      <c r="FV17" t="e">
        <f>AND('Değerlendirme Formu'!#REF!,"AAAAADHfvrE=")</f>
        <v>#REF!</v>
      </c>
      <c r="FW17" t="e">
        <f>AND('Değerlendirme Formu'!#REF!,"AAAAADHfvrI=")</f>
        <v>#REF!</v>
      </c>
      <c r="FX17" t="e">
        <f>AND('Değerlendirme Formu'!#REF!,"AAAAADHfvrM=")</f>
        <v>#REF!</v>
      </c>
      <c r="FY17" t="e">
        <f>AND('Değerlendirme Formu'!#REF!,"AAAAADHfvrQ=")</f>
        <v>#REF!</v>
      </c>
      <c r="FZ17" t="e">
        <f>AND('Değerlendirme Formu'!#REF!,"AAAAADHfvrU=")</f>
        <v>#REF!</v>
      </c>
      <c r="GA17" t="e">
        <f>AND('Değerlendirme Formu'!#REF!,"AAAAADHfvrY=")</f>
        <v>#REF!</v>
      </c>
      <c r="GB17" t="e">
        <f>IF('Değerlendirme Formu'!#REF!,"AAAAADHfvrc=",0)</f>
        <v>#REF!</v>
      </c>
      <c r="GC17" t="e">
        <f>AND('Değerlendirme Formu'!#REF!,"AAAAADHfvrg=")</f>
        <v>#REF!</v>
      </c>
      <c r="GD17" t="e">
        <f>AND('Değerlendirme Formu'!#REF!,"AAAAADHfvrk=")</f>
        <v>#REF!</v>
      </c>
      <c r="GE17" t="e">
        <f>AND('Değerlendirme Formu'!#REF!,"AAAAADHfvro=")</f>
        <v>#REF!</v>
      </c>
      <c r="GF17" t="e">
        <f>AND('Değerlendirme Formu'!#REF!,"AAAAADHfvrs=")</f>
        <v>#REF!</v>
      </c>
      <c r="GG17" t="e">
        <f>AND('Değerlendirme Formu'!#REF!,"AAAAADHfvrw=")</f>
        <v>#REF!</v>
      </c>
      <c r="GH17" t="e">
        <f>AND('Değerlendirme Formu'!#REF!,"AAAAADHfvr0=")</f>
        <v>#REF!</v>
      </c>
      <c r="GI17" t="e">
        <f>AND('Değerlendirme Formu'!#REF!,"AAAAADHfvr4=")</f>
        <v>#REF!</v>
      </c>
      <c r="GJ17" t="e">
        <f>AND('Değerlendirme Formu'!#REF!,"AAAAADHfvr8=")</f>
        <v>#REF!</v>
      </c>
      <c r="GK17" t="e">
        <f>AND('Değerlendirme Formu'!#REF!,"AAAAADHfvsA=")</f>
        <v>#REF!</v>
      </c>
      <c r="GL17" t="e">
        <f>AND('Değerlendirme Formu'!#REF!,"AAAAADHfvsE=")</f>
        <v>#REF!</v>
      </c>
      <c r="GM17" t="e">
        <f>AND('Değerlendirme Formu'!#REF!,"AAAAADHfvsI=")</f>
        <v>#REF!</v>
      </c>
      <c r="GN17" t="e">
        <f>AND('Değerlendirme Formu'!#REF!,"AAAAADHfvsM=")</f>
        <v>#REF!</v>
      </c>
      <c r="GO17" t="e">
        <f>AND('Değerlendirme Formu'!#REF!,"AAAAADHfvsQ=")</f>
        <v>#REF!</v>
      </c>
      <c r="GP17" t="e">
        <f>AND('Değerlendirme Formu'!#REF!,"AAAAADHfvsU=")</f>
        <v>#REF!</v>
      </c>
      <c r="GQ17" t="e">
        <f>AND('Değerlendirme Formu'!#REF!,"AAAAADHfvsY=")</f>
        <v>#REF!</v>
      </c>
      <c r="GR17" t="e">
        <f>AND('Değerlendirme Formu'!#REF!,"AAAAADHfvsc=")</f>
        <v>#REF!</v>
      </c>
      <c r="GS17" t="e">
        <f>AND('Değerlendirme Formu'!#REF!,"AAAAADHfvsg=")</f>
        <v>#REF!</v>
      </c>
      <c r="GT17" t="e">
        <f>IF('Değerlendirme Formu'!#REF!,"AAAAADHfvsk=",0)</f>
        <v>#REF!</v>
      </c>
      <c r="GU17" t="e">
        <f>AND('Değerlendirme Formu'!#REF!,"AAAAADHfvso=")</f>
        <v>#REF!</v>
      </c>
      <c r="GV17" t="e">
        <f>AND('Değerlendirme Formu'!#REF!,"AAAAADHfvss=")</f>
        <v>#REF!</v>
      </c>
      <c r="GW17" t="e">
        <f>AND('Değerlendirme Formu'!#REF!,"AAAAADHfvsw=")</f>
        <v>#REF!</v>
      </c>
      <c r="GX17" t="e">
        <f>AND('Değerlendirme Formu'!#REF!,"AAAAADHfvs0=")</f>
        <v>#REF!</v>
      </c>
      <c r="GY17" t="e">
        <f>AND('Değerlendirme Formu'!#REF!,"AAAAADHfvs4=")</f>
        <v>#REF!</v>
      </c>
      <c r="GZ17" t="e">
        <f>AND('Değerlendirme Formu'!#REF!,"AAAAADHfvs8=")</f>
        <v>#REF!</v>
      </c>
      <c r="HA17" t="e">
        <f>AND('Değerlendirme Formu'!#REF!,"AAAAADHfvtA=")</f>
        <v>#REF!</v>
      </c>
      <c r="HB17" t="e">
        <f>AND('Değerlendirme Formu'!#REF!,"AAAAADHfvtE=")</f>
        <v>#REF!</v>
      </c>
      <c r="HC17" t="e">
        <f>AND('Değerlendirme Formu'!#REF!,"AAAAADHfvtI=")</f>
        <v>#REF!</v>
      </c>
      <c r="HD17" t="e">
        <f>AND('Değerlendirme Formu'!#REF!,"AAAAADHfvtM=")</f>
        <v>#REF!</v>
      </c>
      <c r="HE17" t="e">
        <f>AND('Değerlendirme Formu'!#REF!,"AAAAADHfvtQ=")</f>
        <v>#REF!</v>
      </c>
      <c r="HF17" t="e">
        <f>AND('Değerlendirme Formu'!#REF!,"AAAAADHfvtU=")</f>
        <v>#REF!</v>
      </c>
      <c r="HG17" t="e">
        <f>AND('Değerlendirme Formu'!#REF!,"AAAAADHfvtY=")</f>
        <v>#REF!</v>
      </c>
      <c r="HH17" t="e">
        <f>AND('Değerlendirme Formu'!#REF!,"AAAAADHfvtc=")</f>
        <v>#REF!</v>
      </c>
      <c r="HI17" t="e">
        <f>AND('Değerlendirme Formu'!#REF!,"AAAAADHfvtg=")</f>
        <v>#REF!</v>
      </c>
      <c r="HJ17" t="e">
        <f>AND('Değerlendirme Formu'!#REF!,"AAAAADHfvtk=")</f>
        <v>#REF!</v>
      </c>
      <c r="HK17" t="e">
        <f>AND('Değerlendirme Formu'!#REF!,"AAAAADHfvto=")</f>
        <v>#REF!</v>
      </c>
      <c r="HL17" t="e">
        <f>IF('Değerlendirme Formu'!#REF!,"AAAAADHfvts=",0)</f>
        <v>#REF!</v>
      </c>
      <c r="HM17" t="e">
        <f>AND('Değerlendirme Formu'!#REF!,"AAAAADHfvtw=")</f>
        <v>#REF!</v>
      </c>
      <c r="HN17" t="e">
        <f>AND('Değerlendirme Formu'!#REF!,"AAAAADHfvt0=")</f>
        <v>#REF!</v>
      </c>
      <c r="HO17" t="e">
        <f>AND('Değerlendirme Formu'!#REF!,"AAAAADHfvt4=")</f>
        <v>#REF!</v>
      </c>
      <c r="HP17" t="e">
        <f>AND('Değerlendirme Formu'!#REF!,"AAAAADHfvt8=")</f>
        <v>#REF!</v>
      </c>
      <c r="HQ17" t="e">
        <f>AND('Değerlendirme Formu'!#REF!,"AAAAADHfvuA=")</f>
        <v>#REF!</v>
      </c>
      <c r="HR17" t="e">
        <f>AND('Değerlendirme Formu'!#REF!,"AAAAADHfvuE=")</f>
        <v>#REF!</v>
      </c>
      <c r="HS17" t="e">
        <f>AND('Değerlendirme Formu'!#REF!,"AAAAADHfvuI=")</f>
        <v>#REF!</v>
      </c>
      <c r="HT17" t="e">
        <f>AND('Değerlendirme Formu'!#REF!,"AAAAADHfvuM=")</f>
        <v>#REF!</v>
      </c>
      <c r="HU17" t="e">
        <f>AND('Değerlendirme Formu'!#REF!,"AAAAADHfvuQ=")</f>
        <v>#REF!</v>
      </c>
      <c r="HV17" t="e">
        <f>AND('Değerlendirme Formu'!#REF!,"AAAAADHfvuU=")</f>
        <v>#REF!</v>
      </c>
      <c r="HW17" t="e">
        <f>AND('Değerlendirme Formu'!#REF!,"AAAAADHfvuY=")</f>
        <v>#REF!</v>
      </c>
      <c r="HX17" t="e">
        <f>AND('Değerlendirme Formu'!#REF!,"AAAAADHfvuc=")</f>
        <v>#REF!</v>
      </c>
      <c r="HY17" t="e">
        <f>AND('Değerlendirme Formu'!#REF!,"AAAAADHfvug=")</f>
        <v>#REF!</v>
      </c>
      <c r="HZ17" t="e">
        <f>AND('Değerlendirme Formu'!#REF!,"AAAAADHfvuk=")</f>
        <v>#REF!</v>
      </c>
      <c r="IA17" t="e">
        <f>AND('Değerlendirme Formu'!#REF!,"AAAAADHfvuo=")</f>
        <v>#REF!</v>
      </c>
      <c r="IB17" t="e">
        <f>AND('Değerlendirme Formu'!#REF!,"AAAAADHfvus=")</f>
        <v>#REF!</v>
      </c>
      <c r="IC17" t="e">
        <f>AND('Değerlendirme Formu'!#REF!,"AAAAADHfvuw=")</f>
        <v>#REF!</v>
      </c>
      <c r="ID17" t="e">
        <f>IF('Değerlendirme Formu'!#REF!,"AAAAADHfvu0=",0)</f>
        <v>#REF!</v>
      </c>
      <c r="IE17" t="e">
        <f>AND('Değerlendirme Formu'!#REF!,"AAAAADHfvu4=")</f>
        <v>#REF!</v>
      </c>
      <c r="IF17" t="e">
        <f>AND('Değerlendirme Formu'!#REF!,"AAAAADHfvu8=")</f>
        <v>#REF!</v>
      </c>
      <c r="IG17" t="e">
        <f>AND('Değerlendirme Formu'!#REF!,"AAAAADHfvvA=")</f>
        <v>#REF!</v>
      </c>
      <c r="IH17" t="e">
        <f>AND('Değerlendirme Formu'!#REF!,"AAAAADHfvvE=")</f>
        <v>#REF!</v>
      </c>
      <c r="II17" t="e">
        <f>AND('Değerlendirme Formu'!#REF!,"AAAAADHfvvI=")</f>
        <v>#REF!</v>
      </c>
      <c r="IJ17" t="e">
        <f>AND('Değerlendirme Formu'!#REF!,"AAAAADHfvvM=")</f>
        <v>#REF!</v>
      </c>
      <c r="IK17" t="e">
        <f>AND('Değerlendirme Formu'!#REF!,"AAAAADHfvvQ=")</f>
        <v>#REF!</v>
      </c>
      <c r="IL17" t="e">
        <f>AND('Değerlendirme Formu'!#REF!,"AAAAADHfvvU=")</f>
        <v>#REF!</v>
      </c>
      <c r="IM17" t="e">
        <f>AND('Değerlendirme Formu'!#REF!,"AAAAADHfvvY=")</f>
        <v>#REF!</v>
      </c>
      <c r="IN17" t="e">
        <f>AND('Değerlendirme Formu'!#REF!,"AAAAADHfvvc=")</f>
        <v>#REF!</v>
      </c>
      <c r="IO17" t="e">
        <f>AND('Değerlendirme Formu'!#REF!,"AAAAADHfvvg=")</f>
        <v>#REF!</v>
      </c>
      <c r="IP17" t="e">
        <f>AND('Değerlendirme Formu'!#REF!,"AAAAADHfvvk=")</f>
        <v>#REF!</v>
      </c>
      <c r="IQ17" t="e">
        <f>AND('Değerlendirme Formu'!#REF!,"AAAAADHfvvo=")</f>
        <v>#REF!</v>
      </c>
      <c r="IR17" t="e">
        <f>AND('Değerlendirme Formu'!#REF!,"AAAAADHfvvs=")</f>
        <v>#REF!</v>
      </c>
      <c r="IS17" t="e">
        <f>AND('Değerlendirme Formu'!#REF!,"AAAAADHfvvw=")</f>
        <v>#REF!</v>
      </c>
      <c r="IT17" t="e">
        <f>AND('Değerlendirme Formu'!#REF!,"AAAAADHfvv0=")</f>
        <v>#REF!</v>
      </c>
      <c r="IU17" t="e">
        <f>AND('Değerlendirme Formu'!#REF!,"AAAAADHfvv4=")</f>
        <v>#REF!</v>
      </c>
      <c r="IV17" t="e">
        <f>IF('Değerlendirme Formu'!#REF!,"AAAAADHfvv8=",0)</f>
        <v>#REF!</v>
      </c>
    </row>
    <row r="18" spans="1:256" x14ac:dyDescent="0.2">
      <c r="A18" t="e">
        <f>AND('Değerlendirme Formu'!#REF!,"AAAAAH/9/gA=")</f>
        <v>#REF!</v>
      </c>
      <c r="B18" t="e">
        <f>AND('Değerlendirme Formu'!#REF!,"AAAAAH/9/gE=")</f>
        <v>#REF!</v>
      </c>
      <c r="C18" t="e">
        <f>AND('Değerlendirme Formu'!#REF!,"AAAAAH/9/gI=")</f>
        <v>#REF!</v>
      </c>
      <c r="D18" t="e">
        <f>AND('Değerlendirme Formu'!#REF!,"AAAAAH/9/gM=")</f>
        <v>#REF!</v>
      </c>
      <c r="E18" t="e">
        <f>AND('Değerlendirme Formu'!#REF!,"AAAAAH/9/gQ=")</f>
        <v>#REF!</v>
      </c>
      <c r="F18" t="e">
        <f>AND('Değerlendirme Formu'!#REF!,"AAAAAH/9/gU=")</f>
        <v>#REF!</v>
      </c>
      <c r="G18" t="e">
        <f>AND('Değerlendirme Formu'!#REF!,"AAAAAH/9/gY=")</f>
        <v>#REF!</v>
      </c>
      <c r="H18" t="e">
        <f>AND('Değerlendirme Formu'!#REF!,"AAAAAH/9/gc=")</f>
        <v>#REF!</v>
      </c>
      <c r="I18" t="e">
        <f>AND('Değerlendirme Formu'!#REF!,"AAAAAH/9/gg=")</f>
        <v>#REF!</v>
      </c>
      <c r="J18" t="e">
        <f>AND('Değerlendirme Formu'!#REF!,"AAAAAH/9/gk=")</f>
        <v>#REF!</v>
      </c>
      <c r="K18" t="e">
        <f>AND('Değerlendirme Formu'!#REF!,"AAAAAH/9/go=")</f>
        <v>#REF!</v>
      </c>
      <c r="L18" t="e">
        <f>AND('Değerlendirme Formu'!#REF!,"AAAAAH/9/gs=")</f>
        <v>#REF!</v>
      </c>
      <c r="M18" t="e">
        <f>AND('Değerlendirme Formu'!#REF!,"AAAAAH/9/gw=")</f>
        <v>#REF!</v>
      </c>
      <c r="N18" t="e">
        <f>AND('Değerlendirme Formu'!#REF!,"AAAAAH/9/g0=")</f>
        <v>#REF!</v>
      </c>
      <c r="O18" t="e">
        <f>AND('Değerlendirme Formu'!#REF!,"AAAAAH/9/g4=")</f>
        <v>#REF!</v>
      </c>
      <c r="P18" t="e">
        <f>AND('Değerlendirme Formu'!#REF!,"AAAAAH/9/g8=")</f>
        <v>#REF!</v>
      </c>
      <c r="Q18" t="e">
        <f>AND('Değerlendirme Formu'!#REF!,"AAAAAH/9/hA=")</f>
        <v>#REF!</v>
      </c>
      <c r="R18" t="e">
        <f>IF('Değerlendirme Formu'!#REF!,"AAAAAH/9/hE=",0)</f>
        <v>#REF!</v>
      </c>
      <c r="S18" t="e">
        <f>AND('Değerlendirme Formu'!#REF!,"AAAAAH/9/hI=")</f>
        <v>#REF!</v>
      </c>
      <c r="T18" t="e">
        <f>AND('Değerlendirme Formu'!#REF!,"AAAAAH/9/hM=")</f>
        <v>#REF!</v>
      </c>
      <c r="U18" t="e">
        <f>AND('Değerlendirme Formu'!#REF!,"AAAAAH/9/hQ=")</f>
        <v>#REF!</v>
      </c>
      <c r="V18" t="e">
        <f>AND('Değerlendirme Formu'!#REF!,"AAAAAH/9/hU=")</f>
        <v>#REF!</v>
      </c>
      <c r="W18" t="e">
        <f>AND('Değerlendirme Formu'!#REF!,"AAAAAH/9/hY=")</f>
        <v>#REF!</v>
      </c>
      <c r="X18" t="e">
        <f>AND('Değerlendirme Formu'!#REF!,"AAAAAH/9/hc=")</f>
        <v>#REF!</v>
      </c>
      <c r="Y18" t="e">
        <f>AND('Değerlendirme Formu'!#REF!,"AAAAAH/9/hg=")</f>
        <v>#REF!</v>
      </c>
      <c r="Z18" t="e">
        <f>AND('Değerlendirme Formu'!#REF!,"AAAAAH/9/hk=")</f>
        <v>#REF!</v>
      </c>
      <c r="AA18" t="e">
        <f>AND('Değerlendirme Formu'!#REF!,"AAAAAH/9/ho=")</f>
        <v>#REF!</v>
      </c>
      <c r="AB18" t="e">
        <f>AND('Değerlendirme Formu'!#REF!,"AAAAAH/9/hs=")</f>
        <v>#REF!</v>
      </c>
      <c r="AC18" t="e">
        <f>AND('Değerlendirme Formu'!#REF!,"AAAAAH/9/hw=")</f>
        <v>#REF!</v>
      </c>
      <c r="AD18" t="e">
        <f>AND('Değerlendirme Formu'!#REF!,"AAAAAH/9/h0=")</f>
        <v>#REF!</v>
      </c>
      <c r="AE18" t="e">
        <f>AND('Değerlendirme Formu'!#REF!,"AAAAAH/9/h4=")</f>
        <v>#REF!</v>
      </c>
      <c r="AF18" t="e">
        <f>AND('Değerlendirme Formu'!#REF!,"AAAAAH/9/h8=")</f>
        <v>#REF!</v>
      </c>
      <c r="AG18" t="e">
        <f>AND('Değerlendirme Formu'!#REF!,"AAAAAH/9/iA=")</f>
        <v>#REF!</v>
      </c>
      <c r="AH18" t="e">
        <f>AND('Değerlendirme Formu'!#REF!,"AAAAAH/9/iE=")</f>
        <v>#REF!</v>
      </c>
      <c r="AI18" t="e">
        <f>AND('Değerlendirme Formu'!#REF!,"AAAAAH/9/iI=")</f>
        <v>#REF!</v>
      </c>
      <c r="AJ18">
        <f>IF('Değerlendirme Formu'!311:311,"AAAAAH/9/iM=",0)</f>
        <v>0</v>
      </c>
      <c r="AK18" t="e">
        <f>AND('Değerlendirme Formu'!A311,"AAAAAH/9/iQ=")</f>
        <v>#VALUE!</v>
      </c>
      <c r="AL18" t="e">
        <f>AND('Değerlendirme Formu'!B311,"AAAAAH/9/iU=")</f>
        <v>#VALUE!</v>
      </c>
      <c r="AM18" t="e">
        <f>AND('Değerlendirme Formu'!#REF!,"AAAAAH/9/iY=")</f>
        <v>#REF!</v>
      </c>
      <c r="AN18" t="e">
        <f>AND('Değerlendirme Formu'!C311,"AAAAAH/9/ic=")</f>
        <v>#VALUE!</v>
      </c>
      <c r="AO18" t="e">
        <f>AND('Değerlendirme Formu'!D311,"AAAAAH/9/ig=")</f>
        <v>#VALUE!</v>
      </c>
      <c r="AP18" t="e">
        <f>AND('Değerlendirme Formu'!E311,"AAAAAH/9/ik=")</f>
        <v>#VALUE!</v>
      </c>
      <c r="AQ18" t="e">
        <f>AND('Değerlendirme Formu'!#REF!,"AAAAAH/9/io=")</f>
        <v>#REF!</v>
      </c>
      <c r="AR18" t="e">
        <f>AND('Değerlendirme Formu'!#REF!,"AAAAAH/9/is=")</f>
        <v>#REF!</v>
      </c>
      <c r="AS18" t="e">
        <f>AND('Değerlendirme Formu'!F311,"AAAAAH/9/iw=")</f>
        <v>#VALUE!</v>
      </c>
      <c r="AT18" t="e">
        <f>AND('Değerlendirme Formu'!#REF!,"AAAAAH/9/i0=")</f>
        <v>#REF!</v>
      </c>
      <c r="AU18" t="e">
        <f>AND('Değerlendirme Formu'!#REF!,"AAAAAH/9/i4=")</f>
        <v>#REF!</v>
      </c>
      <c r="AV18" t="e">
        <f>AND('Değerlendirme Formu'!#REF!,"AAAAAH/9/i8=")</f>
        <v>#REF!</v>
      </c>
      <c r="AW18" t="e">
        <f>AND('Değerlendirme Formu'!#REF!,"AAAAAH/9/jA=")</f>
        <v>#REF!</v>
      </c>
      <c r="AX18" t="e">
        <f>AND('Değerlendirme Formu'!#REF!,"AAAAAH/9/jE=")</f>
        <v>#REF!</v>
      </c>
      <c r="AY18" t="e">
        <f>AND('Değerlendirme Formu'!G311,"AAAAAH/9/jI=")</f>
        <v>#VALUE!</v>
      </c>
      <c r="AZ18" t="e">
        <f>AND('Değerlendirme Formu'!H311,"AAAAAH/9/jM=")</f>
        <v>#VALUE!</v>
      </c>
      <c r="BA18" t="e">
        <f>AND('Değerlendirme Formu'!I311,"AAAAAH/9/jQ=")</f>
        <v>#VALUE!</v>
      </c>
      <c r="BB18">
        <f>IF('Değerlendirme Formu'!312:312,"AAAAAH/9/jU=",0)</f>
        <v>0</v>
      </c>
      <c r="BC18" t="b">
        <f>AND('Değerlendirme Formu'!A312,"AAAAAH/9/jY=")</f>
        <v>1</v>
      </c>
      <c r="BD18" t="e">
        <f>AND('Değerlendirme Formu'!B312,"AAAAAH/9/jc=")</f>
        <v>#VALUE!</v>
      </c>
      <c r="BE18" t="e">
        <f>AND('Değerlendirme Formu'!#REF!,"AAAAAH/9/jg=")</f>
        <v>#REF!</v>
      </c>
      <c r="BF18" t="e">
        <f>AND('Değerlendirme Formu'!C312,"AAAAAH/9/jk=")</f>
        <v>#VALUE!</v>
      </c>
      <c r="BG18" t="b">
        <f>AND('Değerlendirme Formu'!D312,"AAAAAH/9/jo=")</f>
        <v>1</v>
      </c>
      <c r="BH18" t="b">
        <f>AND('Değerlendirme Formu'!E312,"AAAAAH/9/js=")</f>
        <v>0</v>
      </c>
      <c r="BI18" t="e">
        <f>AND('Değerlendirme Formu'!#REF!,"AAAAAH/9/jw=")</f>
        <v>#REF!</v>
      </c>
      <c r="BJ18" t="e">
        <f>AND('Değerlendirme Formu'!#REF!,"AAAAAH/9/j0=")</f>
        <v>#REF!</v>
      </c>
      <c r="BK18" t="e">
        <f>AND('Değerlendirme Formu'!F312,"AAAAAH/9/j4=")</f>
        <v>#VALUE!</v>
      </c>
      <c r="BL18" t="e">
        <f>AND('Değerlendirme Formu'!#REF!,"AAAAAH/9/j8=")</f>
        <v>#REF!</v>
      </c>
      <c r="BM18" t="e">
        <f>AND('Değerlendirme Formu'!#REF!,"AAAAAH/9/kA=")</f>
        <v>#REF!</v>
      </c>
      <c r="BN18" t="e">
        <f>AND('Değerlendirme Formu'!#REF!,"AAAAAH/9/kE=")</f>
        <v>#REF!</v>
      </c>
      <c r="BO18" t="e">
        <f>AND('Değerlendirme Formu'!#REF!,"AAAAAH/9/kI=")</f>
        <v>#REF!</v>
      </c>
      <c r="BP18" t="e">
        <f>AND('Değerlendirme Formu'!#REF!,"AAAAAH/9/kM=")</f>
        <v>#REF!</v>
      </c>
      <c r="BQ18" t="e">
        <f>AND('Değerlendirme Formu'!G312,"AAAAAH/9/kQ=")</f>
        <v>#VALUE!</v>
      </c>
      <c r="BR18" t="e">
        <f>AND('Değerlendirme Formu'!H312,"AAAAAH/9/kU=")</f>
        <v>#VALUE!</v>
      </c>
      <c r="BS18" t="e">
        <f>AND('Değerlendirme Formu'!I312,"AAAAAH/9/kY=")</f>
        <v>#VALUE!</v>
      </c>
      <c r="BT18">
        <f>IF('Değerlendirme Formu'!313:313,"AAAAAH/9/kc=",0)</f>
        <v>0</v>
      </c>
      <c r="BU18" t="b">
        <f>AND('Değerlendirme Formu'!A313,"AAAAAH/9/kg=")</f>
        <v>1</v>
      </c>
      <c r="BV18" t="e">
        <f>AND('Değerlendirme Formu'!B313,"AAAAAH/9/kk=")</f>
        <v>#VALUE!</v>
      </c>
      <c r="BW18" t="e">
        <f>AND('Değerlendirme Formu'!#REF!,"AAAAAH/9/ko=")</f>
        <v>#REF!</v>
      </c>
      <c r="BX18" t="e">
        <f>AND('Değerlendirme Formu'!C313,"AAAAAH/9/ks=")</f>
        <v>#VALUE!</v>
      </c>
      <c r="BY18" t="b">
        <f>AND('Değerlendirme Formu'!D313,"AAAAAH/9/kw=")</f>
        <v>1</v>
      </c>
      <c r="BZ18" t="b">
        <f>AND('Değerlendirme Formu'!E313,"AAAAAH/9/k0=")</f>
        <v>0</v>
      </c>
      <c r="CA18" t="e">
        <f>AND('Değerlendirme Formu'!#REF!,"AAAAAH/9/k4=")</f>
        <v>#REF!</v>
      </c>
      <c r="CB18" t="e">
        <f>AND('Değerlendirme Formu'!#REF!,"AAAAAH/9/k8=")</f>
        <v>#REF!</v>
      </c>
      <c r="CC18" t="e">
        <f>AND('Değerlendirme Formu'!F313,"AAAAAH/9/lA=")</f>
        <v>#VALUE!</v>
      </c>
      <c r="CD18" t="e">
        <f>AND('Değerlendirme Formu'!#REF!,"AAAAAH/9/lE=")</f>
        <v>#REF!</v>
      </c>
      <c r="CE18" t="e">
        <f>AND('Değerlendirme Formu'!#REF!,"AAAAAH/9/lI=")</f>
        <v>#REF!</v>
      </c>
      <c r="CF18" t="e">
        <f>AND('Değerlendirme Formu'!#REF!,"AAAAAH/9/lM=")</f>
        <v>#REF!</v>
      </c>
      <c r="CG18" t="e">
        <f>AND('Değerlendirme Formu'!#REF!,"AAAAAH/9/lQ=")</f>
        <v>#REF!</v>
      </c>
      <c r="CH18" t="e">
        <f>AND('Değerlendirme Formu'!#REF!,"AAAAAH/9/lU=")</f>
        <v>#REF!</v>
      </c>
      <c r="CI18" t="e">
        <f>AND('Değerlendirme Formu'!#REF!,"AAAAAH/9/lY=")</f>
        <v>#REF!</v>
      </c>
      <c r="CJ18" t="e">
        <f>AND('Değerlendirme Formu'!#REF!,"AAAAAH/9/lc=")</f>
        <v>#REF!</v>
      </c>
      <c r="CK18" t="e">
        <f>AND('Değerlendirme Formu'!#REF!,"AAAAAH/9/lg=")</f>
        <v>#REF!</v>
      </c>
      <c r="CL18" t="e">
        <f>IF('Değerlendirme Formu'!#REF!,"AAAAAH/9/lk=",0)</f>
        <v>#REF!</v>
      </c>
      <c r="CM18" t="e">
        <f>AND('Değerlendirme Formu'!#REF!,"AAAAAH/9/lo=")</f>
        <v>#REF!</v>
      </c>
      <c r="CN18" t="e">
        <f>AND('Değerlendirme Formu'!#REF!,"AAAAAH/9/ls=")</f>
        <v>#REF!</v>
      </c>
      <c r="CO18" t="e">
        <f>AND('Değerlendirme Formu'!#REF!,"AAAAAH/9/lw=")</f>
        <v>#REF!</v>
      </c>
      <c r="CP18" t="e">
        <f>AND('Değerlendirme Formu'!#REF!,"AAAAAH/9/l0=")</f>
        <v>#REF!</v>
      </c>
      <c r="CQ18" t="e">
        <f>AND('Değerlendirme Formu'!#REF!,"AAAAAH/9/l4=")</f>
        <v>#REF!</v>
      </c>
      <c r="CR18" t="e">
        <f>AND('Değerlendirme Formu'!#REF!,"AAAAAH/9/l8=")</f>
        <v>#REF!</v>
      </c>
      <c r="CS18" t="e">
        <f>AND('Değerlendirme Formu'!#REF!,"AAAAAH/9/mA=")</f>
        <v>#REF!</v>
      </c>
      <c r="CT18" t="e">
        <f>AND('Değerlendirme Formu'!#REF!,"AAAAAH/9/mE=")</f>
        <v>#REF!</v>
      </c>
      <c r="CU18" t="e">
        <f>AND('Değerlendirme Formu'!#REF!,"AAAAAH/9/mI=")</f>
        <v>#REF!</v>
      </c>
      <c r="CV18" t="e">
        <f>AND('Değerlendirme Formu'!#REF!,"AAAAAH/9/mM=")</f>
        <v>#REF!</v>
      </c>
      <c r="CW18" t="e">
        <f>AND('Değerlendirme Formu'!#REF!,"AAAAAH/9/mQ=")</f>
        <v>#REF!</v>
      </c>
      <c r="CX18" t="e">
        <f>AND('Değerlendirme Formu'!#REF!,"AAAAAH/9/mU=")</f>
        <v>#REF!</v>
      </c>
      <c r="CY18" t="e">
        <f>AND('Değerlendirme Formu'!#REF!,"AAAAAH/9/mY=")</f>
        <v>#REF!</v>
      </c>
      <c r="CZ18" t="e">
        <f>AND('Değerlendirme Formu'!#REF!,"AAAAAH/9/mc=")</f>
        <v>#REF!</v>
      </c>
      <c r="DA18" t="e">
        <f>AND('Değerlendirme Formu'!#REF!,"AAAAAH/9/mg=")</f>
        <v>#REF!</v>
      </c>
      <c r="DB18" t="e">
        <f>AND('Değerlendirme Formu'!#REF!,"AAAAAH/9/mk=")</f>
        <v>#REF!</v>
      </c>
      <c r="DC18" t="e">
        <f>AND('Değerlendirme Formu'!#REF!,"AAAAAH/9/mo=")</f>
        <v>#REF!</v>
      </c>
      <c r="DD18">
        <f>IF('Değerlendirme Formu'!314:314,"AAAAAH/9/ms=",0)</f>
        <v>0</v>
      </c>
      <c r="DE18" t="b">
        <f>AND('Değerlendirme Formu'!A314,"AAAAAH/9/mw=")</f>
        <v>1</v>
      </c>
      <c r="DF18" t="e">
        <f>AND('Değerlendirme Formu'!B314,"AAAAAH/9/m0=")</f>
        <v>#VALUE!</v>
      </c>
      <c r="DG18" t="e">
        <f>AND('Değerlendirme Formu'!#REF!,"AAAAAH/9/m4=")</f>
        <v>#REF!</v>
      </c>
      <c r="DH18" t="e">
        <f>AND('Değerlendirme Formu'!C314,"AAAAAH/9/m8=")</f>
        <v>#VALUE!</v>
      </c>
      <c r="DI18" t="b">
        <f>AND('Değerlendirme Formu'!D314,"AAAAAH/9/nA=")</f>
        <v>1</v>
      </c>
      <c r="DJ18" t="b">
        <f>AND('Değerlendirme Formu'!E314,"AAAAAH/9/nE=")</f>
        <v>0</v>
      </c>
      <c r="DK18" t="e">
        <f>AND('Değerlendirme Formu'!#REF!,"AAAAAH/9/nI=")</f>
        <v>#REF!</v>
      </c>
      <c r="DL18" t="e">
        <f>AND('Değerlendirme Formu'!#REF!,"AAAAAH/9/nM=")</f>
        <v>#REF!</v>
      </c>
      <c r="DM18" t="e">
        <f>AND('Değerlendirme Formu'!F314,"AAAAAH/9/nQ=")</f>
        <v>#VALUE!</v>
      </c>
      <c r="DN18" t="e">
        <f>AND('Değerlendirme Formu'!#REF!,"AAAAAH/9/nU=")</f>
        <v>#REF!</v>
      </c>
      <c r="DO18" t="e">
        <f>AND('Değerlendirme Formu'!#REF!,"AAAAAH/9/nY=")</f>
        <v>#REF!</v>
      </c>
      <c r="DP18" t="e">
        <f>AND('Değerlendirme Formu'!#REF!,"AAAAAH/9/nc=")</f>
        <v>#REF!</v>
      </c>
      <c r="DQ18" t="e">
        <f>AND('Değerlendirme Formu'!#REF!,"AAAAAH/9/ng=")</f>
        <v>#REF!</v>
      </c>
      <c r="DR18" t="e">
        <f>AND('Değerlendirme Formu'!#REF!,"AAAAAH/9/nk=")</f>
        <v>#REF!</v>
      </c>
      <c r="DS18" t="e">
        <f>AND('Değerlendirme Formu'!G314,"AAAAAH/9/no=")</f>
        <v>#VALUE!</v>
      </c>
      <c r="DT18" t="e">
        <f>AND('Değerlendirme Formu'!H314,"AAAAAH/9/ns=")</f>
        <v>#VALUE!</v>
      </c>
      <c r="DU18" t="e">
        <f>AND('Değerlendirme Formu'!I314,"AAAAAH/9/nw=")</f>
        <v>#VALUE!</v>
      </c>
      <c r="DV18" t="e">
        <f>IF('Değerlendirme Formu'!#REF!,"AAAAAH/9/n0=",0)</f>
        <v>#REF!</v>
      </c>
      <c r="DW18" t="e">
        <f>AND('Değerlendirme Formu'!#REF!,"AAAAAH/9/n4=")</f>
        <v>#REF!</v>
      </c>
      <c r="DX18" t="e">
        <f>AND('Değerlendirme Formu'!#REF!,"AAAAAH/9/n8=")</f>
        <v>#REF!</v>
      </c>
      <c r="DY18" t="e">
        <f>AND('Değerlendirme Formu'!#REF!,"AAAAAH/9/oA=")</f>
        <v>#REF!</v>
      </c>
      <c r="DZ18" t="e">
        <f>AND('Değerlendirme Formu'!#REF!,"AAAAAH/9/oE=")</f>
        <v>#REF!</v>
      </c>
      <c r="EA18" t="e">
        <f>AND('Değerlendirme Formu'!#REF!,"AAAAAH/9/oI=")</f>
        <v>#REF!</v>
      </c>
      <c r="EB18" t="e">
        <f>AND('Değerlendirme Formu'!#REF!,"AAAAAH/9/oM=")</f>
        <v>#REF!</v>
      </c>
      <c r="EC18" t="e">
        <f>AND('Değerlendirme Formu'!#REF!,"AAAAAH/9/oQ=")</f>
        <v>#REF!</v>
      </c>
      <c r="ED18" t="e">
        <f>AND('Değerlendirme Formu'!#REF!,"AAAAAH/9/oU=")</f>
        <v>#REF!</v>
      </c>
      <c r="EE18" t="e">
        <f>AND('Değerlendirme Formu'!#REF!,"AAAAAH/9/oY=")</f>
        <v>#REF!</v>
      </c>
      <c r="EF18" t="e">
        <f>AND('Değerlendirme Formu'!#REF!,"AAAAAH/9/oc=")</f>
        <v>#REF!</v>
      </c>
      <c r="EG18" t="e">
        <f>AND('Değerlendirme Formu'!#REF!,"AAAAAH/9/og=")</f>
        <v>#REF!</v>
      </c>
      <c r="EH18" t="e">
        <f>AND('Değerlendirme Formu'!#REF!,"AAAAAH/9/ok=")</f>
        <v>#REF!</v>
      </c>
      <c r="EI18" t="e">
        <f>AND('Değerlendirme Formu'!#REF!,"AAAAAH/9/oo=")</f>
        <v>#REF!</v>
      </c>
      <c r="EJ18" t="e">
        <f>AND('Değerlendirme Formu'!#REF!,"AAAAAH/9/os=")</f>
        <v>#REF!</v>
      </c>
      <c r="EK18" t="e">
        <f>AND('Değerlendirme Formu'!#REF!,"AAAAAH/9/ow=")</f>
        <v>#REF!</v>
      </c>
      <c r="EL18" t="e">
        <f>AND('Değerlendirme Formu'!#REF!,"AAAAAH/9/o0=")</f>
        <v>#REF!</v>
      </c>
      <c r="EM18" t="e">
        <f>AND('Değerlendirme Formu'!#REF!,"AAAAAH/9/o4=")</f>
        <v>#REF!</v>
      </c>
      <c r="EN18">
        <f>IF('Değerlendirme Formu'!315:315,"AAAAAH/9/o8=",0)</f>
        <v>0</v>
      </c>
      <c r="EO18" t="b">
        <f>AND('Değerlendirme Formu'!A315,"AAAAAH/9/pA=")</f>
        <v>1</v>
      </c>
      <c r="EP18" t="e">
        <f>AND('Değerlendirme Formu'!B315,"AAAAAH/9/pE=")</f>
        <v>#VALUE!</v>
      </c>
      <c r="EQ18" t="e">
        <f>AND('Değerlendirme Formu'!#REF!,"AAAAAH/9/pI=")</f>
        <v>#REF!</v>
      </c>
      <c r="ER18" t="e">
        <f>AND('Değerlendirme Formu'!C315,"AAAAAH/9/pM=")</f>
        <v>#VALUE!</v>
      </c>
      <c r="ES18" t="b">
        <f>AND('Değerlendirme Formu'!D315,"AAAAAH/9/pQ=")</f>
        <v>1</v>
      </c>
      <c r="ET18" t="b">
        <f>AND('Değerlendirme Formu'!E315,"AAAAAH/9/pU=")</f>
        <v>0</v>
      </c>
      <c r="EU18" t="e">
        <f>AND('Değerlendirme Formu'!#REF!,"AAAAAH/9/pY=")</f>
        <v>#REF!</v>
      </c>
      <c r="EV18" t="e">
        <f>AND('Değerlendirme Formu'!#REF!,"AAAAAH/9/pc=")</f>
        <v>#REF!</v>
      </c>
      <c r="EW18" t="e">
        <f>AND('Değerlendirme Formu'!F315,"AAAAAH/9/pg=")</f>
        <v>#VALUE!</v>
      </c>
      <c r="EX18" t="e">
        <f>AND('Değerlendirme Formu'!#REF!,"AAAAAH/9/pk=")</f>
        <v>#REF!</v>
      </c>
      <c r="EY18" t="e">
        <f>AND('Değerlendirme Formu'!#REF!,"AAAAAH/9/po=")</f>
        <v>#REF!</v>
      </c>
      <c r="EZ18" t="e">
        <f>AND('Değerlendirme Formu'!#REF!,"AAAAAH/9/ps=")</f>
        <v>#REF!</v>
      </c>
      <c r="FA18" t="e">
        <f>AND('Değerlendirme Formu'!#REF!,"AAAAAH/9/pw=")</f>
        <v>#REF!</v>
      </c>
      <c r="FB18" t="e">
        <f>AND('Değerlendirme Formu'!#REF!,"AAAAAH/9/p0=")</f>
        <v>#REF!</v>
      </c>
      <c r="FC18" t="e">
        <f>AND('Değerlendirme Formu'!G315,"AAAAAH/9/p4=")</f>
        <v>#VALUE!</v>
      </c>
      <c r="FD18" t="e">
        <f>AND('Değerlendirme Formu'!H315,"AAAAAH/9/p8=")</f>
        <v>#VALUE!</v>
      </c>
      <c r="FE18" t="e">
        <f>AND('Değerlendirme Formu'!I315,"AAAAAH/9/qA=")</f>
        <v>#VALUE!</v>
      </c>
      <c r="FF18">
        <f>IF('Değerlendirme Formu'!316:316,"AAAAAH/9/qE=",0)</f>
        <v>0</v>
      </c>
      <c r="FG18" t="b">
        <f>AND('Değerlendirme Formu'!A316,"AAAAAH/9/qI=")</f>
        <v>1</v>
      </c>
      <c r="FH18" t="e">
        <f>AND('Değerlendirme Formu'!B316,"AAAAAH/9/qM=")</f>
        <v>#VALUE!</v>
      </c>
      <c r="FI18" t="e">
        <f>AND('Değerlendirme Formu'!#REF!,"AAAAAH/9/qQ=")</f>
        <v>#REF!</v>
      </c>
      <c r="FJ18" t="e">
        <f>AND('Değerlendirme Formu'!C316,"AAAAAH/9/qU=")</f>
        <v>#VALUE!</v>
      </c>
      <c r="FK18" t="b">
        <f>AND('Değerlendirme Formu'!D316,"AAAAAH/9/qY=")</f>
        <v>1</v>
      </c>
      <c r="FL18" t="b">
        <f>AND('Değerlendirme Formu'!E316,"AAAAAH/9/qc=")</f>
        <v>0</v>
      </c>
      <c r="FM18" t="e">
        <f>AND('Değerlendirme Formu'!#REF!,"AAAAAH/9/qg=")</f>
        <v>#REF!</v>
      </c>
      <c r="FN18" t="e">
        <f>AND('Değerlendirme Formu'!#REF!,"AAAAAH/9/qk=")</f>
        <v>#REF!</v>
      </c>
      <c r="FO18" t="e">
        <f>AND('Değerlendirme Formu'!F316,"AAAAAH/9/qo=")</f>
        <v>#VALUE!</v>
      </c>
      <c r="FP18" t="e">
        <f>AND('Değerlendirme Formu'!#REF!,"AAAAAH/9/qs=")</f>
        <v>#REF!</v>
      </c>
      <c r="FQ18" t="e">
        <f>AND('Değerlendirme Formu'!#REF!,"AAAAAH/9/qw=")</f>
        <v>#REF!</v>
      </c>
      <c r="FR18" t="e">
        <f>AND('Değerlendirme Formu'!#REF!,"AAAAAH/9/q0=")</f>
        <v>#REF!</v>
      </c>
      <c r="FS18" t="e">
        <f>AND('Değerlendirme Formu'!#REF!,"AAAAAH/9/q4=")</f>
        <v>#REF!</v>
      </c>
      <c r="FT18" t="e">
        <f>AND('Değerlendirme Formu'!#REF!,"AAAAAH/9/q8=")</f>
        <v>#REF!</v>
      </c>
      <c r="FU18" t="e">
        <f>AND('Değerlendirme Formu'!G316,"AAAAAH/9/rA=")</f>
        <v>#VALUE!</v>
      </c>
      <c r="FV18" t="e">
        <f>AND('Değerlendirme Formu'!H316,"AAAAAH/9/rE=")</f>
        <v>#VALUE!</v>
      </c>
      <c r="FW18" t="e">
        <f>AND('Değerlendirme Formu'!I316,"AAAAAH/9/rI=")</f>
        <v>#VALUE!</v>
      </c>
      <c r="FX18">
        <f>IF('Değerlendirme Formu'!319:319,"AAAAAH/9/rM=",0)</f>
        <v>0</v>
      </c>
      <c r="FY18" t="b">
        <f>AND('Değerlendirme Formu'!A319,"AAAAAH/9/rQ=")</f>
        <v>1</v>
      </c>
      <c r="FZ18" t="e">
        <f>AND('Değerlendirme Formu'!B319,"AAAAAH/9/rU=")</f>
        <v>#VALUE!</v>
      </c>
      <c r="GA18" t="e">
        <f>AND('Değerlendirme Formu'!#REF!,"AAAAAH/9/rY=")</f>
        <v>#REF!</v>
      </c>
      <c r="GB18" t="e">
        <f>AND('Değerlendirme Formu'!C319,"AAAAAH/9/rc=")</f>
        <v>#VALUE!</v>
      </c>
      <c r="GC18" t="b">
        <f>AND('Değerlendirme Formu'!D319,"AAAAAH/9/rg=")</f>
        <v>1</v>
      </c>
      <c r="GD18" t="b">
        <f>AND('Değerlendirme Formu'!E319,"AAAAAH/9/rk=")</f>
        <v>0</v>
      </c>
      <c r="GE18" t="e">
        <f>AND('Değerlendirme Formu'!#REF!,"AAAAAH/9/ro=")</f>
        <v>#REF!</v>
      </c>
      <c r="GF18" t="e">
        <f>AND('Değerlendirme Formu'!#REF!,"AAAAAH/9/rs=")</f>
        <v>#REF!</v>
      </c>
      <c r="GG18" t="e">
        <f>AND('Değerlendirme Formu'!F319,"AAAAAH/9/rw=")</f>
        <v>#VALUE!</v>
      </c>
      <c r="GH18" t="e">
        <f>AND('Değerlendirme Formu'!#REF!,"AAAAAH/9/r0=")</f>
        <v>#REF!</v>
      </c>
      <c r="GI18" t="e">
        <f>AND('Değerlendirme Formu'!#REF!,"AAAAAH/9/r4=")</f>
        <v>#REF!</v>
      </c>
      <c r="GJ18" t="e">
        <f>AND('Değerlendirme Formu'!#REF!,"AAAAAH/9/r8=")</f>
        <v>#REF!</v>
      </c>
      <c r="GK18" t="e">
        <f>AND('Değerlendirme Formu'!#REF!,"AAAAAH/9/sA=")</f>
        <v>#REF!</v>
      </c>
      <c r="GL18" t="e">
        <f>AND('Değerlendirme Formu'!#REF!,"AAAAAH/9/sE=")</f>
        <v>#REF!</v>
      </c>
      <c r="GM18" t="e">
        <f>AND('Değerlendirme Formu'!G319,"AAAAAH/9/sI=")</f>
        <v>#VALUE!</v>
      </c>
      <c r="GN18" t="e">
        <f>AND('Değerlendirme Formu'!H319,"AAAAAH/9/sM=")</f>
        <v>#VALUE!</v>
      </c>
      <c r="GO18" t="e">
        <f>AND('Değerlendirme Formu'!I319,"AAAAAH/9/sQ=")</f>
        <v>#VALUE!</v>
      </c>
      <c r="GP18">
        <f>IF('Değerlendirme Formu'!320:320,"AAAAAH/9/sU=",0)</f>
        <v>0</v>
      </c>
      <c r="GQ18" t="e">
        <f>AND('Değerlendirme Formu'!A320,"AAAAAH/9/sY=")</f>
        <v>#VALUE!</v>
      </c>
      <c r="GR18" t="e">
        <f>AND('Değerlendirme Formu'!B320,"AAAAAH/9/sc=")</f>
        <v>#VALUE!</v>
      </c>
      <c r="GS18" t="e">
        <f>AND('Değerlendirme Formu'!#REF!,"AAAAAH/9/sg=")</f>
        <v>#REF!</v>
      </c>
      <c r="GT18" t="e">
        <f>AND('Değerlendirme Formu'!#REF!,"AAAAAH/9/sk=")</f>
        <v>#REF!</v>
      </c>
      <c r="GU18" t="e">
        <f>AND('Değerlendirme Formu'!#REF!,"AAAAAH/9/so=")</f>
        <v>#REF!</v>
      </c>
      <c r="GV18" t="e">
        <f>AND('Değerlendirme Formu'!#REF!,"AAAAAH/9/ss=")</f>
        <v>#REF!</v>
      </c>
      <c r="GW18" t="e">
        <f>AND('Değerlendirme Formu'!#REF!,"AAAAAH/9/sw=")</f>
        <v>#REF!</v>
      </c>
      <c r="GX18" t="e">
        <f>AND('Değerlendirme Formu'!#REF!,"AAAAAH/9/s0=")</f>
        <v>#REF!</v>
      </c>
      <c r="GY18" t="e">
        <f>AND('Değerlendirme Formu'!F320,"AAAAAH/9/s4=")</f>
        <v>#VALUE!</v>
      </c>
      <c r="GZ18" t="e">
        <f>AND('Değerlendirme Formu'!#REF!,"AAAAAH/9/s8=")</f>
        <v>#REF!</v>
      </c>
      <c r="HA18" t="b">
        <f>AND('Değerlendirme Formu'!C320,"AAAAAH/9/tA=")</f>
        <v>1</v>
      </c>
      <c r="HB18" t="b">
        <f>AND('Değerlendirme Formu'!D320,"AAAAAH/9/tE=")</f>
        <v>1</v>
      </c>
      <c r="HC18" t="b">
        <f>AND('Değerlendirme Formu'!E320,"AAAAAH/9/tI=")</f>
        <v>1</v>
      </c>
      <c r="HD18" t="e">
        <f>AND('Değerlendirme Formu'!#REF!,"AAAAAH/9/tM=")</f>
        <v>#REF!</v>
      </c>
      <c r="HE18" t="e">
        <f>AND('Değerlendirme Formu'!G320,"AAAAAH/9/tQ=")</f>
        <v>#VALUE!</v>
      </c>
      <c r="HF18" t="e">
        <f>AND('Değerlendirme Formu'!H320,"AAAAAH/9/tU=")</f>
        <v>#VALUE!</v>
      </c>
      <c r="HG18" t="e">
        <f>AND('Değerlendirme Formu'!I320,"AAAAAH/9/tY=")</f>
        <v>#VALUE!</v>
      </c>
      <c r="HH18" t="e">
        <f>IF('Değerlendirme Formu'!#REF!,"AAAAAH/9/tc=",0)</f>
        <v>#REF!</v>
      </c>
      <c r="HI18" t="e">
        <f>AND('Değerlendirme Formu'!#REF!,"AAAAAH/9/tg=")</f>
        <v>#REF!</v>
      </c>
      <c r="HJ18" t="e">
        <f>AND('Değerlendirme Formu'!#REF!,"AAAAAH/9/tk=")</f>
        <v>#REF!</v>
      </c>
      <c r="HK18" t="e">
        <f>AND('Değerlendirme Formu'!#REF!,"AAAAAH/9/to=")</f>
        <v>#REF!</v>
      </c>
      <c r="HL18" t="e">
        <f>AND('Değerlendirme Formu'!#REF!,"AAAAAH/9/ts=")</f>
        <v>#REF!</v>
      </c>
      <c r="HM18" t="e">
        <f>AND('Değerlendirme Formu'!#REF!,"AAAAAH/9/tw=")</f>
        <v>#REF!</v>
      </c>
      <c r="HN18" t="e">
        <f>AND('Değerlendirme Formu'!#REF!,"AAAAAH/9/t0=")</f>
        <v>#REF!</v>
      </c>
      <c r="HO18" t="e">
        <f>AND('Değerlendirme Formu'!#REF!,"AAAAAH/9/t4=")</f>
        <v>#REF!</v>
      </c>
      <c r="HP18" t="e">
        <f>AND('Değerlendirme Formu'!#REF!,"AAAAAH/9/t8=")</f>
        <v>#REF!</v>
      </c>
      <c r="HQ18" t="e">
        <f>AND('Değerlendirme Formu'!#REF!,"AAAAAH/9/uA=")</f>
        <v>#REF!</v>
      </c>
      <c r="HR18" t="e">
        <f>AND('Değerlendirme Formu'!#REF!,"AAAAAH/9/uE=")</f>
        <v>#REF!</v>
      </c>
      <c r="HS18" t="e">
        <f>AND('Değerlendirme Formu'!#REF!,"AAAAAH/9/uI=")</f>
        <v>#REF!</v>
      </c>
      <c r="HT18" t="e">
        <f>AND('Değerlendirme Formu'!#REF!,"AAAAAH/9/uM=")</f>
        <v>#REF!</v>
      </c>
      <c r="HU18" t="e">
        <f>AND('Değerlendirme Formu'!#REF!,"AAAAAH/9/uQ=")</f>
        <v>#REF!</v>
      </c>
      <c r="HV18" t="e">
        <f>AND('Değerlendirme Formu'!#REF!,"AAAAAH/9/uU=")</f>
        <v>#REF!</v>
      </c>
      <c r="HW18" t="e">
        <f>AND('Değerlendirme Formu'!#REF!,"AAAAAH/9/uY=")</f>
        <v>#REF!</v>
      </c>
      <c r="HX18" t="e">
        <f>AND('Değerlendirme Formu'!#REF!,"AAAAAH/9/uc=")</f>
        <v>#REF!</v>
      </c>
      <c r="HY18" t="e">
        <f>AND('Değerlendirme Formu'!#REF!,"AAAAAH/9/ug=")</f>
        <v>#REF!</v>
      </c>
      <c r="HZ18" t="e">
        <f>IF('Değerlendirme Formu'!#REF!,"AAAAAH/9/uk=",0)</f>
        <v>#REF!</v>
      </c>
      <c r="IA18" t="e">
        <f>AND('Değerlendirme Formu'!#REF!,"AAAAAH/9/uo=")</f>
        <v>#REF!</v>
      </c>
      <c r="IB18" t="e">
        <f>AND('Değerlendirme Formu'!#REF!,"AAAAAH/9/us=")</f>
        <v>#REF!</v>
      </c>
      <c r="IC18" t="e">
        <f>AND('Değerlendirme Formu'!#REF!,"AAAAAH/9/uw=")</f>
        <v>#REF!</v>
      </c>
      <c r="ID18" t="e">
        <f>AND('Değerlendirme Formu'!#REF!,"AAAAAH/9/u0=")</f>
        <v>#REF!</v>
      </c>
      <c r="IE18" t="e">
        <f>AND('Değerlendirme Formu'!#REF!,"AAAAAH/9/u4=")</f>
        <v>#REF!</v>
      </c>
      <c r="IF18" t="e">
        <f>AND('Değerlendirme Formu'!#REF!,"AAAAAH/9/u8=")</f>
        <v>#REF!</v>
      </c>
      <c r="IG18" t="e">
        <f>AND('Değerlendirme Formu'!#REF!,"AAAAAH/9/vA=")</f>
        <v>#REF!</v>
      </c>
      <c r="IH18" t="e">
        <f>AND('Değerlendirme Formu'!#REF!,"AAAAAH/9/vE=")</f>
        <v>#REF!</v>
      </c>
      <c r="II18" t="e">
        <f>AND('Değerlendirme Formu'!#REF!,"AAAAAH/9/vI=")</f>
        <v>#REF!</v>
      </c>
      <c r="IJ18" t="e">
        <f>AND('Değerlendirme Formu'!#REF!,"AAAAAH/9/vM=")</f>
        <v>#REF!</v>
      </c>
      <c r="IK18" t="e">
        <f>AND('Değerlendirme Formu'!#REF!,"AAAAAH/9/vQ=")</f>
        <v>#REF!</v>
      </c>
      <c r="IL18" t="e">
        <f>AND('Değerlendirme Formu'!#REF!,"AAAAAH/9/vU=")</f>
        <v>#REF!</v>
      </c>
      <c r="IM18" t="e">
        <f>AND('Değerlendirme Formu'!#REF!,"AAAAAH/9/vY=")</f>
        <v>#REF!</v>
      </c>
      <c r="IN18" t="e">
        <f>AND('Değerlendirme Formu'!#REF!,"AAAAAH/9/vc=")</f>
        <v>#REF!</v>
      </c>
      <c r="IO18" t="e">
        <f>AND('Değerlendirme Formu'!#REF!,"AAAAAH/9/vg=")</f>
        <v>#REF!</v>
      </c>
      <c r="IP18" t="e">
        <f>AND('Değerlendirme Formu'!#REF!,"AAAAAH/9/vk=")</f>
        <v>#REF!</v>
      </c>
      <c r="IQ18" t="e">
        <f>AND('Değerlendirme Formu'!#REF!,"AAAAAH/9/vo=")</f>
        <v>#REF!</v>
      </c>
      <c r="IR18" t="e">
        <f>IF('Değerlendirme Formu'!#REF!,"AAAAAH/9/vs=",0)</f>
        <v>#REF!</v>
      </c>
      <c r="IS18" t="e">
        <f>AND('Değerlendirme Formu'!#REF!,"AAAAAH/9/vw=")</f>
        <v>#REF!</v>
      </c>
      <c r="IT18" t="e">
        <f>AND('Değerlendirme Formu'!#REF!,"AAAAAH/9/v0=")</f>
        <v>#REF!</v>
      </c>
      <c r="IU18" t="e">
        <f>AND('Değerlendirme Formu'!#REF!,"AAAAAH/9/v4=")</f>
        <v>#REF!</v>
      </c>
      <c r="IV18" t="e">
        <f>AND('Değerlendirme Formu'!#REF!,"AAAAAH/9/v8=")</f>
        <v>#REF!</v>
      </c>
    </row>
    <row r="19" spans="1:256" x14ac:dyDescent="0.2">
      <c r="A19" t="e">
        <f>AND('Değerlendirme Formu'!#REF!,"AAAAAH+p+QA=")</f>
        <v>#REF!</v>
      </c>
      <c r="B19" t="e">
        <f>AND('Değerlendirme Formu'!#REF!,"AAAAAH+p+QE=")</f>
        <v>#REF!</v>
      </c>
      <c r="C19" t="e">
        <f>AND('Değerlendirme Formu'!#REF!,"AAAAAH+p+QI=")</f>
        <v>#REF!</v>
      </c>
      <c r="D19" t="e">
        <f>AND('Değerlendirme Formu'!#REF!,"AAAAAH+p+QM=")</f>
        <v>#REF!</v>
      </c>
      <c r="E19" t="e">
        <f>AND('Değerlendirme Formu'!#REF!,"AAAAAH+p+QQ=")</f>
        <v>#REF!</v>
      </c>
      <c r="F19" t="e">
        <f>AND('Değerlendirme Formu'!#REF!,"AAAAAH+p+QU=")</f>
        <v>#REF!</v>
      </c>
      <c r="G19" t="e">
        <f>AND('Değerlendirme Formu'!#REF!,"AAAAAH+p+QY=")</f>
        <v>#REF!</v>
      </c>
      <c r="H19" t="e">
        <f>AND('Değerlendirme Formu'!#REF!,"AAAAAH+p+Qc=")</f>
        <v>#REF!</v>
      </c>
      <c r="I19" t="e">
        <f>AND('Değerlendirme Formu'!#REF!,"AAAAAH+p+Qg=")</f>
        <v>#REF!</v>
      </c>
      <c r="J19" t="e">
        <f>AND('Değerlendirme Formu'!#REF!,"AAAAAH+p+Qk=")</f>
        <v>#REF!</v>
      </c>
      <c r="K19" t="e">
        <f>AND('Değerlendirme Formu'!#REF!,"AAAAAH+p+Qo=")</f>
        <v>#REF!</v>
      </c>
      <c r="L19" t="e">
        <f>AND('Değerlendirme Formu'!#REF!,"AAAAAH+p+Qs=")</f>
        <v>#REF!</v>
      </c>
      <c r="M19" t="e">
        <f>AND('Değerlendirme Formu'!#REF!,"AAAAAH+p+Qw=")</f>
        <v>#REF!</v>
      </c>
      <c r="N19" t="e">
        <f>IF('Değerlendirme Formu'!#REF!,"AAAAAH+p+Q0=",0)</f>
        <v>#REF!</v>
      </c>
      <c r="O19" t="e">
        <f>AND('Değerlendirme Formu'!#REF!,"AAAAAH+p+Q4=")</f>
        <v>#REF!</v>
      </c>
      <c r="P19" t="e">
        <f>AND('Değerlendirme Formu'!#REF!,"AAAAAH+p+Q8=")</f>
        <v>#REF!</v>
      </c>
      <c r="Q19" t="e">
        <f>AND('Değerlendirme Formu'!#REF!,"AAAAAH+p+RA=")</f>
        <v>#REF!</v>
      </c>
      <c r="R19" t="e">
        <f>AND('Değerlendirme Formu'!#REF!,"AAAAAH+p+RE=")</f>
        <v>#REF!</v>
      </c>
      <c r="S19" t="e">
        <f>AND('Değerlendirme Formu'!#REF!,"AAAAAH+p+RI=")</f>
        <v>#REF!</v>
      </c>
      <c r="T19" t="e">
        <f>AND('Değerlendirme Formu'!#REF!,"AAAAAH+p+RM=")</f>
        <v>#REF!</v>
      </c>
      <c r="U19" t="e">
        <f>AND('Değerlendirme Formu'!#REF!,"AAAAAH+p+RQ=")</f>
        <v>#REF!</v>
      </c>
      <c r="V19" t="e">
        <f>AND('Değerlendirme Formu'!#REF!,"AAAAAH+p+RU=")</f>
        <v>#REF!</v>
      </c>
      <c r="W19" t="e">
        <f>AND('Değerlendirme Formu'!#REF!,"AAAAAH+p+RY=")</f>
        <v>#REF!</v>
      </c>
      <c r="X19" t="e">
        <f>AND('Değerlendirme Formu'!#REF!,"AAAAAH+p+Rc=")</f>
        <v>#REF!</v>
      </c>
      <c r="Y19" t="e">
        <f>AND('Değerlendirme Formu'!#REF!,"AAAAAH+p+Rg=")</f>
        <v>#REF!</v>
      </c>
      <c r="Z19" t="e">
        <f>AND('Değerlendirme Formu'!#REF!,"AAAAAH+p+Rk=")</f>
        <v>#REF!</v>
      </c>
      <c r="AA19" t="e">
        <f>AND('Değerlendirme Formu'!#REF!,"AAAAAH+p+Ro=")</f>
        <v>#REF!</v>
      </c>
      <c r="AB19" t="e">
        <f>AND('Değerlendirme Formu'!#REF!,"AAAAAH+p+Rs=")</f>
        <v>#REF!</v>
      </c>
      <c r="AC19" t="e">
        <f>AND('Değerlendirme Formu'!#REF!,"AAAAAH+p+Rw=")</f>
        <v>#REF!</v>
      </c>
      <c r="AD19" t="e">
        <f>AND('Değerlendirme Formu'!#REF!,"AAAAAH+p+R0=")</f>
        <v>#REF!</v>
      </c>
      <c r="AE19" t="e">
        <f>AND('Değerlendirme Formu'!#REF!,"AAAAAH+p+R4=")</f>
        <v>#REF!</v>
      </c>
      <c r="AF19" t="e">
        <f>IF('Değerlendirme Formu'!#REF!,"AAAAAH+p+R8=",0)</f>
        <v>#REF!</v>
      </c>
      <c r="AG19" t="e">
        <f>AND('Değerlendirme Formu'!#REF!,"AAAAAH+p+SA=")</f>
        <v>#REF!</v>
      </c>
      <c r="AH19" t="e">
        <f>AND('Değerlendirme Formu'!#REF!,"AAAAAH+p+SE=")</f>
        <v>#REF!</v>
      </c>
      <c r="AI19" t="e">
        <f>AND('Değerlendirme Formu'!#REF!,"AAAAAH+p+SI=")</f>
        <v>#REF!</v>
      </c>
      <c r="AJ19" t="e">
        <f>AND('Değerlendirme Formu'!#REF!,"AAAAAH+p+SM=")</f>
        <v>#REF!</v>
      </c>
      <c r="AK19" t="e">
        <f>AND('Değerlendirme Formu'!#REF!,"AAAAAH+p+SQ=")</f>
        <v>#REF!</v>
      </c>
      <c r="AL19" t="e">
        <f>AND('Değerlendirme Formu'!#REF!,"AAAAAH+p+SU=")</f>
        <v>#REF!</v>
      </c>
      <c r="AM19" t="e">
        <f>AND('Değerlendirme Formu'!#REF!,"AAAAAH+p+SY=")</f>
        <v>#REF!</v>
      </c>
      <c r="AN19" t="e">
        <f>AND('Değerlendirme Formu'!#REF!,"AAAAAH+p+Sc=")</f>
        <v>#REF!</v>
      </c>
      <c r="AO19" t="e">
        <f>AND('Değerlendirme Formu'!#REF!,"AAAAAH+p+Sg=")</f>
        <v>#REF!</v>
      </c>
      <c r="AP19" t="e">
        <f>AND('Değerlendirme Formu'!#REF!,"AAAAAH+p+Sk=")</f>
        <v>#REF!</v>
      </c>
      <c r="AQ19" t="e">
        <f>AND('Değerlendirme Formu'!#REF!,"AAAAAH+p+So=")</f>
        <v>#REF!</v>
      </c>
      <c r="AR19" t="e">
        <f>AND('Değerlendirme Formu'!#REF!,"AAAAAH+p+Ss=")</f>
        <v>#REF!</v>
      </c>
      <c r="AS19" t="e">
        <f>AND('Değerlendirme Formu'!#REF!,"AAAAAH+p+Sw=")</f>
        <v>#REF!</v>
      </c>
      <c r="AT19" t="e">
        <f>AND('Değerlendirme Formu'!#REF!,"AAAAAH+p+S0=")</f>
        <v>#REF!</v>
      </c>
      <c r="AU19" t="e">
        <f>AND('Değerlendirme Formu'!#REF!,"AAAAAH+p+S4=")</f>
        <v>#REF!</v>
      </c>
      <c r="AV19" t="e">
        <f>AND('Değerlendirme Formu'!#REF!,"AAAAAH+p+S8=")</f>
        <v>#REF!</v>
      </c>
      <c r="AW19" t="e">
        <f>AND('Değerlendirme Formu'!#REF!,"AAAAAH+p+TA=")</f>
        <v>#REF!</v>
      </c>
      <c r="AX19" t="e">
        <f>IF('Değerlendirme Formu'!#REF!,"AAAAAH+p+TE=",0)</f>
        <v>#REF!</v>
      </c>
      <c r="AY19" t="e">
        <f>AND('Değerlendirme Formu'!#REF!,"AAAAAH+p+TI=")</f>
        <v>#REF!</v>
      </c>
      <c r="AZ19" t="e">
        <f>AND('Değerlendirme Formu'!#REF!,"AAAAAH+p+TM=")</f>
        <v>#REF!</v>
      </c>
      <c r="BA19" t="e">
        <f>AND('Değerlendirme Formu'!#REF!,"AAAAAH+p+TQ=")</f>
        <v>#REF!</v>
      </c>
      <c r="BB19" t="e">
        <f>AND('Değerlendirme Formu'!#REF!,"AAAAAH+p+TU=")</f>
        <v>#REF!</v>
      </c>
      <c r="BC19" t="e">
        <f>AND('Değerlendirme Formu'!#REF!,"AAAAAH+p+TY=")</f>
        <v>#REF!</v>
      </c>
      <c r="BD19" t="e">
        <f>AND('Değerlendirme Formu'!#REF!,"AAAAAH+p+Tc=")</f>
        <v>#REF!</v>
      </c>
      <c r="BE19" t="e">
        <f>AND('Değerlendirme Formu'!#REF!,"AAAAAH+p+Tg=")</f>
        <v>#REF!</v>
      </c>
      <c r="BF19" t="e">
        <f>AND('Değerlendirme Formu'!#REF!,"AAAAAH+p+Tk=")</f>
        <v>#REF!</v>
      </c>
      <c r="BG19" t="e">
        <f>AND('Değerlendirme Formu'!#REF!,"AAAAAH+p+To=")</f>
        <v>#REF!</v>
      </c>
      <c r="BH19" t="e">
        <f>AND('Değerlendirme Formu'!#REF!,"AAAAAH+p+Ts=")</f>
        <v>#REF!</v>
      </c>
      <c r="BI19" t="e">
        <f>AND('Değerlendirme Formu'!#REF!,"AAAAAH+p+Tw=")</f>
        <v>#REF!</v>
      </c>
      <c r="BJ19" t="e">
        <f>AND('Değerlendirme Formu'!#REF!,"AAAAAH+p+T0=")</f>
        <v>#REF!</v>
      </c>
      <c r="BK19" t="e">
        <f>AND('Değerlendirme Formu'!#REF!,"AAAAAH+p+T4=")</f>
        <v>#REF!</v>
      </c>
      <c r="BL19" t="e">
        <f>AND('Değerlendirme Formu'!#REF!,"AAAAAH+p+T8=")</f>
        <v>#REF!</v>
      </c>
      <c r="BM19" t="e">
        <f>AND('Değerlendirme Formu'!#REF!,"AAAAAH+p+UA=")</f>
        <v>#REF!</v>
      </c>
      <c r="BN19" t="e">
        <f>AND('Değerlendirme Formu'!#REF!,"AAAAAH+p+UE=")</f>
        <v>#REF!</v>
      </c>
      <c r="BO19" t="e">
        <f>AND('Değerlendirme Formu'!#REF!,"AAAAAH+p+UI=")</f>
        <v>#REF!</v>
      </c>
      <c r="BP19" t="e">
        <f>IF('Değerlendirme Formu'!#REF!,"AAAAAH+p+UM=",0)</f>
        <v>#REF!</v>
      </c>
      <c r="BQ19" t="e">
        <f>AND('Değerlendirme Formu'!#REF!,"AAAAAH+p+UQ=")</f>
        <v>#REF!</v>
      </c>
      <c r="BR19" t="e">
        <f>AND('Değerlendirme Formu'!#REF!,"AAAAAH+p+UU=")</f>
        <v>#REF!</v>
      </c>
      <c r="BS19" t="e">
        <f>AND('Değerlendirme Formu'!#REF!,"AAAAAH+p+UY=")</f>
        <v>#REF!</v>
      </c>
      <c r="BT19" t="e">
        <f>AND('Değerlendirme Formu'!#REF!,"AAAAAH+p+Uc=")</f>
        <v>#REF!</v>
      </c>
      <c r="BU19" t="e">
        <f>AND('Değerlendirme Formu'!#REF!,"AAAAAH+p+Ug=")</f>
        <v>#REF!</v>
      </c>
      <c r="BV19" t="e">
        <f>AND('Değerlendirme Formu'!#REF!,"AAAAAH+p+Uk=")</f>
        <v>#REF!</v>
      </c>
      <c r="BW19" t="e">
        <f>AND('Değerlendirme Formu'!#REF!,"AAAAAH+p+Uo=")</f>
        <v>#REF!</v>
      </c>
      <c r="BX19" t="e">
        <f>AND('Değerlendirme Formu'!#REF!,"AAAAAH+p+Us=")</f>
        <v>#REF!</v>
      </c>
      <c r="BY19" t="e">
        <f>AND('Değerlendirme Formu'!#REF!,"AAAAAH+p+Uw=")</f>
        <v>#REF!</v>
      </c>
      <c r="BZ19" t="e">
        <f>AND('Değerlendirme Formu'!#REF!,"AAAAAH+p+U0=")</f>
        <v>#REF!</v>
      </c>
      <c r="CA19" t="e">
        <f>AND('Değerlendirme Formu'!#REF!,"AAAAAH+p+U4=")</f>
        <v>#REF!</v>
      </c>
      <c r="CB19" t="e">
        <f>AND('Değerlendirme Formu'!#REF!,"AAAAAH+p+U8=")</f>
        <v>#REF!</v>
      </c>
      <c r="CC19" t="e">
        <f>AND('Değerlendirme Formu'!#REF!,"AAAAAH+p+VA=")</f>
        <v>#REF!</v>
      </c>
      <c r="CD19" t="e">
        <f>AND('Değerlendirme Formu'!#REF!,"AAAAAH+p+VE=")</f>
        <v>#REF!</v>
      </c>
      <c r="CE19" t="e">
        <f>AND('Değerlendirme Formu'!#REF!,"AAAAAH+p+VI=")</f>
        <v>#REF!</v>
      </c>
      <c r="CF19" t="e">
        <f>AND('Değerlendirme Formu'!#REF!,"AAAAAH+p+VM=")</f>
        <v>#REF!</v>
      </c>
      <c r="CG19" t="e">
        <f>AND('Değerlendirme Formu'!#REF!,"AAAAAH+p+VQ=")</f>
        <v>#REF!</v>
      </c>
      <c r="CH19" t="e">
        <f>IF('Değerlendirme Formu'!#REF!,"AAAAAH+p+VU=",0)</f>
        <v>#REF!</v>
      </c>
      <c r="CI19" t="e">
        <f>AND('Değerlendirme Formu'!#REF!,"AAAAAH+p+VY=")</f>
        <v>#REF!</v>
      </c>
      <c r="CJ19" t="e">
        <f>AND('Değerlendirme Formu'!#REF!,"AAAAAH+p+Vc=")</f>
        <v>#REF!</v>
      </c>
      <c r="CK19" t="e">
        <f>AND('Değerlendirme Formu'!#REF!,"AAAAAH+p+Vg=")</f>
        <v>#REF!</v>
      </c>
      <c r="CL19" t="e">
        <f>AND('Değerlendirme Formu'!#REF!,"AAAAAH+p+Vk=")</f>
        <v>#REF!</v>
      </c>
      <c r="CM19" t="e">
        <f>AND('Değerlendirme Formu'!#REF!,"AAAAAH+p+Vo=")</f>
        <v>#REF!</v>
      </c>
      <c r="CN19" t="e">
        <f>AND('Değerlendirme Formu'!#REF!,"AAAAAH+p+Vs=")</f>
        <v>#REF!</v>
      </c>
      <c r="CO19" t="e">
        <f>AND('Değerlendirme Formu'!#REF!,"AAAAAH+p+Vw=")</f>
        <v>#REF!</v>
      </c>
      <c r="CP19" t="e">
        <f>AND('Değerlendirme Formu'!#REF!,"AAAAAH+p+V0=")</f>
        <v>#REF!</v>
      </c>
      <c r="CQ19" t="e">
        <f>AND('Değerlendirme Formu'!#REF!,"AAAAAH+p+V4=")</f>
        <v>#REF!</v>
      </c>
      <c r="CR19" t="e">
        <f>AND('Değerlendirme Formu'!#REF!,"AAAAAH+p+V8=")</f>
        <v>#REF!</v>
      </c>
      <c r="CS19" t="e">
        <f>AND('Değerlendirme Formu'!#REF!,"AAAAAH+p+WA=")</f>
        <v>#REF!</v>
      </c>
      <c r="CT19" t="e">
        <f>AND('Değerlendirme Formu'!#REF!,"AAAAAH+p+WE=")</f>
        <v>#REF!</v>
      </c>
      <c r="CU19" t="e">
        <f>AND('Değerlendirme Formu'!#REF!,"AAAAAH+p+WI=")</f>
        <v>#REF!</v>
      </c>
      <c r="CV19" t="e">
        <f>AND('Değerlendirme Formu'!#REF!,"AAAAAH+p+WM=")</f>
        <v>#REF!</v>
      </c>
      <c r="CW19" t="e">
        <f>AND('Değerlendirme Formu'!#REF!,"AAAAAH+p+WQ=")</f>
        <v>#REF!</v>
      </c>
      <c r="CX19" t="e">
        <f>AND('Değerlendirme Formu'!#REF!,"AAAAAH+p+WU=")</f>
        <v>#REF!</v>
      </c>
      <c r="CY19" t="e">
        <f>AND('Değerlendirme Formu'!#REF!,"AAAAAH+p+WY=")</f>
        <v>#REF!</v>
      </c>
      <c r="CZ19" t="e">
        <f>IF('Değerlendirme Formu'!#REF!,"AAAAAH+p+Wc=",0)</f>
        <v>#REF!</v>
      </c>
      <c r="DA19" t="e">
        <f>AND('Değerlendirme Formu'!#REF!,"AAAAAH+p+Wg=")</f>
        <v>#REF!</v>
      </c>
      <c r="DB19" t="e">
        <f>AND('Değerlendirme Formu'!#REF!,"AAAAAH+p+Wk=")</f>
        <v>#REF!</v>
      </c>
      <c r="DC19" t="e">
        <f>AND('Değerlendirme Formu'!#REF!,"AAAAAH+p+Wo=")</f>
        <v>#REF!</v>
      </c>
      <c r="DD19" t="e">
        <f>AND('Değerlendirme Formu'!#REF!,"AAAAAH+p+Ws=")</f>
        <v>#REF!</v>
      </c>
      <c r="DE19" t="e">
        <f>AND('Değerlendirme Formu'!#REF!,"AAAAAH+p+Ww=")</f>
        <v>#REF!</v>
      </c>
      <c r="DF19" t="e">
        <f>AND('Değerlendirme Formu'!#REF!,"AAAAAH+p+W0=")</f>
        <v>#REF!</v>
      </c>
      <c r="DG19" t="e">
        <f>AND('Değerlendirme Formu'!#REF!,"AAAAAH+p+W4=")</f>
        <v>#REF!</v>
      </c>
      <c r="DH19" t="e">
        <f>AND('Değerlendirme Formu'!#REF!,"AAAAAH+p+W8=")</f>
        <v>#REF!</v>
      </c>
      <c r="DI19" t="e">
        <f>AND('Değerlendirme Formu'!#REF!,"AAAAAH+p+XA=")</f>
        <v>#REF!</v>
      </c>
      <c r="DJ19" t="e">
        <f>AND('Değerlendirme Formu'!#REF!,"AAAAAH+p+XE=")</f>
        <v>#REF!</v>
      </c>
      <c r="DK19" t="e">
        <f>AND('Değerlendirme Formu'!#REF!,"AAAAAH+p+XI=")</f>
        <v>#REF!</v>
      </c>
      <c r="DL19" t="e">
        <f>AND('Değerlendirme Formu'!#REF!,"AAAAAH+p+XM=")</f>
        <v>#REF!</v>
      </c>
      <c r="DM19" t="e">
        <f>AND('Değerlendirme Formu'!#REF!,"AAAAAH+p+XQ=")</f>
        <v>#REF!</v>
      </c>
      <c r="DN19" t="e">
        <f>AND('Değerlendirme Formu'!#REF!,"AAAAAH+p+XU=")</f>
        <v>#REF!</v>
      </c>
      <c r="DO19" t="e">
        <f>AND('Değerlendirme Formu'!#REF!,"AAAAAH+p+XY=")</f>
        <v>#REF!</v>
      </c>
      <c r="DP19" t="e">
        <f>AND('Değerlendirme Formu'!#REF!,"AAAAAH+p+Xc=")</f>
        <v>#REF!</v>
      </c>
      <c r="DQ19" t="e">
        <f>AND('Değerlendirme Formu'!#REF!,"AAAAAH+p+Xg=")</f>
        <v>#REF!</v>
      </c>
      <c r="DR19" t="e">
        <f>IF('Değerlendirme Formu'!#REF!,"AAAAAH+p+Xk=",0)</f>
        <v>#REF!</v>
      </c>
      <c r="DS19" t="e">
        <f>AND('Değerlendirme Formu'!#REF!,"AAAAAH+p+Xo=")</f>
        <v>#REF!</v>
      </c>
      <c r="DT19" t="e">
        <f>AND('Değerlendirme Formu'!#REF!,"AAAAAH+p+Xs=")</f>
        <v>#REF!</v>
      </c>
      <c r="DU19" t="e">
        <f>AND('Değerlendirme Formu'!#REF!,"AAAAAH+p+Xw=")</f>
        <v>#REF!</v>
      </c>
      <c r="DV19" t="e">
        <f>AND('Değerlendirme Formu'!#REF!,"AAAAAH+p+X0=")</f>
        <v>#REF!</v>
      </c>
      <c r="DW19" t="e">
        <f>AND('Değerlendirme Formu'!#REF!,"AAAAAH+p+X4=")</f>
        <v>#REF!</v>
      </c>
      <c r="DX19" t="e">
        <f>AND('Değerlendirme Formu'!#REF!,"AAAAAH+p+X8=")</f>
        <v>#REF!</v>
      </c>
      <c r="DY19" t="e">
        <f>AND('Değerlendirme Formu'!#REF!,"AAAAAH+p+YA=")</f>
        <v>#REF!</v>
      </c>
      <c r="DZ19" t="e">
        <f>AND('Değerlendirme Formu'!#REF!,"AAAAAH+p+YE=")</f>
        <v>#REF!</v>
      </c>
      <c r="EA19" t="e">
        <f>AND('Değerlendirme Formu'!#REF!,"AAAAAH+p+YI=")</f>
        <v>#REF!</v>
      </c>
      <c r="EB19" t="e">
        <f>AND('Değerlendirme Formu'!#REF!,"AAAAAH+p+YM=")</f>
        <v>#REF!</v>
      </c>
      <c r="EC19" t="e">
        <f>AND('Değerlendirme Formu'!#REF!,"AAAAAH+p+YQ=")</f>
        <v>#REF!</v>
      </c>
      <c r="ED19" t="e">
        <f>AND('Değerlendirme Formu'!#REF!,"AAAAAH+p+YU=")</f>
        <v>#REF!</v>
      </c>
      <c r="EE19" t="e">
        <f>AND('Değerlendirme Formu'!#REF!,"AAAAAH+p+YY=")</f>
        <v>#REF!</v>
      </c>
      <c r="EF19" t="e">
        <f>AND('Değerlendirme Formu'!#REF!,"AAAAAH+p+Yc=")</f>
        <v>#REF!</v>
      </c>
      <c r="EG19" t="e">
        <f>AND('Değerlendirme Formu'!#REF!,"AAAAAH+p+Yg=")</f>
        <v>#REF!</v>
      </c>
      <c r="EH19" t="e">
        <f>AND('Değerlendirme Formu'!#REF!,"AAAAAH+p+Yk=")</f>
        <v>#REF!</v>
      </c>
      <c r="EI19" t="e">
        <f>AND('Değerlendirme Formu'!#REF!,"AAAAAH+p+Yo=")</f>
        <v>#REF!</v>
      </c>
      <c r="EJ19" t="e">
        <f>IF('Değerlendirme Formu'!#REF!,"AAAAAH+p+Ys=",0)</f>
        <v>#REF!</v>
      </c>
      <c r="EK19" t="e">
        <f>AND('Değerlendirme Formu'!#REF!,"AAAAAH+p+Yw=")</f>
        <v>#REF!</v>
      </c>
      <c r="EL19" t="e">
        <f>AND('Değerlendirme Formu'!#REF!,"AAAAAH+p+Y0=")</f>
        <v>#REF!</v>
      </c>
      <c r="EM19" t="e">
        <f>AND('Değerlendirme Formu'!#REF!,"AAAAAH+p+Y4=")</f>
        <v>#REF!</v>
      </c>
      <c r="EN19" t="e">
        <f>AND('Değerlendirme Formu'!#REF!,"AAAAAH+p+Y8=")</f>
        <v>#REF!</v>
      </c>
      <c r="EO19" t="e">
        <f>AND('Değerlendirme Formu'!#REF!,"AAAAAH+p+ZA=")</f>
        <v>#REF!</v>
      </c>
      <c r="EP19" t="e">
        <f>AND('Değerlendirme Formu'!#REF!,"AAAAAH+p+ZE=")</f>
        <v>#REF!</v>
      </c>
      <c r="EQ19" t="e">
        <f>AND('Değerlendirme Formu'!#REF!,"AAAAAH+p+ZI=")</f>
        <v>#REF!</v>
      </c>
      <c r="ER19" t="e">
        <f>AND('Değerlendirme Formu'!#REF!,"AAAAAH+p+ZM=")</f>
        <v>#REF!</v>
      </c>
      <c r="ES19" t="e">
        <f>AND('Değerlendirme Formu'!#REF!,"AAAAAH+p+ZQ=")</f>
        <v>#REF!</v>
      </c>
      <c r="ET19" t="e">
        <f>AND('Değerlendirme Formu'!#REF!,"AAAAAH+p+ZU=")</f>
        <v>#REF!</v>
      </c>
      <c r="EU19" t="e">
        <f>AND('Değerlendirme Formu'!#REF!,"AAAAAH+p+ZY=")</f>
        <v>#REF!</v>
      </c>
      <c r="EV19" t="e">
        <f>AND('Değerlendirme Formu'!#REF!,"AAAAAH+p+Zc=")</f>
        <v>#REF!</v>
      </c>
      <c r="EW19" t="e">
        <f>AND('Değerlendirme Formu'!#REF!,"AAAAAH+p+Zg=")</f>
        <v>#REF!</v>
      </c>
      <c r="EX19" t="e">
        <f>AND('Değerlendirme Formu'!#REF!,"AAAAAH+p+Zk=")</f>
        <v>#REF!</v>
      </c>
      <c r="EY19" t="e">
        <f>AND('Değerlendirme Formu'!#REF!,"AAAAAH+p+Zo=")</f>
        <v>#REF!</v>
      </c>
      <c r="EZ19" t="e">
        <f>AND('Değerlendirme Formu'!#REF!,"AAAAAH+p+Zs=")</f>
        <v>#REF!</v>
      </c>
      <c r="FA19" t="e">
        <f>AND('Değerlendirme Formu'!#REF!,"AAAAAH+p+Zw=")</f>
        <v>#REF!</v>
      </c>
      <c r="FB19" t="e">
        <f>IF('Değerlendirme Formu'!#REF!,"AAAAAH+p+Z0=",0)</f>
        <v>#REF!</v>
      </c>
      <c r="FC19" t="e">
        <f>AND('Değerlendirme Formu'!#REF!,"AAAAAH+p+Z4=")</f>
        <v>#REF!</v>
      </c>
      <c r="FD19" t="e">
        <f>AND('Değerlendirme Formu'!#REF!,"AAAAAH+p+Z8=")</f>
        <v>#REF!</v>
      </c>
      <c r="FE19" t="e">
        <f>AND('Değerlendirme Formu'!#REF!,"AAAAAH+p+aA=")</f>
        <v>#REF!</v>
      </c>
      <c r="FF19" t="e">
        <f>AND('Değerlendirme Formu'!#REF!,"AAAAAH+p+aE=")</f>
        <v>#REF!</v>
      </c>
      <c r="FG19" t="e">
        <f>AND('Değerlendirme Formu'!#REF!,"AAAAAH+p+aI=")</f>
        <v>#REF!</v>
      </c>
      <c r="FH19" t="e">
        <f>AND('Değerlendirme Formu'!#REF!,"AAAAAH+p+aM=")</f>
        <v>#REF!</v>
      </c>
      <c r="FI19" t="e">
        <f>AND('Değerlendirme Formu'!#REF!,"AAAAAH+p+aQ=")</f>
        <v>#REF!</v>
      </c>
      <c r="FJ19" t="e">
        <f>AND('Değerlendirme Formu'!#REF!,"AAAAAH+p+aU=")</f>
        <v>#REF!</v>
      </c>
      <c r="FK19" t="e">
        <f>AND('Değerlendirme Formu'!#REF!,"AAAAAH+p+aY=")</f>
        <v>#REF!</v>
      </c>
      <c r="FL19" t="e">
        <f>AND('Değerlendirme Formu'!#REF!,"AAAAAH+p+ac=")</f>
        <v>#REF!</v>
      </c>
      <c r="FM19" t="e">
        <f>AND('Değerlendirme Formu'!#REF!,"AAAAAH+p+ag=")</f>
        <v>#REF!</v>
      </c>
      <c r="FN19" t="e">
        <f>AND('Değerlendirme Formu'!#REF!,"AAAAAH+p+ak=")</f>
        <v>#REF!</v>
      </c>
      <c r="FO19" t="e">
        <f>AND('Değerlendirme Formu'!#REF!,"AAAAAH+p+ao=")</f>
        <v>#REF!</v>
      </c>
      <c r="FP19" t="e">
        <f>AND('Değerlendirme Formu'!#REF!,"AAAAAH+p+as=")</f>
        <v>#REF!</v>
      </c>
      <c r="FQ19" t="e">
        <f>AND('Değerlendirme Formu'!#REF!,"AAAAAH+p+aw=")</f>
        <v>#REF!</v>
      </c>
      <c r="FR19" t="e">
        <f>AND('Değerlendirme Formu'!#REF!,"AAAAAH+p+a0=")</f>
        <v>#REF!</v>
      </c>
      <c r="FS19" t="e">
        <f>AND('Değerlendirme Formu'!#REF!,"AAAAAH+p+a4=")</f>
        <v>#REF!</v>
      </c>
      <c r="FT19" t="e">
        <f>IF('Değerlendirme Formu'!#REF!,"AAAAAH+p+a8=",0)</f>
        <v>#REF!</v>
      </c>
      <c r="FU19" t="e">
        <f>AND('Değerlendirme Formu'!#REF!,"AAAAAH+p+bA=")</f>
        <v>#REF!</v>
      </c>
      <c r="FV19" t="e">
        <f>AND('Değerlendirme Formu'!#REF!,"AAAAAH+p+bE=")</f>
        <v>#REF!</v>
      </c>
      <c r="FW19" t="e">
        <f>AND('Değerlendirme Formu'!#REF!,"AAAAAH+p+bI=")</f>
        <v>#REF!</v>
      </c>
      <c r="FX19" t="e">
        <f>AND('Değerlendirme Formu'!#REF!,"AAAAAH+p+bM=")</f>
        <v>#REF!</v>
      </c>
      <c r="FY19" t="e">
        <f>AND('Değerlendirme Formu'!#REF!,"AAAAAH+p+bQ=")</f>
        <v>#REF!</v>
      </c>
      <c r="FZ19" t="e">
        <f>AND('Değerlendirme Formu'!#REF!,"AAAAAH+p+bU=")</f>
        <v>#REF!</v>
      </c>
      <c r="GA19" t="e">
        <f>AND('Değerlendirme Formu'!#REF!,"AAAAAH+p+bY=")</f>
        <v>#REF!</v>
      </c>
      <c r="GB19" t="e">
        <f>AND('Değerlendirme Formu'!#REF!,"AAAAAH+p+bc=")</f>
        <v>#REF!</v>
      </c>
      <c r="GC19" t="e">
        <f>AND('Değerlendirme Formu'!#REF!,"AAAAAH+p+bg=")</f>
        <v>#REF!</v>
      </c>
      <c r="GD19" t="e">
        <f>AND('Değerlendirme Formu'!#REF!,"AAAAAH+p+bk=")</f>
        <v>#REF!</v>
      </c>
      <c r="GE19" t="e">
        <f>AND('Değerlendirme Formu'!#REF!,"AAAAAH+p+bo=")</f>
        <v>#REF!</v>
      </c>
      <c r="GF19" t="e">
        <f>AND('Değerlendirme Formu'!#REF!,"AAAAAH+p+bs=")</f>
        <v>#REF!</v>
      </c>
      <c r="GG19" t="e">
        <f>AND('Değerlendirme Formu'!#REF!,"AAAAAH+p+bw=")</f>
        <v>#REF!</v>
      </c>
      <c r="GH19" t="e">
        <f>AND('Değerlendirme Formu'!#REF!,"AAAAAH+p+b0=")</f>
        <v>#REF!</v>
      </c>
      <c r="GI19" t="e">
        <f>AND('Değerlendirme Formu'!#REF!,"AAAAAH+p+b4=")</f>
        <v>#REF!</v>
      </c>
      <c r="GJ19" t="e">
        <f>AND('Değerlendirme Formu'!#REF!,"AAAAAH+p+b8=")</f>
        <v>#REF!</v>
      </c>
      <c r="GK19" t="e">
        <f>AND('Değerlendirme Formu'!#REF!,"AAAAAH+p+cA=")</f>
        <v>#REF!</v>
      </c>
      <c r="GL19" t="e">
        <f>IF('Değerlendirme Formu'!#REF!,"AAAAAH+p+cE=",0)</f>
        <v>#REF!</v>
      </c>
      <c r="GM19" t="e">
        <f>AND('Değerlendirme Formu'!#REF!,"AAAAAH+p+cI=")</f>
        <v>#REF!</v>
      </c>
      <c r="GN19" t="e">
        <f>AND('Değerlendirme Formu'!#REF!,"AAAAAH+p+cM=")</f>
        <v>#REF!</v>
      </c>
      <c r="GO19" t="e">
        <f>AND('Değerlendirme Formu'!#REF!,"AAAAAH+p+cQ=")</f>
        <v>#REF!</v>
      </c>
      <c r="GP19" t="e">
        <f>AND('Değerlendirme Formu'!#REF!,"AAAAAH+p+cU=")</f>
        <v>#REF!</v>
      </c>
      <c r="GQ19" t="e">
        <f>AND('Değerlendirme Formu'!#REF!,"AAAAAH+p+cY=")</f>
        <v>#REF!</v>
      </c>
      <c r="GR19" t="e">
        <f>AND('Değerlendirme Formu'!#REF!,"AAAAAH+p+cc=")</f>
        <v>#REF!</v>
      </c>
      <c r="GS19" t="e">
        <f>AND('Değerlendirme Formu'!#REF!,"AAAAAH+p+cg=")</f>
        <v>#REF!</v>
      </c>
      <c r="GT19" t="e">
        <f>AND('Değerlendirme Formu'!#REF!,"AAAAAH+p+ck=")</f>
        <v>#REF!</v>
      </c>
      <c r="GU19" t="e">
        <f>AND('Değerlendirme Formu'!#REF!,"AAAAAH+p+co=")</f>
        <v>#REF!</v>
      </c>
      <c r="GV19" t="e">
        <f>AND('Değerlendirme Formu'!#REF!,"AAAAAH+p+cs=")</f>
        <v>#REF!</v>
      </c>
      <c r="GW19" t="e">
        <f>AND('Değerlendirme Formu'!#REF!,"AAAAAH+p+cw=")</f>
        <v>#REF!</v>
      </c>
      <c r="GX19" t="e">
        <f>AND('Değerlendirme Formu'!#REF!,"AAAAAH+p+c0=")</f>
        <v>#REF!</v>
      </c>
      <c r="GY19" t="e">
        <f>AND('Değerlendirme Formu'!#REF!,"AAAAAH+p+c4=")</f>
        <v>#REF!</v>
      </c>
      <c r="GZ19" t="e">
        <f>AND('Değerlendirme Formu'!#REF!,"AAAAAH+p+c8=")</f>
        <v>#REF!</v>
      </c>
      <c r="HA19" t="e">
        <f>AND('Değerlendirme Formu'!#REF!,"AAAAAH+p+dA=")</f>
        <v>#REF!</v>
      </c>
      <c r="HB19" t="e">
        <f>AND('Değerlendirme Formu'!#REF!,"AAAAAH+p+dE=")</f>
        <v>#REF!</v>
      </c>
      <c r="HC19" t="e">
        <f>AND('Değerlendirme Formu'!#REF!,"AAAAAH+p+dI=")</f>
        <v>#REF!</v>
      </c>
      <c r="HD19" t="e">
        <f>IF('Değerlendirme Formu'!#REF!,"AAAAAH+p+dM=",0)</f>
        <v>#REF!</v>
      </c>
      <c r="HE19" t="e">
        <f>AND('Değerlendirme Formu'!#REF!,"AAAAAH+p+dQ=")</f>
        <v>#REF!</v>
      </c>
      <c r="HF19" t="e">
        <f>AND('Değerlendirme Formu'!#REF!,"AAAAAH+p+dU=")</f>
        <v>#REF!</v>
      </c>
      <c r="HG19" t="e">
        <f>AND('Değerlendirme Formu'!#REF!,"AAAAAH+p+dY=")</f>
        <v>#REF!</v>
      </c>
      <c r="HH19" t="e">
        <f>AND('Değerlendirme Formu'!#REF!,"AAAAAH+p+dc=")</f>
        <v>#REF!</v>
      </c>
      <c r="HI19" t="e">
        <f>AND('Değerlendirme Formu'!#REF!,"AAAAAH+p+dg=")</f>
        <v>#REF!</v>
      </c>
      <c r="HJ19" t="e">
        <f>AND('Değerlendirme Formu'!#REF!,"AAAAAH+p+dk=")</f>
        <v>#REF!</v>
      </c>
      <c r="HK19" t="e">
        <f>AND('Değerlendirme Formu'!#REF!,"AAAAAH+p+do=")</f>
        <v>#REF!</v>
      </c>
      <c r="HL19" t="e">
        <f>AND('Değerlendirme Formu'!#REF!,"AAAAAH+p+ds=")</f>
        <v>#REF!</v>
      </c>
      <c r="HM19" t="e">
        <f>AND('Değerlendirme Formu'!#REF!,"AAAAAH+p+dw=")</f>
        <v>#REF!</v>
      </c>
      <c r="HN19" t="e">
        <f>AND('Değerlendirme Formu'!#REF!,"AAAAAH+p+d0=")</f>
        <v>#REF!</v>
      </c>
      <c r="HO19" t="e">
        <f>AND('Değerlendirme Formu'!#REF!,"AAAAAH+p+d4=")</f>
        <v>#REF!</v>
      </c>
      <c r="HP19" t="e">
        <f>AND('Değerlendirme Formu'!#REF!,"AAAAAH+p+d8=")</f>
        <v>#REF!</v>
      </c>
      <c r="HQ19" t="e">
        <f>AND('Değerlendirme Formu'!#REF!,"AAAAAH+p+eA=")</f>
        <v>#REF!</v>
      </c>
      <c r="HR19" t="e">
        <f>AND('Değerlendirme Formu'!#REF!,"AAAAAH+p+eE=")</f>
        <v>#REF!</v>
      </c>
      <c r="HS19" t="e">
        <f>AND('Değerlendirme Formu'!#REF!,"AAAAAH+p+eI=")</f>
        <v>#REF!</v>
      </c>
      <c r="HT19" t="e">
        <f>AND('Değerlendirme Formu'!#REF!,"AAAAAH+p+eM=")</f>
        <v>#REF!</v>
      </c>
      <c r="HU19" t="e">
        <f>AND('Değerlendirme Formu'!#REF!,"AAAAAH+p+eQ=")</f>
        <v>#REF!</v>
      </c>
      <c r="HV19" t="e">
        <f>IF('Değerlendirme Formu'!#REF!,"AAAAAH+p+eU=",0)</f>
        <v>#REF!</v>
      </c>
      <c r="HW19" t="e">
        <f>AND('Değerlendirme Formu'!#REF!,"AAAAAH+p+eY=")</f>
        <v>#REF!</v>
      </c>
      <c r="HX19" t="e">
        <f>AND('Değerlendirme Formu'!#REF!,"AAAAAH+p+ec=")</f>
        <v>#REF!</v>
      </c>
      <c r="HY19" t="e">
        <f>AND('Değerlendirme Formu'!#REF!,"AAAAAH+p+eg=")</f>
        <v>#REF!</v>
      </c>
      <c r="HZ19" t="e">
        <f>AND('Değerlendirme Formu'!#REF!,"AAAAAH+p+ek=")</f>
        <v>#REF!</v>
      </c>
      <c r="IA19" t="e">
        <f>AND('Değerlendirme Formu'!#REF!,"AAAAAH+p+eo=")</f>
        <v>#REF!</v>
      </c>
      <c r="IB19" t="e">
        <f>AND('Değerlendirme Formu'!#REF!,"AAAAAH+p+es=")</f>
        <v>#REF!</v>
      </c>
      <c r="IC19" t="e">
        <f>AND('Değerlendirme Formu'!#REF!,"AAAAAH+p+ew=")</f>
        <v>#REF!</v>
      </c>
      <c r="ID19" t="e">
        <f>AND('Değerlendirme Formu'!#REF!,"AAAAAH+p+e0=")</f>
        <v>#REF!</v>
      </c>
      <c r="IE19" t="e">
        <f>AND('Değerlendirme Formu'!#REF!,"AAAAAH+p+e4=")</f>
        <v>#REF!</v>
      </c>
      <c r="IF19" t="e">
        <f>AND('Değerlendirme Formu'!#REF!,"AAAAAH+p+e8=")</f>
        <v>#REF!</v>
      </c>
      <c r="IG19" t="e">
        <f>AND('Değerlendirme Formu'!#REF!,"AAAAAH+p+fA=")</f>
        <v>#REF!</v>
      </c>
      <c r="IH19" t="e">
        <f>AND('Değerlendirme Formu'!#REF!,"AAAAAH+p+fE=")</f>
        <v>#REF!</v>
      </c>
      <c r="II19" t="e">
        <f>AND('Değerlendirme Formu'!#REF!,"AAAAAH+p+fI=")</f>
        <v>#REF!</v>
      </c>
      <c r="IJ19" t="e">
        <f>AND('Değerlendirme Formu'!#REF!,"AAAAAH+p+fM=")</f>
        <v>#REF!</v>
      </c>
      <c r="IK19" t="e">
        <f>AND('Değerlendirme Formu'!#REF!,"AAAAAH+p+fQ=")</f>
        <v>#REF!</v>
      </c>
      <c r="IL19" t="e">
        <f>AND('Değerlendirme Formu'!#REF!,"AAAAAH+p+fU=")</f>
        <v>#REF!</v>
      </c>
      <c r="IM19" t="e">
        <f>AND('Değerlendirme Formu'!#REF!,"AAAAAH+p+fY=")</f>
        <v>#REF!</v>
      </c>
      <c r="IN19" t="e">
        <f>IF('Değerlendirme Formu'!#REF!,"AAAAAH+p+fc=",0)</f>
        <v>#REF!</v>
      </c>
      <c r="IO19" t="e">
        <f>AND('Değerlendirme Formu'!#REF!,"AAAAAH+p+fg=")</f>
        <v>#REF!</v>
      </c>
      <c r="IP19" t="e">
        <f>AND('Değerlendirme Formu'!#REF!,"AAAAAH+p+fk=")</f>
        <v>#REF!</v>
      </c>
      <c r="IQ19" t="e">
        <f>AND('Değerlendirme Formu'!#REF!,"AAAAAH+p+fo=")</f>
        <v>#REF!</v>
      </c>
      <c r="IR19" t="e">
        <f>AND('Değerlendirme Formu'!#REF!,"AAAAAH+p+fs=")</f>
        <v>#REF!</v>
      </c>
      <c r="IS19" t="e">
        <f>AND('Değerlendirme Formu'!#REF!,"AAAAAH+p+fw=")</f>
        <v>#REF!</v>
      </c>
      <c r="IT19" t="e">
        <f>AND('Değerlendirme Formu'!#REF!,"AAAAAH+p+f0=")</f>
        <v>#REF!</v>
      </c>
      <c r="IU19" t="e">
        <f>AND('Değerlendirme Formu'!#REF!,"AAAAAH+p+f4=")</f>
        <v>#REF!</v>
      </c>
      <c r="IV19" t="e">
        <f>AND('Değerlendirme Formu'!#REF!,"AAAAAH+p+f8=")</f>
        <v>#REF!</v>
      </c>
    </row>
    <row r="20" spans="1:256" x14ac:dyDescent="0.2">
      <c r="A20" t="e">
        <f>AND('Değerlendirme Formu'!#REF!,"AAAAAGvl3wA=")</f>
        <v>#REF!</v>
      </c>
      <c r="B20" t="e">
        <f>AND('Değerlendirme Formu'!#REF!,"AAAAAGvl3wE=")</f>
        <v>#REF!</v>
      </c>
      <c r="C20" t="e">
        <f>AND('Değerlendirme Formu'!#REF!,"AAAAAGvl3wI=")</f>
        <v>#REF!</v>
      </c>
      <c r="D20" t="e">
        <f>AND('Değerlendirme Formu'!#REF!,"AAAAAGvl3wM=")</f>
        <v>#REF!</v>
      </c>
      <c r="E20" t="e">
        <f>AND('Değerlendirme Formu'!#REF!,"AAAAAGvl3wQ=")</f>
        <v>#REF!</v>
      </c>
      <c r="F20" t="e">
        <f>AND('Değerlendirme Formu'!#REF!,"AAAAAGvl3wU=")</f>
        <v>#REF!</v>
      </c>
      <c r="G20" t="e">
        <f>AND('Değerlendirme Formu'!#REF!,"AAAAAGvl3wY=")</f>
        <v>#REF!</v>
      </c>
      <c r="H20" t="e">
        <f>AND('Değerlendirme Formu'!#REF!,"AAAAAGvl3wc=")</f>
        <v>#REF!</v>
      </c>
      <c r="I20" t="e">
        <f>AND('Değerlendirme Formu'!#REF!,"AAAAAGvl3wg=")</f>
        <v>#REF!</v>
      </c>
      <c r="J20" t="e">
        <f>IF('Değerlendirme Formu'!#REF!,"AAAAAGvl3wk=",0)</f>
        <v>#REF!</v>
      </c>
      <c r="K20" t="e">
        <f>AND('Değerlendirme Formu'!#REF!,"AAAAAGvl3wo=")</f>
        <v>#REF!</v>
      </c>
      <c r="L20" t="e">
        <f>AND('Değerlendirme Formu'!#REF!,"AAAAAGvl3ws=")</f>
        <v>#REF!</v>
      </c>
      <c r="M20" t="e">
        <f>AND('Değerlendirme Formu'!#REF!,"AAAAAGvl3ww=")</f>
        <v>#REF!</v>
      </c>
      <c r="N20" t="e">
        <f>AND('Değerlendirme Formu'!#REF!,"AAAAAGvl3w0=")</f>
        <v>#REF!</v>
      </c>
      <c r="O20" t="e">
        <f>AND('Değerlendirme Formu'!#REF!,"AAAAAGvl3w4=")</f>
        <v>#REF!</v>
      </c>
      <c r="P20" t="e">
        <f>AND('Değerlendirme Formu'!#REF!,"AAAAAGvl3w8=")</f>
        <v>#REF!</v>
      </c>
      <c r="Q20" t="e">
        <f>AND('Değerlendirme Formu'!#REF!,"AAAAAGvl3xA=")</f>
        <v>#REF!</v>
      </c>
      <c r="R20" t="e">
        <f>AND('Değerlendirme Formu'!#REF!,"AAAAAGvl3xE=")</f>
        <v>#REF!</v>
      </c>
      <c r="S20" t="e">
        <f>AND('Değerlendirme Formu'!#REF!,"AAAAAGvl3xI=")</f>
        <v>#REF!</v>
      </c>
      <c r="T20" t="e">
        <f>AND('Değerlendirme Formu'!#REF!,"AAAAAGvl3xM=")</f>
        <v>#REF!</v>
      </c>
      <c r="U20" t="e">
        <f>AND('Değerlendirme Formu'!#REF!,"AAAAAGvl3xQ=")</f>
        <v>#REF!</v>
      </c>
      <c r="V20" t="e">
        <f>AND('Değerlendirme Formu'!#REF!,"AAAAAGvl3xU=")</f>
        <v>#REF!</v>
      </c>
      <c r="W20" t="e">
        <f>AND('Değerlendirme Formu'!#REF!,"AAAAAGvl3xY=")</f>
        <v>#REF!</v>
      </c>
      <c r="X20" t="e">
        <f>AND('Değerlendirme Formu'!#REF!,"AAAAAGvl3xc=")</f>
        <v>#REF!</v>
      </c>
      <c r="Y20" t="e">
        <f>AND('Değerlendirme Formu'!#REF!,"AAAAAGvl3xg=")</f>
        <v>#REF!</v>
      </c>
      <c r="Z20" t="e">
        <f>AND('Değerlendirme Formu'!#REF!,"AAAAAGvl3xk=")</f>
        <v>#REF!</v>
      </c>
      <c r="AA20" t="e">
        <f>AND('Değerlendirme Formu'!#REF!,"AAAAAGvl3xo=")</f>
        <v>#REF!</v>
      </c>
      <c r="AB20" t="e">
        <f>IF('Değerlendirme Formu'!#REF!,"AAAAAGvl3xs=",0)</f>
        <v>#REF!</v>
      </c>
      <c r="AC20" t="e">
        <f>AND('Değerlendirme Formu'!#REF!,"AAAAAGvl3xw=")</f>
        <v>#REF!</v>
      </c>
      <c r="AD20" t="e">
        <f>AND('Değerlendirme Formu'!#REF!,"AAAAAGvl3x0=")</f>
        <v>#REF!</v>
      </c>
      <c r="AE20" t="e">
        <f>AND('Değerlendirme Formu'!#REF!,"AAAAAGvl3x4=")</f>
        <v>#REF!</v>
      </c>
      <c r="AF20" t="e">
        <f>AND('Değerlendirme Formu'!#REF!,"AAAAAGvl3x8=")</f>
        <v>#REF!</v>
      </c>
      <c r="AG20" t="e">
        <f>AND('Değerlendirme Formu'!#REF!,"AAAAAGvl3yA=")</f>
        <v>#REF!</v>
      </c>
      <c r="AH20" t="e">
        <f>AND('Değerlendirme Formu'!#REF!,"AAAAAGvl3yE=")</f>
        <v>#REF!</v>
      </c>
      <c r="AI20" t="e">
        <f>AND('Değerlendirme Formu'!#REF!,"AAAAAGvl3yI=")</f>
        <v>#REF!</v>
      </c>
      <c r="AJ20" t="e">
        <f>AND('Değerlendirme Formu'!#REF!,"AAAAAGvl3yM=")</f>
        <v>#REF!</v>
      </c>
      <c r="AK20" t="e">
        <f>AND('Değerlendirme Formu'!#REF!,"AAAAAGvl3yQ=")</f>
        <v>#REF!</v>
      </c>
      <c r="AL20" t="e">
        <f>AND('Değerlendirme Formu'!#REF!,"AAAAAGvl3yU=")</f>
        <v>#REF!</v>
      </c>
      <c r="AM20" t="e">
        <f>AND('Değerlendirme Formu'!#REF!,"AAAAAGvl3yY=")</f>
        <v>#REF!</v>
      </c>
      <c r="AN20" t="e">
        <f>AND('Değerlendirme Formu'!#REF!,"AAAAAGvl3yc=")</f>
        <v>#REF!</v>
      </c>
      <c r="AO20" t="e">
        <f>AND('Değerlendirme Formu'!#REF!,"AAAAAGvl3yg=")</f>
        <v>#REF!</v>
      </c>
      <c r="AP20" t="e">
        <f>AND('Değerlendirme Formu'!#REF!,"AAAAAGvl3yk=")</f>
        <v>#REF!</v>
      </c>
      <c r="AQ20" t="e">
        <f>AND('Değerlendirme Formu'!#REF!,"AAAAAGvl3yo=")</f>
        <v>#REF!</v>
      </c>
      <c r="AR20" t="e">
        <f>AND('Değerlendirme Formu'!#REF!,"AAAAAGvl3ys=")</f>
        <v>#REF!</v>
      </c>
      <c r="AS20" t="e">
        <f>AND('Değerlendirme Formu'!#REF!,"AAAAAGvl3yw=")</f>
        <v>#REF!</v>
      </c>
      <c r="AT20" t="e">
        <f>IF('Değerlendirme Formu'!#REF!,"AAAAAGvl3y0=",0)</f>
        <v>#REF!</v>
      </c>
      <c r="AU20" t="e">
        <f>AND('Değerlendirme Formu'!#REF!,"AAAAAGvl3y4=")</f>
        <v>#REF!</v>
      </c>
      <c r="AV20" t="e">
        <f>AND('Değerlendirme Formu'!#REF!,"AAAAAGvl3y8=")</f>
        <v>#REF!</v>
      </c>
      <c r="AW20" t="e">
        <f>AND('Değerlendirme Formu'!#REF!,"AAAAAGvl3zA=")</f>
        <v>#REF!</v>
      </c>
      <c r="AX20" t="e">
        <f>AND('Değerlendirme Formu'!#REF!,"AAAAAGvl3zE=")</f>
        <v>#REF!</v>
      </c>
      <c r="AY20" t="e">
        <f>AND('Değerlendirme Formu'!#REF!,"AAAAAGvl3zI=")</f>
        <v>#REF!</v>
      </c>
      <c r="AZ20" t="e">
        <f>AND('Değerlendirme Formu'!#REF!,"AAAAAGvl3zM=")</f>
        <v>#REF!</v>
      </c>
      <c r="BA20" t="e">
        <f>AND('Değerlendirme Formu'!#REF!,"AAAAAGvl3zQ=")</f>
        <v>#REF!</v>
      </c>
      <c r="BB20" t="e">
        <f>AND('Değerlendirme Formu'!#REF!,"AAAAAGvl3zU=")</f>
        <v>#REF!</v>
      </c>
      <c r="BC20" t="e">
        <f>AND('Değerlendirme Formu'!#REF!,"AAAAAGvl3zY=")</f>
        <v>#REF!</v>
      </c>
      <c r="BD20" t="e">
        <f>AND('Değerlendirme Formu'!#REF!,"AAAAAGvl3zc=")</f>
        <v>#REF!</v>
      </c>
      <c r="BE20" t="e">
        <f>AND('Değerlendirme Formu'!#REF!,"AAAAAGvl3zg=")</f>
        <v>#REF!</v>
      </c>
      <c r="BF20" t="e">
        <f>AND('Değerlendirme Formu'!#REF!,"AAAAAGvl3zk=")</f>
        <v>#REF!</v>
      </c>
      <c r="BG20" t="e">
        <f>AND('Değerlendirme Formu'!#REF!,"AAAAAGvl3zo=")</f>
        <v>#REF!</v>
      </c>
      <c r="BH20" t="e">
        <f>AND('Değerlendirme Formu'!#REF!,"AAAAAGvl3zs=")</f>
        <v>#REF!</v>
      </c>
      <c r="BI20" t="e">
        <f>AND('Değerlendirme Formu'!#REF!,"AAAAAGvl3zw=")</f>
        <v>#REF!</v>
      </c>
      <c r="BJ20" t="e">
        <f>AND('Değerlendirme Formu'!#REF!,"AAAAAGvl3z0=")</f>
        <v>#REF!</v>
      </c>
      <c r="BK20" t="e">
        <f>AND('Değerlendirme Formu'!#REF!,"AAAAAGvl3z4=")</f>
        <v>#REF!</v>
      </c>
      <c r="BL20" t="e">
        <f>IF('Değerlendirme Formu'!#REF!,"AAAAAGvl3z8=",0)</f>
        <v>#REF!</v>
      </c>
      <c r="BM20" t="e">
        <f>AND('Değerlendirme Formu'!#REF!,"AAAAAGvl30A=")</f>
        <v>#REF!</v>
      </c>
      <c r="BN20" t="e">
        <f>AND('Değerlendirme Formu'!#REF!,"AAAAAGvl30E=")</f>
        <v>#REF!</v>
      </c>
      <c r="BO20" t="e">
        <f>AND('Değerlendirme Formu'!#REF!,"AAAAAGvl30I=")</f>
        <v>#REF!</v>
      </c>
      <c r="BP20" t="e">
        <f>AND('Değerlendirme Formu'!#REF!,"AAAAAGvl30M=")</f>
        <v>#REF!</v>
      </c>
      <c r="BQ20" t="e">
        <f>AND('Değerlendirme Formu'!#REF!,"AAAAAGvl30Q=")</f>
        <v>#REF!</v>
      </c>
      <c r="BR20" t="e">
        <f>AND('Değerlendirme Formu'!#REF!,"AAAAAGvl30U=")</f>
        <v>#REF!</v>
      </c>
      <c r="BS20" t="e">
        <f>AND('Değerlendirme Formu'!#REF!,"AAAAAGvl30Y=")</f>
        <v>#REF!</v>
      </c>
      <c r="BT20" t="e">
        <f>AND('Değerlendirme Formu'!#REF!,"AAAAAGvl30c=")</f>
        <v>#REF!</v>
      </c>
      <c r="BU20" t="e">
        <f>AND('Değerlendirme Formu'!#REF!,"AAAAAGvl30g=")</f>
        <v>#REF!</v>
      </c>
      <c r="BV20" t="e">
        <f>AND('Değerlendirme Formu'!#REF!,"AAAAAGvl30k=")</f>
        <v>#REF!</v>
      </c>
      <c r="BW20" t="e">
        <f>AND('Değerlendirme Formu'!#REF!,"AAAAAGvl30o=")</f>
        <v>#REF!</v>
      </c>
      <c r="BX20" t="e">
        <f>AND('Değerlendirme Formu'!#REF!,"AAAAAGvl30s=")</f>
        <v>#REF!</v>
      </c>
      <c r="BY20" t="e">
        <f>AND('Değerlendirme Formu'!#REF!,"AAAAAGvl30w=")</f>
        <v>#REF!</v>
      </c>
      <c r="BZ20" t="e">
        <f>AND('Değerlendirme Formu'!#REF!,"AAAAAGvl300=")</f>
        <v>#REF!</v>
      </c>
      <c r="CA20" t="e">
        <f>AND('Değerlendirme Formu'!#REF!,"AAAAAGvl304=")</f>
        <v>#REF!</v>
      </c>
      <c r="CB20" t="e">
        <f>AND('Değerlendirme Formu'!#REF!,"AAAAAGvl308=")</f>
        <v>#REF!</v>
      </c>
      <c r="CC20" t="e">
        <f>AND('Değerlendirme Formu'!#REF!,"AAAAAGvl31A=")</f>
        <v>#REF!</v>
      </c>
      <c r="CD20" t="e">
        <f>IF('Değerlendirme Formu'!#REF!,"AAAAAGvl31E=",0)</f>
        <v>#REF!</v>
      </c>
      <c r="CE20" t="e">
        <f>AND('Değerlendirme Formu'!#REF!,"AAAAAGvl31I=")</f>
        <v>#REF!</v>
      </c>
      <c r="CF20" t="e">
        <f>AND('Değerlendirme Formu'!#REF!,"AAAAAGvl31M=")</f>
        <v>#REF!</v>
      </c>
      <c r="CG20" t="e">
        <f>AND('Değerlendirme Formu'!#REF!,"AAAAAGvl31Q=")</f>
        <v>#REF!</v>
      </c>
      <c r="CH20" t="e">
        <f>AND('Değerlendirme Formu'!#REF!,"AAAAAGvl31U=")</f>
        <v>#REF!</v>
      </c>
      <c r="CI20" t="e">
        <f>AND('Değerlendirme Formu'!#REF!,"AAAAAGvl31Y=")</f>
        <v>#REF!</v>
      </c>
      <c r="CJ20" t="e">
        <f>AND('Değerlendirme Formu'!#REF!,"AAAAAGvl31c=")</f>
        <v>#REF!</v>
      </c>
      <c r="CK20" t="e">
        <f>AND('Değerlendirme Formu'!#REF!,"AAAAAGvl31g=")</f>
        <v>#REF!</v>
      </c>
      <c r="CL20" t="e">
        <f>AND('Değerlendirme Formu'!#REF!,"AAAAAGvl31k=")</f>
        <v>#REF!</v>
      </c>
      <c r="CM20" t="e">
        <f>AND('Değerlendirme Formu'!#REF!,"AAAAAGvl31o=")</f>
        <v>#REF!</v>
      </c>
      <c r="CN20" t="e">
        <f>AND('Değerlendirme Formu'!#REF!,"AAAAAGvl31s=")</f>
        <v>#REF!</v>
      </c>
      <c r="CO20" t="e">
        <f>AND('Değerlendirme Formu'!#REF!,"AAAAAGvl31w=")</f>
        <v>#REF!</v>
      </c>
      <c r="CP20" t="e">
        <f>AND('Değerlendirme Formu'!#REF!,"AAAAAGvl310=")</f>
        <v>#REF!</v>
      </c>
      <c r="CQ20" t="e">
        <f>AND('Değerlendirme Formu'!#REF!,"AAAAAGvl314=")</f>
        <v>#REF!</v>
      </c>
      <c r="CR20" t="e">
        <f>AND('Değerlendirme Formu'!#REF!,"AAAAAGvl318=")</f>
        <v>#REF!</v>
      </c>
      <c r="CS20" t="e">
        <f>AND('Değerlendirme Formu'!#REF!,"AAAAAGvl32A=")</f>
        <v>#REF!</v>
      </c>
      <c r="CT20" t="e">
        <f>AND('Değerlendirme Formu'!#REF!,"AAAAAGvl32E=")</f>
        <v>#REF!</v>
      </c>
      <c r="CU20" t="e">
        <f>AND('Değerlendirme Formu'!#REF!,"AAAAAGvl32I=")</f>
        <v>#REF!</v>
      </c>
      <c r="CV20" t="e">
        <f>IF('Değerlendirme Formu'!#REF!,"AAAAAGvl32M=",0)</f>
        <v>#REF!</v>
      </c>
      <c r="CW20" t="e">
        <f>AND('Değerlendirme Formu'!#REF!,"AAAAAGvl32Q=")</f>
        <v>#REF!</v>
      </c>
      <c r="CX20" t="e">
        <f>AND('Değerlendirme Formu'!#REF!,"AAAAAGvl32U=")</f>
        <v>#REF!</v>
      </c>
      <c r="CY20" t="e">
        <f>AND('Değerlendirme Formu'!#REF!,"AAAAAGvl32Y=")</f>
        <v>#REF!</v>
      </c>
      <c r="CZ20" t="e">
        <f>AND('Değerlendirme Formu'!#REF!,"AAAAAGvl32c=")</f>
        <v>#REF!</v>
      </c>
      <c r="DA20" t="e">
        <f>AND('Değerlendirme Formu'!#REF!,"AAAAAGvl32g=")</f>
        <v>#REF!</v>
      </c>
      <c r="DB20" t="e">
        <f>AND('Değerlendirme Formu'!#REF!,"AAAAAGvl32k=")</f>
        <v>#REF!</v>
      </c>
      <c r="DC20" t="e">
        <f>AND('Değerlendirme Formu'!#REF!,"AAAAAGvl32o=")</f>
        <v>#REF!</v>
      </c>
      <c r="DD20" t="e">
        <f>AND('Değerlendirme Formu'!#REF!,"AAAAAGvl32s=")</f>
        <v>#REF!</v>
      </c>
      <c r="DE20" t="e">
        <f>AND('Değerlendirme Formu'!#REF!,"AAAAAGvl32w=")</f>
        <v>#REF!</v>
      </c>
      <c r="DF20" t="e">
        <f>AND('Değerlendirme Formu'!#REF!,"AAAAAGvl320=")</f>
        <v>#REF!</v>
      </c>
      <c r="DG20" t="e">
        <f>AND('Değerlendirme Formu'!#REF!,"AAAAAGvl324=")</f>
        <v>#REF!</v>
      </c>
      <c r="DH20" t="e">
        <f>AND('Değerlendirme Formu'!#REF!,"AAAAAGvl328=")</f>
        <v>#REF!</v>
      </c>
      <c r="DI20" t="e">
        <f>AND('Değerlendirme Formu'!#REF!,"AAAAAGvl33A=")</f>
        <v>#REF!</v>
      </c>
      <c r="DJ20" t="e">
        <f>AND('Değerlendirme Formu'!#REF!,"AAAAAGvl33E=")</f>
        <v>#REF!</v>
      </c>
      <c r="DK20" t="e">
        <f>AND('Değerlendirme Formu'!#REF!,"AAAAAGvl33I=")</f>
        <v>#REF!</v>
      </c>
      <c r="DL20" t="e">
        <f>AND('Değerlendirme Formu'!#REF!,"AAAAAGvl33M=")</f>
        <v>#REF!</v>
      </c>
      <c r="DM20" t="e">
        <f>AND('Değerlendirme Formu'!#REF!,"AAAAAGvl33Q=")</f>
        <v>#REF!</v>
      </c>
      <c r="DN20" t="e">
        <f>IF('Değerlendirme Formu'!#REF!,"AAAAAGvl33U=",0)</f>
        <v>#REF!</v>
      </c>
      <c r="DO20" t="e">
        <f>AND('Değerlendirme Formu'!#REF!,"AAAAAGvl33Y=")</f>
        <v>#REF!</v>
      </c>
      <c r="DP20" t="e">
        <f>AND('Değerlendirme Formu'!#REF!,"AAAAAGvl33c=")</f>
        <v>#REF!</v>
      </c>
      <c r="DQ20" t="e">
        <f>AND('Değerlendirme Formu'!#REF!,"AAAAAGvl33g=")</f>
        <v>#REF!</v>
      </c>
      <c r="DR20" t="e">
        <f>AND('Değerlendirme Formu'!#REF!,"AAAAAGvl33k=")</f>
        <v>#REF!</v>
      </c>
      <c r="DS20" t="e">
        <f>AND('Değerlendirme Formu'!#REF!,"AAAAAGvl33o=")</f>
        <v>#REF!</v>
      </c>
      <c r="DT20" t="e">
        <f>AND('Değerlendirme Formu'!#REF!,"AAAAAGvl33s=")</f>
        <v>#REF!</v>
      </c>
      <c r="DU20" t="e">
        <f>AND('Değerlendirme Formu'!#REF!,"AAAAAGvl33w=")</f>
        <v>#REF!</v>
      </c>
      <c r="DV20" t="e">
        <f>AND('Değerlendirme Formu'!#REF!,"AAAAAGvl330=")</f>
        <v>#REF!</v>
      </c>
      <c r="DW20" t="e">
        <f>AND('Değerlendirme Formu'!#REF!,"AAAAAGvl334=")</f>
        <v>#REF!</v>
      </c>
      <c r="DX20" t="e">
        <f>AND('Değerlendirme Formu'!#REF!,"AAAAAGvl338=")</f>
        <v>#REF!</v>
      </c>
      <c r="DY20" t="e">
        <f>AND('Değerlendirme Formu'!#REF!,"AAAAAGvl34A=")</f>
        <v>#REF!</v>
      </c>
      <c r="DZ20" t="e">
        <f>AND('Değerlendirme Formu'!#REF!,"AAAAAGvl34E=")</f>
        <v>#REF!</v>
      </c>
      <c r="EA20" t="e">
        <f>AND('Değerlendirme Formu'!#REF!,"AAAAAGvl34I=")</f>
        <v>#REF!</v>
      </c>
      <c r="EB20" t="e">
        <f>AND('Değerlendirme Formu'!#REF!,"AAAAAGvl34M=")</f>
        <v>#REF!</v>
      </c>
      <c r="EC20" t="e">
        <f>AND('Değerlendirme Formu'!#REF!,"AAAAAGvl34Q=")</f>
        <v>#REF!</v>
      </c>
      <c r="ED20" t="e">
        <f>AND('Değerlendirme Formu'!#REF!,"AAAAAGvl34U=")</f>
        <v>#REF!</v>
      </c>
      <c r="EE20" t="e">
        <f>AND('Değerlendirme Formu'!#REF!,"AAAAAGvl34Y=")</f>
        <v>#REF!</v>
      </c>
      <c r="EF20" t="e">
        <f>IF('Değerlendirme Formu'!#REF!,"AAAAAGvl34c=",0)</f>
        <v>#REF!</v>
      </c>
      <c r="EG20" t="e">
        <f>AND('Değerlendirme Formu'!#REF!,"AAAAAGvl34g=")</f>
        <v>#REF!</v>
      </c>
      <c r="EH20" t="e">
        <f>AND('Değerlendirme Formu'!#REF!,"AAAAAGvl34k=")</f>
        <v>#REF!</v>
      </c>
      <c r="EI20" t="e">
        <f>AND('Değerlendirme Formu'!#REF!,"AAAAAGvl34o=")</f>
        <v>#REF!</v>
      </c>
      <c r="EJ20" t="e">
        <f>AND('Değerlendirme Formu'!#REF!,"AAAAAGvl34s=")</f>
        <v>#REF!</v>
      </c>
      <c r="EK20" t="e">
        <f>AND('Değerlendirme Formu'!#REF!,"AAAAAGvl34w=")</f>
        <v>#REF!</v>
      </c>
      <c r="EL20" t="e">
        <f>AND('Değerlendirme Formu'!#REF!,"AAAAAGvl340=")</f>
        <v>#REF!</v>
      </c>
      <c r="EM20" t="e">
        <f>AND('Değerlendirme Formu'!#REF!,"AAAAAGvl344=")</f>
        <v>#REF!</v>
      </c>
      <c r="EN20" t="e">
        <f>AND('Değerlendirme Formu'!#REF!,"AAAAAGvl348=")</f>
        <v>#REF!</v>
      </c>
      <c r="EO20" t="e">
        <f>AND('Değerlendirme Formu'!#REF!,"AAAAAGvl35A=")</f>
        <v>#REF!</v>
      </c>
      <c r="EP20" t="e">
        <f>AND('Değerlendirme Formu'!#REF!,"AAAAAGvl35E=")</f>
        <v>#REF!</v>
      </c>
      <c r="EQ20" t="e">
        <f>AND('Değerlendirme Formu'!#REF!,"AAAAAGvl35I=")</f>
        <v>#REF!</v>
      </c>
      <c r="ER20" t="e">
        <f>AND('Değerlendirme Formu'!#REF!,"AAAAAGvl35M=")</f>
        <v>#REF!</v>
      </c>
      <c r="ES20" t="e">
        <f>AND('Değerlendirme Formu'!#REF!,"AAAAAGvl35Q=")</f>
        <v>#REF!</v>
      </c>
      <c r="ET20" t="e">
        <f>AND('Değerlendirme Formu'!#REF!,"AAAAAGvl35U=")</f>
        <v>#REF!</v>
      </c>
      <c r="EU20" t="e">
        <f>AND('Değerlendirme Formu'!#REF!,"AAAAAGvl35Y=")</f>
        <v>#REF!</v>
      </c>
      <c r="EV20" t="e">
        <f>AND('Değerlendirme Formu'!#REF!,"AAAAAGvl35c=")</f>
        <v>#REF!</v>
      </c>
      <c r="EW20" t="e">
        <f>AND('Değerlendirme Formu'!#REF!,"AAAAAGvl35g=")</f>
        <v>#REF!</v>
      </c>
      <c r="EX20" t="e">
        <f>IF('Değerlendirme Formu'!#REF!,"AAAAAGvl35k=",0)</f>
        <v>#REF!</v>
      </c>
      <c r="EY20" t="e">
        <f>AND('Değerlendirme Formu'!#REF!,"AAAAAGvl35o=")</f>
        <v>#REF!</v>
      </c>
      <c r="EZ20" t="e">
        <f>AND('Değerlendirme Formu'!#REF!,"AAAAAGvl35s=")</f>
        <v>#REF!</v>
      </c>
      <c r="FA20" t="e">
        <f>AND('Değerlendirme Formu'!#REF!,"AAAAAGvl35w=")</f>
        <v>#REF!</v>
      </c>
      <c r="FB20" t="e">
        <f>AND('Değerlendirme Formu'!#REF!,"AAAAAGvl350=")</f>
        <v>#REF!</v>
      </c>
      <c r="FC20" t="e">
        <f>AND('Değerlendirme Formu'!#REF!,"AAAAAGvl354=")</f>
        <v>#REF!</v>
      </c>
      <c r="FD20" t="e">
        <f>AND('Değerlendirme Formu'!#REF!,"AAAAAGvl358=")</f>
        <v>#REF!</v>
      </c>
      <c r="FE20" t="e">
        <f>AND('Değerlendirme Formu'!#REF!,"AAAAAGvl36A=")</f>
        <v>#REF!</v>
      </c>
      <c r="FF20" t="e">
        <f>AND('Değerlendirme Formu'!#REF!,"AAAAAGvl36E=")</f>
        <v>#REF!</v>
      </c>
      <c r="FG20" t="e">
        <f>AND('Değerlendirme Formu'!#REF!,"AAAAAGvl36I=")</f>
        <v>#REF!</v>
      </c>
      <c r="FH20" t="e">
        <f>AND('Değerlendirme Formu'!#REF!,"AAAAAGvl36M=")</f>
        <v>#REF!</v>
      </c>
      <c r="FI20" t="e">
        <f>AND('Değerlendirme Formu'!#REF!,"AAAAAGvl36Q=")</f>
        <v>#REF!</v>
      </c>
      <c r="FJ20" t="e">
        <f>AND('Değerlendirme Formu'!#REF!,"AAAAAGvl36U=")</f>
        <v>#REF!</v>
      </c>
      <c r="FK20" t="e">
        <f>AND('Değerlendirme Formu'!#REF!,"AAAAAGvl36Y=")</f>
        <v>#REF!</v>
      </c>
      <c r="FL20" t="e">
        <f>AND('Değerlendirme Formu'!#REF!,"AAAAAGvl36c=")</f>
        <v>#REF!</v>
      </c>
      <c r="FM20" t="e">
        <f>AND('Değerlendirme Formu'!#REF!,"AAAAAGvl36g=")</f>
        <v>#REF!</v>
      </c>
      <c r="FN20" t="e">
        <f>AND('Değerlendirme Formu'!#REF!,"AAAAAGvl36k=")</f>
        <v>#REF!</v>
      </c>
      <c r="FO20" t="e">
        <f>AND('Değerlendirme Formu'!#REF!,"AAAAAGvl36o=")</f>
        <v>#REF!</v>
      </c>
      <c r="FP20" t="e">
        <f>IF('Değerlendirme Formu'!#REF!,"AAAAAGvl36s=",0)</f>
        <v>#REF!</v>
      </c>
      <c r="FQ20" t="e">
        <f>AND('Değerlendirme Formu'!#REF!,"AAAAAGvl36w=")</f>
        <v>#REF!</v>
      </c>
      <c r="FR20" t="e">
        <f>AND('Değerlendirme Formu'!#REF!,"AAAAAGvl360=")</f>
        <v>#REF!</v>
      </c>
      <c r="FS20" t="e">
        <f>AND('Değerlendirme Formu'!#REF!,"AAAAAGvl364=")</f>
        <v>#REF!</v>
      </c>
      <c r="FT20" t="e">
        <f>AND('Değerlendirme Formu'!#REF!,"AAAAAGvl368=")</f>
        <v>#REF!</v>
      </c>
      <c r="FU20" t="e">
        <f>AND('Değerlendirme Formu'!#REF!,"AAAAAGvl37A=")</f>
        <v>#REF!</v>
      </c>
      <c r="FV20" t="e">
        <f>AND('Değerlendirme Formu'!#REF!,"AAAAAGvl37E=")</f>
        <v>#REF!</v>
      </c>
      <c r="FW20" t="e">
        <f>AND('Değerlendirme Formu'!#REF!,"AAAAAGvl37I=")</f>
        <v>#REF!</v>
      </c>
      <c r="FX20" t="e">
        <f>AND('Değerlendirme Formu'!#REF!,"AAAAAGvl37M=")</f>
        <v>#REF!</v>
      </c>
      <c r="FY20" t="e">
        <f>AND('Değerlendirme Formu'!#REF!,"AAAAAGvl37Q=")</f>
        <v>#REF!</v>
      </c>
      <c r="FZ20" t="e">
        <f>AND('Değerlendirme Formu'!#REF!,"AAAAAGvl37U=")</f>
        <v>#REF!</v>
      </c>
      <c r="GA20" t="e">
        <f>AND('Değerlendirme Formu'!#REF!,"AAAAAGvl37Y=")</f>
        <v>#REF!</v>
      </c>
      <c r="GB20" t="e">
        <f>AND('Değerlendirme Formu'!#REF!,"AAAAAGvl37c=")</f>
        <v>#REF!</v>
      </c>
      <c r="GC20" t="e">
        <f>AND('Değerlendirme Formu'!#REF!,"AAAAAGvl37g=")</f>
        <v>#REF!</v>
      </c>
      <c r="GD20" t="e">
        <f>AND('Değerlendirme Formu'!#REF!,"AAAAAGvl37k=")</f>
        <v>#REF!</v>
      </c>
      <c r="GE20" t="e">
        <f>AND('Değerlendirme Formu'!#REF!,"AAAAAGvl37o=")</f>
        <v>#REF!</v>
      </c>
      <c r="GF20" t="e">
        <f>AND('Değerlendirme Formu'!#REF!,"AAAAAGvl37s=")</f>
        <v>#REF!</v>
      </c>
      <c r="GG20" t="e">
        <f>AND('Değerlendirme Formu'!#REF!,"AAAAAGvl37w=")</f>
        <v>#REF!</v>
      </c>
      <c r="GH20" t="e">
        <f>IF('Değerlendirme Formu'!#REF!,"AAAAAGvl370=",0)</f>
        <v>#REF!</v>
      </c>
      <c r="GI20" t="e">
        <f>AND('Değerlendirme Formu'!#REF!,"AAAAAGvl374=")</f>
        <v>#REF!</v>
      </c>
      <c r="GJ20" t="e">
        <f>AND('Değerlendirme Formu'!#REF!,"AAAAAGvl378=")</f>
        <v>#REF!</v>
      </c>
      <c r="GK20" t="e">
        <f>AND('Değerlendirme Formu'!#REF!,"AAAAAGvl38A=")</f>
        <v>#REF!</v>
      </c>
      <c r="GL20" t="e">
        <f>AND('Değerlendirme Formu'!#REF!,"AAAAAGvl38E=")</f>
        <v>#REF!</v>
      </c>
      <c r="GM20" t="e">
        <f>AND('Değerlendirme Formu'!#REF!,"AAAAAGvl38I=")</f>
        <v>#REF!</v>
      </c>
      <c r="GN20" t="e">
        <f>AND('Değerlendirme Formu'!#REF!,"AAAAAGvl38M=")</f>
        <v>#REF!</v>
      </c>
      <c r="GO20" t="e">
        <f>AND('Değerlendirme Formu'!#REF!,"AAAAAGvl38Q=")</f>
        <v>#REF!</v>
      </c>
      <c r="GP20" t="e">
        <f>AND('Değerlendirme Formu'!#REF!,"AAAAAGvl38U=")</f>
        <v>#REF!</v>
      </c>
      <c r="GQ20" t="e">
        <f>AND('Değerlendirme Formu'!#REF!,"AAAAAGvl38Y=")</f>
        <v>#REF!</v>
      </c>
      <c r="GR20" t="e">
        <f>AND('Değerlendirme Formu'!#REF!,"AAAAAGvl38c=")</f>
        <v>#REF!</v>
      </c>
      <c r="GS20" t="e">
        <f>AND('Değerlendirme Formu'!#REF!,"AAAAAGvl38g=")</f>
        <v>#REF!</v>
      </c>
      <c r="GT20" t="e">
        <f>AND('Değerlendirme Formu'!#REF!,"AAAAAGvl38k=")</f>
        <v>#REF!</v>
      </c>
      <c r="GU20" t="e">
        <f>AND('Değerlendirme Formu'!#REF!,"AAAAAGvl38o=")</f>
        <v>#REF!</v>
      </c>
      <c r="GV20" t="e">
        <f>AND('Değerlendirme Formu'!#REF!,"AAAAAGvl38s=")</f>
        <v>#REF!</v>
      </c>
      <c r="GW20" t="e">
        <f>AND('Değerlendirme Formu'!#REF!,"AAAAAGvl38w=")</f>
        <v>#REF!</v>
      </c>
      <c r="GX20" t="e">
        <f>AND('Değerlendirme Formu'!#REF!,"AAAAAGvl380=")</f>
        <v>#REF!</v>
      </c>
      <c r="GY20" t="e">
        <f>AND('Değerlendirme Formu'!#REF!,"AAAAAGvl384=")</f>
        <v>#REF!</v>
      </c>
      <c r="GZ20" t="e">
        <f>IF('Değerlendirme Formu'!#REF!,"AAAAAGvl388=",0)</f>
        <v>#REF!</v>
      </c>
      <c r="HA20" t="e">
        <f>AND('Değerlendirme Formu'!#REF!,"AAAAAGvl39A=")</f>
        <v>#REF!</v>
      </c>
      <c r="HB20" t="e">
        <f>AND('Değerlendirme Formu'!#REF!,"AAAAAGvl39E=")</f>
        <v>#REF!</v>
      </c>
      <c r="HC20" t="e">
        <f>AND('Değerlendirme Formu'!#REF!,"AAAAAGvl39I=")</f>
        <v>#REF!</v>
      </c>
      <c r="HD20" t="e">
        <f>AND('Değerlendirme Formu'!#REF!,"AAAAAGvl39M=")</f>
        <v>#REF!</v>
      </c>
      <c r="HE20" t="e">
        <f>AND('Değerlendirme Formu'!#REF!,"AAAAAGvl39Q=")</f>
        <v>#REF!</v>
      </c>
      <c r="HF20" t="e">
        <f>AND('Değerlendirme Formu'!#REF!,"AAAAAGvl39U=")</f>
        <v>#REF!</v>
      </c>
      <c r="HG20" t="e">
        <f>AND('Değerlendirme Formu'!#REF!,"AAAAAGvl39Y=")</f>
        <v>#REF!</v>
      </c>
      <c r="HH20" t="e">
        <f>AND('Değerlendirme Formu'!#REF!,"AAAAAGvl39c=")</f>
        <v>#REF!</v>
      </c>
      <c r="HI20" t="e">
        <f>AND('Değerlendirme Formu'!#REF!,"AAAAAGvl39g=")</f>
        <v>#REF!</v>
      </c>
      <c r="HJ20" t="e">
        <f>AND('Değerlendirme Formu'!#REF!,"AAAAAGvl39k=")</f>
        <v>#REF!</v>
      </c>
      <c r="HK20" t="e">
        <f>AND('Değerlendirme Formu'!#REF!,"AAAAAGvl39o=")</f>
        <v>#REF!</v>
      </c>
      <c r="HL20" t="e">
        <f>AND('Değerlendirme Formu'!#REF!,"AAAAAGvl39s=")</f>
        <v>#REF!</v>
      </c>
      <c r="HM20" t="e">
        <f>AND('Değerlendirme Formu'!#REF!,"AAAAAGvl39w=")</f>
        <v>#REF!</v>
      </c>
      <c r="HN20" t="e">
        <f>AND('Değerlendirme Formu'!#REF!,"AAAAAGvl390=")</f>
        <v>#REF!</v>
      </c>
      <c r="HO20" t="e">
        <f>AND('Değerlendirme Formu'!#REF!,"AAAAAGvl394=")</f>
        <v>#REF!</v>
      </c>
      <c r="HP20" t="e">
        <f>AND('Değerlendirme Formu'!#REF!,"AAAAAGvl398=")</f>
        <v>#REF!</v>
      </c>
      <c r="HQ20" t="e">
        <f>AND('Değerlendirme Formu'!#REF!,"AAAAAGvl3+A=")</f>
        <v>#REF!</v>
      </c>
      <c r="HR20" t="e">
        <f>IF('Değerlendirme Formu'!#REF!,"AAAAAGvl3+E=",0)</f>
        <v>#REF!</v>
      </c>
      <c r="HS20" t="e">
        <f>AND('Değerlendirme Formu'!#REF!,"AAAAAGvl3+I=")</f>
        <v>#REF!</v>
      </c>
      <c r="HT20" t="e">
        <f>AND('Değerlendirme Formu'!#REF!,"AAAAAGvl3+M=")</f>
        <v>#REF!</v>
      </c>
      <c r="HU20" t="e">
        <f>AND('Değerlendirme Formu'!#REF!,"AAAAAGvl3+Q=")</f>
        <v>#REF!</v>
      </c>
      <c r="HV20" t="e">
        <f>AND('Değerlendirme Formu'!#REF!,"AAAAAGvl3+U=")</f>
        <v>#REF!</v>
      </c>
      <c r="HW20" t="e">
        <f>AND('Değerlendirme Formu'!#REF!,"AAAAAGvl3+Y=")</f>
        <v>#REF!</v>
      </c>
      <c r="HX20" t="e">
        <f>AND('Değerlendirme Formu'!#REF!,"AAAAAGvl3+c=")</f>
        <v>#REF!</v>
      </c>
      <c r="HY20" t="e">
        <f>AND('Değerlendirme Formu'!#REF!,"AAAAAGvl3+g=")</f>
        <v>#REF!</v>
      </c>
      <c r="HZ20" t="e">
        <f>AND('Değerlendirme Formu'!#REF!,"AAAAAGvl3+k=")</f>
        <v>#REF!</v>
      </c>
      <c r="IA20" t="e">
        <f>AND('Değerlendirme Formu'!#REF!,"AAAAAGvl3+o=")</f>
        <v>#REF!</v>
      </c>
      <c r="IB20" t="e">
        <f>AND('Değerlendirme Formu'!#REF!,"AAAAAGvl3+s=")</f>
        <v>#REF!</v>
      </c>
      <c r="IC20" t="e">
        <f>AND('Değerlendirme Formu'!#REF!,"AAAAAGvl3+w=")</f>
        <v>#REF!</v>
      </c>
      <c r="ID20" t="e">
        <f>AND('Değerlendirme Formu'!#REF!,"AAAAAGvl3+0=")</f>
        <v>#REF!</v>
      </c>
      <c r="IE20" t="e">
        <f>AND('Değerlendirme Formu'!#REF!,"AAAAAGvl3+4=")</f>
        <v>#REF!</v>
      </c>
      <c r="IF20" t="e">
        <f>AND('Değerlendirme Formu'!#REF!,"AAAAAGvl3+8=")</f>
        <v>#REF!</v>
      </c>
      <c r="IG20" t="e">
        <f>AND('Değerlendirme Formu'!#REF!,"AAAAAGvl3/A=")</f>
        <v>#REF!</v>
      </c>
      <c r="IH20" t="e">
        <f>AND('Değerlendirme Formu'!#REF!,"AAAAAGvl3/E=")</f>
        <v>#REF!</v>
      </c>
      <c r="II20" t="e">
        <f>AND('Değerlendirme Formu'!#REF!,"AAAAAGvl3/I=")</f>
        <v>#REF!</v>
      </c>
      <c r="IJ20" t="e">
        <f>IF('Değerlendirme Formu'!#REF!,"AAAAAGvl3/M=",0)</f>
        <v>#REF!</v>
      </c>
      <c r="IK20" t="e">
        <f>AND('Değerlendirme Formu'!#REF!,"AAAAAGvl3/Q=")</f>
        <v>#REF!</v>
      </c>
      <c r="IL20" t="e">
        <f>AND('Değerlendirme Formu'!#REF!,"AAAAAGvl3/U=")</f>
        <v>#REF!</v>
      </c>
      <c r="IM20" t="e">
        <f>AND('Değerlendirme Formu'!#REF!,"AAAAAGvl3/Y=")</f>
        <v>#REF!</v>
      </c>
      <c r="IN20" t="e">
        <f>AND('Değerlendirme Formu'!#REF!,"AAAAAGvl3/c=")</f>
        <v>#REF!</v>
      </c>
      <c r="IO20" t="e">
        <f>AND('Değerlendirme Formu'!#REF!,"AAAAAGvl3/g=")</f>
        <v>#REF!</v>
      </c>
      <c r="IP20" t="e">
        <f>AND('Değerlendirme Formu'!#REF!,"AAAAAGvl3/k=")</f>
        <v>#REF!</v>
      </c>
      <c r="IQ20" t="e">
        <f>AND('Değerlendirme Formu'!#REF!,"AAAAAGvl3/o=")</f>
        <v>#REF!</v>
      </c>
      <c r="IR20" t="e">
        <f>AND('Değerlendirme Formu'!#REF!,"AAAAAGvl3/s=")</f>
        <v>#REF!</v>
      </c>
      <c r="IS20" t="e">
        <f>AND('Değerlendirme Formu'!#REF!,"AAAAAGvl3/w=")</f>
        <v>#REF!</v>
      </c>
      <c r="IT20" t="e">
        <f>AND('Değerlendirme Formu'!#REF!,"AAAAAGvl3/0=")</f>
        <v>#REF!</v>
      </c>
      <c r="IU20" t="e">
        <f>AND('Değerlendirme Formu'!#REF!,"AAAAAGvl3/4=")</f>
        <v>#REF!</v>
      </c>
      <c r="IV20" t="e">
        <f>AND('Değerlendirme Formu'!#REF!,"AAAAAGvl3/8=")</f>
        <v>#REF!</v>
      </c>
    </row>
    <row r="21" spans="1:256" x14ac:dyDescent="0.2">
      <c r="A21" t="e">
        <f>AND('Değerlendirme Formu'!#REF!,"AAAAAE9keQA=")</f>
        <v>#REF!</v>
      </c>
      <c r="B21" t="e">
        <f>AND('Değerlendirme Formu'!#REF!,"AAAAAE9keQE=")</f>
        <v>#REF!</v>
      </c>
      <c r="C21" t="e">
        <f>AND('Değerlendirme Formu'!#REF!,"AAAAAE9keQI=")</f>
        <v>#REF!</v>
      </c>
      <c r="D21" t="e">
        <f>AND('Değerlendirme Formu'!#REF!,"AAAAAE9keQM=")</f>
        <v>#REF!</v>
      </c>
      <c r="E21" t="e">
        <f>AND('Değerlendirme Formu'!#REF!,"AAAAAE9keQQ=")</f>
        <v>#REF!</v>
      </c>
      <c r="F21" t="e">
        <f>IF('Değerlendirme Formu'!#REF!,"AAAAAE9keQU=",0)</f>
        <v>#REF!</v>
      </c>
      <c r="G21" t="e">
        <f>AND('Değerlendirme Formu'!#REF!,"AAAAAE9keQY=")</f>
        <v>#REF!</v>
      </c>
      <c r="H21" t="e">
        <f>AND('Değerlendirme Formu'!#REF!,"AAAAAE9keQc=")</f>
        <v>#REF!</v>
      </c>
      <c r="I21" t="e">
        <f>AND('Değerlendirme Formu'!#REF!,"AAAAAE9keQg=")</f>
        <v>#REF!</v>
      </c>
      <c r="J21" t="e">
        <f>AND('Değerlendirme Formu'!#REF!,"AAAAAE9keQk=")</f>
        <v>#REF!</v>
      </c>
      <c r="K21" t="e">
        <f>AND('Değerlendirme Formu'!#REF!,"AAAAAE9keQo=")</f>
        <v>#REF!</v>
      </c>
      <c r="L21" t="e">
        <f>AND('Değerlendirme Formu'!#REF!,"AAAAAE9keQs=")</f>
        <v>#REF!</v>
      </c>
      <c r="M21" t="e">
        <f>AND('Değerlendirme Formu'!#REF!,"AAAAAE9keQw=")</f>
        <v>#REF!</v>
      </c>
      <c r="N21" t="e">
        <f>AND('Değerlendirme Formu'!#REF!,"AAAAAE9keQ0=")</f>
        <v>#REF!</v>
      </c>
      <c r="O21" t="e">
        <f>AND('Değerlendirme Formu'!#REF!,"AAAAAE9keQ4=")</f>
        <v>#REF!</v>
      </c>
      <c r="P21" t="e">
        <f>AND('Değerlendirme Formu'!#REF!,"AAAAAE9keQ8=")</f>
        <v>#REF!</v>
      </c>
      <c r="Q21" t="e">
        <f>AND('Değerlendirme Formu'!#REF!,"AAAAAE9keRA=")</f>
        <v>#REF!</v>
      </c>
      <c r="R21" t="e">
        <f>AND('Değerlendirme Formu'!#REF!,"AAAAAE9keRE=")</f>
        <v>#REF!</v>
      </c>
      <c r="S21" t="e">
        <f>AND('Değerlendirme Formu'!#REF!,"AAAAAE9keRI=")</f>
        <v>#REF!</v>
      </c>
      <c r="T21" t="e">
        <f>AND('Değerlendirme Formu'!#REF!,"AAAAAE9keRM=")</f>
        <v>#REF!</v>
      </c>
      <c r="U21" t="e">
        <f>AND('Değerlendirme Formu'!#REF!,"AAAAAE9keRQ=")</f>
        <v>#REF!</v>
      </c>
      <c r="V21" t="e">
        <f>AND('Değerlendirme Formu'!#REF!,"AAAAAE9keRU=")</f>
        <v>#REF!</v>
      </c>
      <c r="W21" t="e">
        <f>AND('Değerlendirme Formu'!#REF!,"AAAAAE9keRY=")</f>
        <v>#REF!</v>
      </c>
      <c r="X21" t="e">
        <f>IF('Değerlendirme Formu'!#REF!,"AAAAAE9keRc=",0)</f>
        <v>#REF!</v>
      </c>
      <c r="Y21" t="e">
        <f>AND('Değerlendirme Formu'!#REF!,"AAAAAE9keRg=")</f>
        <v>#REF!</v>
      </c>
      <c r="Z21" t="e">
        <f>AND('Değerlendirme Formu'!#REF!,"AAAAAE9keRk=")</f>
        <v>#REF!</v>
      </c>
      <c r="AA21" t="e">
        <f>AND('Değerlendirme Formu'!#REF!,"AAAAAE9keRo=")</f>
        <v>#REF!</v>
      </c>
      <c r="AB21" t="e">
        <f>AND('Değerlendirme Formu'!#REF!,"AAAAAE9keRs=")</f>
        <v>#REF!</v>
      </c>
      <c r="AC21" t="e">
        <f>AND('Değerlendirme Formu'!#REF!,"AAAAAE9keRw=")</f>
        <v>#REF!</v>
      </c>
      <c r="AD21" t="e">
        <f>AND('Değerlendirme Formu'!#REF!,"AAAAAE9keR0=")</f>
        <v>#REF!</v>
      </c>
      <c r="AE21" t="e">
        <f>AND('Değerlendirme Formu'!#REF!,"AAAAAE9keR4=")</f>
        <v>#REF!</v>
      </c>
      <c r="AF21" t="e">
        <f>AND('Değerlendirme Formu'!#REF!,"AAAAAE9keR8=")</f>
        <v>#REF!</v>
      </c>
      <c r="AG21" t="e">
        <f>AND('Değerlendirme Formu'!#REF!,"AAAAAE9keSA=")</f>
        <v>#REF!</v>
      </c>
      <c r="AH21" t="e">
        <f>AND('Değerlendirme Formu'!#REF!,"AAAAAE9keSE=")</f>
        <v>#REF!</v>
      </c>
      <c r="AI21" t="e">
        <f>AND('Değerlendirme Formu'!#REF!,"AAAAAE9keSI=")</f>
        <v>#REF!</v>
      </c>
      <c r="AJ21" t="e">
        <f>AND('Değerlendirme Formu'!#REF!,"AAAAAE9keSM=")</f>
        <v>#REF!</v>
      </c>
      <c r="AK21" t="e">
        <f>AND('Değerlendirme Formu'!#REF!,"AAAAAE9keSQ=")</f>
        <v>#REF!</v>
      </c>
      <c r="AL21" t="e">
        <f>AND('Değerlendirme Formu'!#REF!,"AAAAAE9keSU=")</f>
        <v>#REF!</v>
      </c>
      <c r="AM21" t="e">
        <f>AND('Değerlendirme Formu'!#REF!,"AAAAAE9keSY=")</f>
        <v>#REF!</v>
      </c>
      <c r="AN21" t="e">
        <f>AND('Değerlendirme Formu'!#REF!,"AAAAAE9keSc=")</f>
        <v>#REF!</v>
      </c>
      <c r="AO21" t="e">
        <f>AND('Değerlendirme Formu'!#REF!,"AAAAAE9keSg=")</f>
        <v>#REF!</v>
      </c>
      <c r="AP21" t="e">
        <f>IF('Değerlendirme Formu'!#REF!,"AAAAAE9keSk=",0)</f>
        <v>#REF!</v>
      </c>
      <c r="AQ21" t="e">
        <f>AND('Değerlendirme Formu'!#REF!,"AAAAAE9keSo=")</f>
        <v>#REF!</v>
      </c>
      <c r="AR21" t="e">
        <f>AND('Değerlendirme Formu'!#REF!,"AAAAAE9keSs=")</f>
        <v>#REF!</v>
      </c>
      <c r="AS21" t="e">
        <f>AND('Değerlendirme Formu'!#REF!,"AAAAAE9keSw=")</f>
        <v>#REF!</v>
      </c>
      <c r="AT21" t="e">
        <f>AND('Değerlendirme Formu'!#REF!,"AAAAAE9keS0=")</f>
        <v>#REF!</v>
      </c>
      <c r="AU21" t="e">
        <f>AND('Değerlendirme Formu'!#REF!,"AAAAAE9keS4=")</f>
        <v>#REF!</v>
      </c>
      <c r="AV21" t="e">
        <f>AND('Değerlendirme Formu'!#REF!,"AAAAAE9keS8=")</f>
        <v>#REF!</v>
      </c>
      <c r="AW21" t="e">
        <f>AND('Değerlendirme Formu'!#REF!,"AAAAAE9keTA=")</f>
        <v>#REF!</v>
      </c>
      <c r="AX21" t="e">
        <f>AND('Değerlendirme Formu'!#REF!,"AAAAAE9keTE=")</f>
        <v>#REF!</v>
      </c>
      <c r="AY21" t="e">
        <f>AND('Değerlendirme Formu'!#REF!,"AAAAAE9keTI=")</f>
        <v>#REF!</v>
      </c>
      <c r="AZ21" t="e">
        <f>AND('Değerlendirme Formu'!#REF!,"AAAAAE9keTM=")</f>
        <v>#REF!</v>
      </c>
      <c r="BA21" t="e">
        <f>AND('Değerlendirme Formu'!#REF!,"AAAAAE9keTQ=")</f>
        <v>#REF!</v>
      </c>
      <c r="BB21" t="e">
        <f>AND('Değerlendirme Formu'!#REF!,"AAAAAE9keTU=")</f>
        <v>#REF!</v>
      </c>
      <c r="BC21" t="e">
        <f>AND('Değerlendirme Formu'!#REF!,"AAAAAE9keTY=")</f>
        <v>#REF!</v>
      </c>
      <c r="BD21" t="e">
        <f>AND('Değerlendirme Formu'!#REF!,"AAAAAE9keTc=")</f>
        <v>#REF!</v>
      </c>
      <c r="BE21" t="e">
        <f>AND('Değerlendirme Formu'!#REF!,"AAAAAE9keTg=")</f>
        <v>#REF!</v>
      </c>
      <c r="BF21" t="e">
        <f>AND('Değerlendirme Formu'!#REF!,"AAAAAE9keTk=")</f>
        <v>#REF!</v>
      </c>
      <c r="BG21" t="e">
        <f>AND('Değerlendirme Formu'!#REF!,"AAAAAE9keTo=")</f>
        <v>#REF!</v>
      </c>
      <c r="BH21" t="e">
        <f>IF('Değerlendirme Formu'!#REF!,"AAAAAE9keTs=",0)</f>
        <v>#REF!</v>
      </c>
      <c r="BI21" t="e">
        <f>AND('Değerlendirme Formu'!#REF!,"AAAAAE9keTw=")</f>
        <v>#REF!</v>
      </c>
      <c r="BJ21" t="e">
        <f>AND('Değerlendirme Formu'!#REF!,"AAAAAE9keT0=")</f>
        <v>#REF!</v>
      </c>
      <c r="BK21" t="e">
        <f>AND('Değerlendirme Formu'!#REF!,"AAAAAE9keT4=")</f>
        <v>#REF!</v>
      </c>
      <c r="BL21" t="e">
        <f>AND('Değerlendirme Formu'!#REF!,"AAAAAE9keT8=")</f>
        <v>#REF!</v>
      </c>
      <c r="BM21" t="e">
        <f>AND('Değerlendirme Formu'!#REF!,"AAAAAE9keUA=")</f>
        <v>#REF!</v>
      </c>
      <c r="BN21" t="e">
        <f>AND('Değerlendirme Formu'!#REF!,"AAAAAE9keUE=")</f>
        <v>#REF!</v>
      </c>
      <c r="BO21" t="e">
        <f>AND('Değerlendirme Formu'!#REF!,"AAAAAE9keUI=")</f>
        <v>#REF!</v>
      </c>
      <c r="BP21" t="e">
        <f>AND('Değerlendirme Formu'!#REF!,"AAAAAE9keUM=")</f>
        <v>#REF!</v>
      </c>
      <c r="BQ21" t="e">
        <f>AND('Değerlendirme Formu'!#REF!,"AAAAAE9keUQ=")</f>
        <v>#REF!</v>
      </c>
      <c r="BR21" t="e">
        <f>AND('Değerlendirme Formu'!#REF!,"AAAAAE9keUU=")</f>
        <v>#REF!</v>
      </c>
      <c r="BS21" t="e">
        <f>AND('Değerlendirme Formu'!#REF!,"AAAAAE9keUY=")</f>
        <v>#REF!</v>
      </c>
      <c r="BT21" t="e">
        <f>AND('Değerlendirme Formu'!#REF!,"AAAAAE9keUc=")</f>
        <v>#REF!</v>
      </c>
      <c r="BU21" t="e">
        <f>AND('Değerlendirme Formu'!#REF!,"AAAAAE9keUg=")</f>
        <v>#REF!</v>
      </c>
      <c r="BV21" t="e">
        <f>AND('Değerlendirme Formu'!#REF!,"AAAAAE9keUk=")</f>
        <v>#REF!</v>
      </c>
      <c r="BW21" t="e">
        <f>AND('Değerlendirme Formu'!#REF!,"AAAAAE9keUo=")</f>
        <v>#REF!</v>
      </c>
      <c r="BX21" t="e">
        <f>AND('Değerlendirme Formu'!#REF!,"AAAAAE9keUs=")</f>
        <v>#REF!</v>
      </c>
      <c r="BY21" t="e">
        <f>AND('Değerlendirme Formu'!#REF!,"AAAAAE9keUw=")</f>
        <v>#REF!</v>
      </c>
      <c r="BZ21">
        <f>IF('Değerlendirme Formu'!369:369,"AAAAAE9keU0=",0)</f>
        <v>0</v>
      </c>
      <c r="CA21" t="e">
        <f>AND('Değerlendirme Formu'!A369,"AAAAAE9keU4=")</f>
        <v>#VALUE!</v>
      </c>
      <c r="CB21" t="e">
        <f>AND('Değerlendirme Formu'!B369,"AAAAAE9keU8=")</f>
        <v>#VALUE!</v>
      </c>
      <c r="CC21" t="e">
        <f>AND('Değerlendirme Formu'!#REF!,"AAAAAE9keVA=")</f>
        <v>#REF!</v>
      </c>
      <c r="CD21" t="e">
        <f>AND('Değerlendirme Formu'!C369,"AAAAAE9keVE=")</f>
        <v>#VALUE!</v>
      </c>
      <c r="CE21" t="e">
        <f>AND('Değerlendirme Formu'!D369,"AAAAAE9keVI=")</f>
        <v>#VALUE!</v>
      </c>
      <c r="CF21" t="e">
        <f>AND('Değerlendirme Formu'!E369,"AAAAAE9keVM=")</f>
        <v>#VALUE!</v>
      </c>
      <c r="CG21" t="e">
        <f>AND('Değerlendirme Formu'!#REF!,"AAAAAE9keVQ=")</f>
        <v>#REF!</v>
      </c>
      <c r="CH21" t="e">
        <f>AND('Değerlendirme Formu'!#REF!,"AAAAAE9keVU=")</f>
        <v>#REF!</v>
      </c>
      <c r="CI21" t="e">
        <f>AND('Değerlendirme Formu'!F369,"AAAAAE9keVY=")</f>
        <v>#VALUE!</v>
      </c>
      <c r="CJ21" t="e">
        <f>AND('Değerlendirme Formu'!#REF!,"AAAAAE9keVc=")</f>
        <v>#REF!</v>
      </c>
      <c r="CK21" t="e">
        <f>AND('Değerlendirme Formu'!#REF!,"AAAAAE9keVg=")</f>
        <v>#REF!</v>
      </c>
      <c r="CL21" t="e">
        <f>AND('Değerlendirme Formu'!#REF!,"AAAAAE9keVk=")</f>
        <v>#REF!</v>
      </c>
      <c r="CM21" t="e">
        <f>AND('Değerlendirme Formu'!#REF!,"AAAAAE9keVo=")</f>
        <v>#REF!</v>
      </c>
      <c r="CN21" t="e">
        <f>AND('Değerlendirme Formu'!#REF!,"AAAAAE9keVs=")</f>
        <v>#REF!</v>
      </c>
      <c r="CO21" t="e">
        <f>AND('Değerlendirme Formu'!G369,"AAAAAE9keVw=")</f>
        <v>#VALUE!</v>
      </c>
      <c r="CP21" t="e">
        <f>AND('Değerlendirme Formu'!H369,"AAAAAE9keV0=")</f>
        <v>#VALUE!</v>
      </c>
      <c r="CQ21" t="e">
        <f>AND('Değerlendirme Formu'!I369,"AAAAAE9keV4=")</f>
        <v>#VALUE!</v>
      </c>
      <c r="CR21">
        <f>IF('Değerlendirme Formu'!370:370,"AAAAAE9keV8=",0)</f>
        <v>0</v>
      </c>
      <c r="CS21" t="b">
        <f>AND('Değerlendirme Formu'!A370,"AAAAAE9keWA=")</f>
        <v>1</v>
      </c>
      <c r="CT21" t="e">
        <f>AND('Değerlendirme Formu'!B370,"AAAAAE9keWE=")</f>
        <v>#VALUE!</v>
      </c>
      <c r="CU21" t="e">
        <f>AND('Değerlendirme Formu'!#REF!,"AAAAAE9keWI=")</f>
        <v>#REF!</v>
      </c>
      <c r="CV21" t="e">
        <f>AND('Değerlendirme Formu'!C370,"AAAAAE9keWM=")</f>
        <v>#VALUE!</v>
      </c>
      <c r="CW21" t="b">
        <f>AND('Değerlendirme Formu'!D370,"AAAAAE9keWQ=")</f>
        <v>0</v>
      </c>
      <c r="CX21" t="b">
        <f>AND('Değerlendirme Formu'!E370,"AAAAAE9keWU=")</f>
        <v>1</v>
      </c>
      <c r="CY21" t="e">
        <f>AND('Değerlendirme Formu'!#REF!,"AAAAAE9keWY=")</f>
        <v>#REF!</v>
      </c>
      <c r="CZ21" t="e">
        <f>AND('Değerlendirme Formu'!#REF!,"AAAAAE9keWc=")</f>
        <v>#REF!</v>
      </c>
      <c r="DA21" t="e">
        <f>AND('Değerlendirme Formu'!F370,"AAAAAE9keWg=")</f>
        <v>#VALUE!</v>
      </c>
      <c r="DB21" t="e">
        <f>AND('Değerlendirme Formu'!#REF!,"AAAAAE9keWk=")</f>
        <v>#REF!</v>
      </c>
      <c r="DC21" t="e">
        <f>AND('Değerlendirme Formu'!#REF!,"AAAAAE9keWo=")</f>
        <v>#REF!</v>
      </c>
      <c r="DD21" t="e">
        <f>AND('Değerlendirme Formu'!#REF!,"AAAAAE9keWs=")</f>
        <v>#REF!</v>
      </c>
      <c r="DE21" t="e">
        <f>AND('Değerlendirme Formu'!#REF!,"AAAAAE9keWw=")</f>
        <v>#REF!</v>
      </c>
      <c r="DF21" t="e">
        <f>AND('Değerlendirme Formu'!#REF!,"AAAAAE9keW0=")</f>
        <v>#REF!</v>
      </c>
      <c r="DG21" t="e">
        <f>AND('Değerlendirme Formu'!G370,"AAAAAE9keW4=")</f>
        <v>#VALUE!</v>
      </c>
      <c r="DH21" t="e">
        <f>AND('Değerlendirme Formu'!H370,"AAAAAE9keW8=")</f>
        <v>#VALUE!</v>
      </c>
      <c r="DI21" t="e">
        <f>AND('Değerlendirme Formu'!I370,"AAAAAE9keXA=")</f>
        <v>#VALUE!</v>
      </c>
      <c r="DJ21" t="e">
        <f>IF('Değerlendirme Formu'!#REF!,"AAAAAE9keXE=",0)</f>
        <v>#REF!</v>
      </c>
      <c r="DK21" t="e">
        <f>AND('Değerlendirme Formu'!#REF!,"AAAAAE9keXI=")</f>
        <v>#REF!</v>
      </c>
      <c r="DL21" t="e">
        <f>AND('Değerlendirme Formu'!#REF!,"AAAAAE9keXM=")</f>
        <v>#REF!</v>
      </c>
      <c r="DM21" t="e">
        <f>AND('Değerlendirme Formu'!#REF!,"AAAAAE9keXQ=")</f>
        <v>#REF!</v>
      </c>
      <c r="DN21" t="e">
        <f>AND('Değerlendirme Formu'!#REF!,"AAAAAE9keXU=")</f>
        <v>#REF!</v>
      </c>
      <c r="DO21" t="e">
        <f>AND('Değerlendirme Formu'!#REF!,"AAAAAE9keXY=")</f>
        <v>#REF!</v>
      </c>
      <c r="DP21" t="e">
        <f>AND('Değerlendirme Formu'!#REF!,"AAAAAE9keXc=")</f>
        <v>#REF!</v>
      </c>
      <c r="DQ21" t="e">
        <f>AND('Değerlendirme Formu'!#REF!,"AAAAAE9keXg=")</f>
        <v>#REF!</v>
      </c>
      <c r="DR21" t="e">
        <f>AND('Değerlendirme Formu'!#REF!,"AAAAAE9keXk=")</f>
        <v>#REF!</v>
      </c>
      <c r="DS21" t="e">
        <f>AND('Değerlendirme Formu'!#REF!,"AAAAAE9keXo=")</f>
        <v>#REF!</v>
      </c>
      <c r="DT21" t="e">
        <f>AND('Değerlendirme Formu'!#REF!,"AAAAAE9keXs=")</f>
        <v>#REF!</v>
      </c>
      <c r="DU21" t="e">
        <f>AND('Değerlendirme Formu'!#REF!,"AAAAAE9keXw=")</f>
        <v>#REF!</v>
      </c>
      <c r="DV21" t="e">
        <f>AND('Değerlendirme Formu'!#REF!,"AAAAAE9keX0=")</f>
        <v>#REF!</v>
      </c>
      <c r="DW21" t="e">
        <f>AND('Değerlendirme Formu'!#REF!,"AAAAAE9keX4=")</f>
        <v>#REF!</v>
      </c>
      <c r="DX21" t="e">
        <f>AND('Değerlendirme Formu'!#REF!,"AAAAAE9keX8=")</f>
        <v>#REF!</v>
      </c>
      <c r="DY21" t="e">
        <f>AND('Değerlendirme Formu'!#REF!,"AAAAAE9keYA=")</f>
        <v>#REF!</v>
      </c>
      <c r="DZ21" t="e">
        <f>AND('Değerlendirme Formu'!#REF!,"AAAAAE9keYE=")</f>
        <v>#REF!</v>
      </c>
      <c r="EA21" t="e">
        <f>AND('Değerlendirme Formu'!#REF!,"AAAAAE9keYI=")</f>
        <v>#REF!</v>
      </c>
      <c r="EB21">
        <f>IF('Değerlendirme Formu'!371:371,"AAAAAE9keYM=",0)</f>
        <v>0</v>
      </c>
      <c r="EC21" t="b">
        <f>AND('Değerlendirme Formu'!A371,"AAAAAE9keYQ=")</f>
        <v>1</v>
      </c>
      <c r="ED21" t="e">
        <f>AND('Değerlendirme Formu'!B371,"AAAAAE9keYU=")</f>
        <v>#VALUE!</v>
      </c>
      <c r="EE21" t="e">
        <f>AND('Değerlendirme Formu'!#REF!,"AAAAAE9keYY=")</f>
        <v>#REF!</v>
      </c>
      <c r="EF21" t="e">
        <f>AND('Değerlendirme Formu'!C371,"AAAAAE9keYc=")</f>
        <v>#VALUE!</v>
      </c>
      <c r="EG21" t="b">
        <f>AND('Değerlendirme Formu'!D371,"AAAAAE9keYg=")</f>
        <v>0</v>
      </c>
      <c r="EH21" t="b">
        <f>AND('Değerlendirme Formu'!E371,"AAAAAE9keYk=")</f>
        <v>1</v>
      </c>
      <c r="EI21" t="e">
        <f>AND('Değerlendirme Formu'!#REF!,"AAAAAE9keYo=")</f>
        <v>#REF!</v>
      </c>
      <c r="EJ21" t="e">
        <f>AND('Değerlendirme Formu'!#REF!,"AAAAAE9keYs=")</f>
        <v>#REF!</v>
      </c>
      <c r="EK21" t="e">
        <f>AND('Değerlendirme Formu'!F371,"AAAAAE9keYw=")</f>
        <v>#VALUE!</v>
      </c>
      <c r="EL21" t="e">
        <f>AND('Değerlendirme Formu'!#REF!,"AAAAAE9keY0=")</f>
        <v>#REF!</v>
      </c>
      <c r="EM21" t="e">
        <f>AND('Değerlendirme Formu'!#REF!,"AAAAAE9keY4=")</f>
        <v>#REF!</v>
      </c>
      <c r="EN21" t="e">
        <f>AND('Değerlendirme Formu'!#REF!,"AAAAAE9keY8=")</f>
        <v>#REF!</v>
      </c>
      <c r="EO21" t="e">
        <f>AND('Değerlendirme Formu'!#REF!,"AAAAAE9keZA=")</f>
        <v>#REF!</v>
      </c>
      <c r="EP21" t="e">
        <f>AND('Değerlendirme Formu'!#REF!,"AAAAAE9keZE=")</f>
        <v>#REF!</v>
      </c>
      <c r="EQ21" t="e">
        <f>AND('Değerlendirme Formu'!G371,"AAAAAE9keZI=")</f>
        <v>#VALUE!</v>
      </c>
      <c r="ER21" t="e">
        <f>AND('Değerlendirme Formu'!H371,"AAAAAE9keZM=")</f>
        <v>#VALUE!</v>
      </c>
      <c r="ES21" t="e">
        <f>AND('Değerlendirme Formu'!I371,"AAAAAE9keZQ=")</f>
        <v>#VALUE!</v>
      </c>
      <c r="ET21">
        <f>IF('Değerlendirme Formu'!372:372,"AAAAAE9keZU=",0)</f>
        <v>0</v>
      </c>
      <c r="EU21" t="b">
        <f>AND('Değerlendirme Formu'!A372,"AAAAAE9keZY=")</f>
        <v>1</v>
      </c>
      <c r="EV21" t="e">
        <f>AND('Değerlendirme Formu'!B372,"AAAAAE9keZc=")</f>
        <v>#VALUE!</v>
      </c>
      <c r="EW21" t="e">
        <f>AND('Değerlendirme Formu'!#REF!,"AAAAAE9keZg=")</f>
        <v>#REF!</v>
      </c>
      <c r="EX21" t="e">
        <f>AND('Değerlendirme Formu'!C372,"AAAAAE9keZk=")</f>
        <v>#VALUE!</v>
      </c>
      <c r="EY21" t="b">
        <f>AND('Değerlendirme Formu'!D372,"AAAAAE9keZo=")</f>
        <v>0</v>
      </c>
      <c r="EZ21" t="b">
        <f>AND('Değerlendirme Formu'!E372,"AAAAAE9keZs=")</f>
        <v>1</v>
      </c>
      <c r="FA21" t="e">
        <f>AND('Değerlendirme Formu'!#REF!,"AAAAAE9keZw=")</f>
        <v>#REF!</v>
      </c>
      <c r="FB21" t="e">
        <f>AND('Değerlendirme Formu'!#REF!,"AAAAAE9keZ0=")</f>
        <v>#REF!</v>
      </c>
      <c r="FC21" t="e">
        <f>AND('Değerlendirme Formu'!F372,"AAAAAE9keZ4=")</f>
        <v>#VALUE!</v>
      </c>
      <c r="FD21" t="e">
        <f>AND('Değerlendirme Formu'!#REF!,"AAAAAE9keZ8=")</f>
        <v>#REF!</v>
      </c>
      <c r="FE21" t="e">
        <f>AND('Değerlendirme Formu'!#REF!,"AAAAAE9keaA=")</f>
        <v>#REF!</v>
      </c>
      <c r="FF21" t="e">
        <f>AND('Değerlendirme Formu'!#REF!,"AAAAAE9keaE=")</f>
        <v>#REF!</v>
      </c>
      <c r="FG21" t="e">
        <f>AND('Değerlendirme Formu'!#REF!,"AAAAAE9keaI=")</f>
        <v>#REF!</v>
      </c>
      <c r="FH21" t="e">
        <f>AND('Değerlendirme Formu'!#REF!,"AAAAAE9keaM=")</f>
        <v>#REF!</v>
      </c>
      <c r="FI21" t="e">
        <f>AND('Değerlendirme Formu'!G372,"AAAAAE9keaQ=")</f>
        <v>#VALUE!</v>
      </c>
      <c r="FJ21" t="e">
        <f>AND('Değerlendirme Formu'!H372,"AAAAAE9keaU=")</f>
        <v>#VALUE!</v>
      </c>
      <c r="FK21" t="e">
        <f>AND('Değerlendirme Formu'!I372,"AAAAAE9keaY=")</f>
        <v>#VALUE!</v>
      </c>
      <c r="FL21">
        <f>IF('Değerlendirme Formu'!378:378,"AAAAAE9keac=",0)</f>
        <v>0</v>
      </c>
      <c r="FM21" t="b">
        <f>AND('Değerlendirme Formu'!A378,"AAAAAE9keag=")</f>
        <v>1</v>
      </c>
      <c r="FN21" t="e">
        <f>AND('Değerlendirme Formu'!B378,"AAAAAE9keak=")</f>
        <v>#VALUE!</v>
      </c>
      <c r="FO21" t="e">
        <f>AND('Değerlendirme Formu'!#REF!,"AAAAAE9keao=")</f>
        <v>#REF!</v>
      </c>
      <c r="FP21" t="e">
        <f>AND('Değerlendirme Formu'!C378,"AAAAAE9keas=")</f>
        <v>#VALUE!</v>
      </c>
      <c r="FQ21" t="b">
        <f>AND('Değerlendirme Formu'!D378,"AAAAAE9keaw=")</f>
        <v>1</v>
      </c>
      <c r="FR21" t="b">
        <f>AND('Değerlendirme Formu'!E378,"AAAAAE9kea0=")</f>
        <v>0</v>
      </c>
      <c r="FS21" t="e">
        <f>AND('Değerlendirme Formu'!#REF!,"AAAAAE9kea4=")</f>
        <v>#REF!</v>
      </c>
      <c r="FT21" t="e">
        <f>AND('Değerlendirme Formu'!#REF!,"AAAAAE9kea8=")</f>
        <v>#REF!</v>
      </c>
      <c r="FU21" t="e">
        <f>AND('Değerlendirme Formu'!F378,"AAAAAE9kebA=")</f>
        <v>#VALUE!</v>
      </c>
      <c r="FV21" t="e">
        <f>AND('Değerlendirme Formu'!#REF!,"AAAAAE9kebE=")</f>
        <v>#REF!</v>
      </c>
      <c r="FW21" t="e">
        <f>AND('Değerlendirme Formu'!#REF!,"AAAAAE9kebI=")</f>
        <v>#REF!</v>
      </c>
      <c r="FX21" t="e">
        <f>AND('Değerlendirme Formu'!#REF!,"AAAAAE9kebM=")</f>
        <v>#REF!</v>
      </c>
      <c r="FY21" t="e">
        <f>AND('Değerlendirme Formu'!#REF!,"AAAAAE9kebQ=")</f>
        <v>#REF!</v>
      </c>
      <c r="FZ21" t="e">
        <f>AND('Değerlendirme Formu'!#REF!,"AAAAAE9kebU=")</f>
        <v>#REF!</v>
      </c>
      <c r="GA21" t="e">
        <f>AND('Değerlendirme Formu'!G378,"AAAAAE9kebY=")</f>
        <v>#VALUE!</v>
      </c>
      <c r="GB21" t="e">
        <f>AND('Değerlendirme Formu'!H378,"AAAAAE9kebc=")</f>
        <v>#VALUE!</v>
      </c>
      <c r="GC21" t="e">
        <f>AND('Değerlendirme Formu'!I378,"AAAAAE9kebg=")</f>
        <v>#VALUE!</v>
      </c>
      <c r="GD21" t="e">
        <f>IF('Değerlendirme Formu'!#REF!,"AAAAAE9kebk=",0)</f>
        <v>#REF!</v>
      </c>
      <c r="GE21" t="e">
        <f>AND('Değerlendirme Formu'!#REF!,"AAAAAE9kebo=")</f>
        <v>#REF!</v>
      </c>
      <c r="GF21" t="e">
        <f>AND('Değerlendirme Formu'!#REF!,"AAAAAE9kebs=")</f>
        <v>#REF!</v>
      </c>
      <c r="GG21" t="e">
        <f>AND('Değerlendirme Formu'!#REF!,"AAAAAE9kebw=")</f>
        <v>#REF!</v>
      </c>
      <c r="GH21" t="e">
        <f>AND('Değerlendirme Formu'!#REF!,"AAAAAE9keb0=")</f>
        <v>#REF!</v>
      </c>
      <c r="GI21" t="e">
        <f>AND('Değerlendirme Formu'!#REF!,"AAAAAE9keb4=")</f>
        <v>#REF!</v>
      </c>
      <c r="GJ21" t="e">
        <f>AND('Değerlendirme Formu'!#REF!,"AAAAAE9keb8=")</f>
        <v>#REF!</v>
      </c>
      <c r="GK21" t="e">
        <f>AND('Değerlendirme Formu'!#REF!,"AAAAAE9kecA=")</f>
        <v>#REF!</v>
      </c>
      <c r="GL21" t="e">
        <f>AND('Değerlendirme Formu'!#REF!,"AAAAAE9kecE=")</f>
        <v>#REF!</v>
      </c>
      <c r="GM21" t="e">
        <f>AND('Değerlendirme Formu'!#REF!,"AAAAAE9kecI=")</f>
        <v>#REF!</v>
      </c>
      <c r="GN21" t="e">
        <f>AND('Değerlendirme Formu'!#REF!,"AAAAAE9kecM=")</f>
        <v>#REF!</v>
      </c>
      <c r="GO21" t="e">
        <f>AND('Değerlendirme Formu'!#REF!,"AAAAAE9kecQ=")</f>
        <v>#REF!</v>
      </c>
      <c r="GP21" t="e">
        <f>AND('Değerlendirme Formu'!#REF!,"AAAAAE9kecU=")</f>
        <v>#REF!</v>
      </c>
      <c r="GQ21" t="e">
        <f>AND('Değerlendirme Formu'!#REF!,"AAAAAE9kecY=")</f>
        <v>#REF!</v>
      </c>
      <c r="GR21" t="e">
        <f>AND('Değerlendirme Formu'!#REF!,"AAAAAE9kecc=")</f>
        <v>#REF!</v>
      </c>
      <c r="GS21" t="e">
        <f>AND('Değerlendirme Formu'!#REF!,"AAAAAE9kecg=")</f>
        <v>#REF!</v>
      </c>
      <c r="GT21" t="e">
        <f>AND('Değerlendirme Formu'!#REF!,"AAAAAE9keck=")</f>
        <v>#REF!</v>
      </c>
      <c r="GU21" t="e">
        <f>AND('Değerlendirme Formu'!#REF!,"AAAAAE9keco=")</f>
        <v>#REF!</v>
      </c>
      <c r="GV21" t="e">
        <f>IF('Değerlendirme Formu'!#REF!,"AAAAAE9kecs=",0)</f>
        <v>#REF!</v>
      </c>
      <c r="GW21" t="e">
        <f>AND('Değerlendirme Formu'!#REF!,"AAAAAE9kecw=")</f>
        <v>#REF!</v>
      </c>
      <c r="GX21" t="e">
        <f>AND('Değerlendirme Formu'!#REF!,"AAAAAE9kec0=")</f>
        <v>#REF!</v>
      </c>
      <c r="GY21" t="e">
        <f>AND('Değerlendirme Formu'!#REF!,"AAAAAE9kec4=")</f>
        <v>#REF!</v>
      </c>
      <c r="GZ21" t="e">
        <f>AND('Değerlendirme Formu'!#REF!,"AAAAAE9kec8=")</f>
        <v>#REF!</v>
      </c>
      <c r="HA21" t="e">
        <f>AND('Değerlendirme Formu'!#REF!,"AAAAAE9kedA=")</f>
        <v>#REF!</v>
      </c>
      <c r="HB21" t="e">
        <f>AND('Değerlendirme Formu'!#REF!,"AAAAAE9kedE=")</f>
        <v>#REF!</v>
      </c>
      <c r="HC21" t="e">
        <f>AND('Değerlendirme Formu'!#REF!,"AAAAAE9kedI=")</f>
        <v>#REF!</v>
      </c>
      <c r="HD21" t="e">
        <f>AND('Değerlendirme Formu'!#REF!,"AAAAAE9kedM=")</f>
        <v>#REF!</v>
      </c>
      <c r="HE21" t="e">
        <f>AND('Değerlendirme Formu'!#REF!,"AAAAAE9kedQ=")</f>
        <v>#REF!</v>
      </c>
      <c r="HF21" t="e">
        <f>AND('Değerlendirme Formu'!#REF!,"AAAAAE9kedU=")</f>
        <v>#REF!</v>
      </c>
      <c r="HG21" t="e">
        <f>AND('Değerlendirme Formu'!#REF!,"AAAAAE9kedY=")</f>
        <v>#REF!</v>
      </c>
      <c r="HH21" t="e">
        <f>AND('Değerlendirme Formu'!#REF!,"AAAAAE9kedc=")</f>
        <v>#REF!</v>
      </c>
      <c r="HI21" t="e">
        <f>AND('Değerlendirme Formu'!#REF!,"AAAAAE9kedg=")</f>
        <v>#REF!</v>
      </c>
      <c r="HJ21" t="e">
        <f>AND('Değerlendirme Formu'!#REF!,"AAAAAE9kedk=")</f>
        <v>#REF!</v>
      </c>
      <c r="HK21" t="e">
        <f>AND('Değerlendirme Formu'!#REF!,"AAAAAE9kedo=")</f>
        <v>#REF!</v>
      </c>
      <c r="HL21" t="e">
        <f>AND('Değerlendirme Formu'!#REF!,"AAAAAE9keds=")</f>
        <v>#REF!</v>
      </c>
      <c r="HM21" t="e">
        <f>AND('Değerlendirme Formu'!#REF!,"AAAAAE9kedw=")</f>
        <v>#REF!</v>
      </c>
      <c r="HN21" t="e">
        <f>IF('Değerlendirme Formu'!#REF!,"AAAAAE9ked0=",0)</f>
        <v>#REF!</v>
      </c>
      <c r="HO21" t="e">
        <f>AND('Değerlendirme Formu'!#REF!,"AAAAAE9ked4=")</f>
        <v>#REF!</v>
      </c>
      <c r="HP21" t="e">
        <f>AND('Değerlendirme Formu'!#REF!,"AAAAAE9ked8=")</f>
        <v>#REF!</v>
      </c>
      <c r="HQ21" t="e">
        <f>AND('Değerlendirme Formu'!#REF!,"AAAAAE9keeA=")</f>
        <v>#REF!</v>
      </c>
      <c r="HR21" t="e">
        <f>AND('Değerlendirme Formu'!#REF!,"AAAAAE9keeE=")</f>
        <v>#REF!</v>
      </c>
      <c r="HS21" t="e">
        <f>AND('Değerlendirme Formu'!#REF!,"AAAAAE9keeI=")</f>
        <v>#REF!</v>
      </c>
      <c r="HT21" t="e">
        <f>AND('Değerlendirme Formu'!#REF!,"AAAAAE9keeM=")</f>
        <v>#REF!</v>
      </c>
      <c r="HU21" t="e">
        <f>AND('Değerlendirme Formu'!#REF!,"AAAAAE9keeQ=")</f>
        <v>#REF!</v>
      </c>
      <c r="HV21" t="e">
        <f>AND('Değerlendirme Formu'!#REF!,"AAAAAE9keeU=")</f>
        <v>#REF!</v>
      </c>
      <c r="HW21" t="e">
        <f>AND('Değerlendirme Formu'!#REF!,"AAAAAE9keeY=")</f>
        <v>#REF!</v>
      </c>
      <c r="HX21" t="e">
        <f>AND('Değerlendirme Formu'!#REF!,"AAAAAE9keec=")</f>
        <v>#REF!</v>
      </c>
      <c r="HY21" t="e">
        <f>AND('Değerlendirme Formu'!#REF!,"AAAAAE9keeg=")</f>
        <v>#REF!</v>
      </c>
      <c r="HZ21" t="e">
        <f>AND('Değerlendirme Formu'!#REF!,"AAAAAE9keek=")</f>
        <v>#REF!</v>
      </c>
      <c r="IA21" t="e">
        <f>AND('Değerlendirme Formu'!#REF!,"AAAAAE9keeo=")</f>
        <v>#REF!</v>
      </c>
      <c r="IB21" t="e">
        <f>AND('Değerlendirme Formu'!#REF!,"AAAAAE9kees=")</f>
        <v>#REF!</v>
      </c>
      <c r="IC21" t="e">
        <f>AND('Değerlendirme Formu'!#REF!,"AAAAAE9keew=")</f>
        <v>#REF!</v>
      </c>
      <c r="ID21" t="e">
        <f>AND('Değerlendirme Formu'!#REF!,"AAAAAE9kee0=")</f>
        <v>#REF!</v>
      </c>
      <c r="IE21" t="e">
        <f>AND('Değerlendirme Formu'!#REF!,"AAAAAE9kee4=")</f>
        <v>#REF!</v>
      </c>
      <c r="IF21" t="e">
        <f>IF('Değerlendirme Formu'!#REF!,"AAAAAE9kee8=",0)</f>
        <v>#REF!</v>
      </c>
      <c r="IG21" t="e">
        <f>AND('Değerlendirme Formu'!#REF!,"AAAAAE9kefA=")</f>
        <v>#REF!</v>
      </c>
      <c r="IH21" t="e">
        <f>AND('Değerlendirme Formu'!#REF!,"AAAAAE9kefE=")</f>
        <v>#REF!</v>
      </c>
      <c r="II21" t="e">
        <f>AND('Değerlendirme Formu'!#REF!,"AAAAAE9kefI=")</f>
        <v>#REF!</v>
      </c>
      <c r="IJ21" t="e">
        <f>AND('Değerlendirme Formu'!#REF!,"AAAAAE9kefM=")</f>
        <v>#REF!</v>
      </c>
      <c r="IK21" t="e">
        <f>AND('Değerlendirme Formu'!#REF!,"AAAAAE9kefQ=")</f>
        <v>#REF!</v>
      </c>
      <c r="IL21" t="e">
        <f>AND('Değerlendirme Formu'!#REF!,"AAAAAE9kefU=")</f>
        <v>#REF!</v>
      </c>
      <c r="IM21" t="e">
        <f>AND('Değerlendirme Formu'!#REF!,"AAAAAE9kefY=")</f>
        <v>#REF!</v>
      </c>
      <c r="IN21" t="e">
        <f>AND('Değerlendirme Formu'!#REF!,"AAAAAE9kefc=")</f>
        <v>#REF!</v>
      </c>
      <c r="IO21" t="e">
        <f>AND('Değerlendirme Formu'!#REF!,"AAAAAE9kefg=")</f>
        <v>#REF!</v>
      </c>
      <c r="IP21" t="e">
        <f>AND('Değerlendirme Formu'!#REF!,"AAAAAE9kefk=")</f>
        <v>#REF!</v>
      </c>
      <c r="IQ21" t="e">
        <f>AND('Değerlendirme Formu'!#REF!,"AAAAAE9kefo=")</f>
        <v>#REF!</v>
      </c>
      <c r="IR21" t="e">
        <f>AND('Değerlendirme Formu'!#REF!,"AAAAAE9kefs=")</f>
        <v>#REF!</v>
      </c>
      <c r="IS21" t="e">
        <f>AND('Değerlendirme Formu'!#REF!,"AAAAAE9kefw=")</f>
        <v>#REF!</v>
      </c>
      <c r="IT21" t="e">
        <f>AND('Değerlendirme Formu'!#REF!,"AAAAAE9kef0=")</f>
        <v>#REF!</v>
      </c>
      <c r="IU21" t="e">
        <f>AND('Değerlendirme Formu'!#REF!,"AAAAAE9kef4=")</f>
        <v>#REF!</v>
      </c>
      <c r="IV21" t="e">
        <f>AND('Değerlendirme Formu'!#REF!,"AAAAAE9kef8=")</f>
        <v>#REF!</v>
      </c>
    </row>
    <row r="22" spans="1:256" x14ac:dyDescent="0.2">
      <c r="A22" t="e">
        <f>AND('Değerlendirme Formu'!#REF!,"AAAAAH/9/wA=")</f>
        <v>#REF!</v>
      </c>
      <c r="B22" t="e">
        <f>IF('Değerlendirme Formu'!#REF!,"AAAAAH/9/wE=",0)</f>
        <v>#REF!</v>
      </c>
      <c r="C22" t="e">
        <f>AND('Değerlendirme Formu'!#REF!,"AAAAAH/9/wI=")</f>
        <v>#REF!</v>
      </c>
      <c r="D22" t="e">
        <f>AND('Değerlendirme Formu'!#REF!,"AAAAAH/9/wM=")</f>
        <v>#REF!</v>
      </c>
      <c r="E22" t="e">
        <f>AND('Değerlendirme Formu'!#REF!,"AAAAAH/9/wQ=")</f>
        <v>#REF!</v>
      </c>
      <c r="F22" t="e">
        <f>AND('Değerlendirme Formu'!#REF!,"AAAAAH/9/wU=")</f>
        <v>#REF!</v>
      </c>
      <c r="G22" t="e">
        <f>AND('Değerlendirme Formu'!#REF!,"AAAAAH/9/wY=")</f>
        <v>#REF!</v>
      </c>
      <c r="H22" t="e">
        <f>AND('Değerlendirme Formu'!#REF!,"AAAAAH/9/wc=")</f>
        <v>#REF!</v>
      </c>
      <c r="I22" t="e">
        <f>AND('Değerlendirme Formu'!#REF!,"AAAAAH/9/wg=")</f>
        <v>#REF!</v>
      </c>
      <c r="J22" t="e">
        <f>AND('Değerlendirme Formu'!#REF!,"AAAAAH/9/wk=")</f>
        <v>#REF!</v>
      </c>
      <c r="K22" t="e">
        <f>AND('Değerlendirme Formu'!#REF!,"AAAAAH/9/wo=")</f>
        <v>#REF!</v>
      </c>
      <c r="L22" t="e">
        <f>AND('Değerlendirme Formu'!#REF!,"AAAAAH/9/ws=")</f>
        <v>#REF!</v>
      </c>
      <c r="M22" t="e">
        <f>AND('Değerlendirme Formu'!#REF!,"AAAAAH/9/ww=")</f>
        <v>#REF!</v>
      </c>
      <c r="N22" t="e">
        <f>AND('Değerlendirme Formu'!#REF!,"AAAAAH/9/w0=")</f>
        <v>#REF!</v>
      </c>
      <c r="O22" t="e">
        <f>AND('Değerlendirme Formu'!#REF!,"AAAAAH/9/w4=")</f>
        <v>#REF!</v>
      </c>
      <c r="P22" t="e">
        <f>AND('Değerlendirme Formu'!#REF!,"AAAAAH/9/w8=")</f>
        <v>#REF!</v>
      </c>
      <c r="Q22" t="e">
        <f>AND('Değerlendirme Formu'!#REF!,"AAAAAH/9/xA=")</f>
        <v>#REF!</v>
      </c>
      <c r="R22" t="e">
        <f>AND('Değerlendirme Formu'!#REF!,"AAAAAH/9/xE=")</f>
        <v>#REF!</v>
      </c>
      <c r="S22" t="e">
        <f>AND('Değerlendirme Formu'!#REF!,"AAAAAH/9/xI=")</f>
        <v>#REF!</v>
      </c>
      <c r="T22" t="e">
        <f>IF('Değerlendirme Formu'!#REF!,"AAAAAH/9/xM=",0)</f>
        <v>#REF!</v>
      </c>
      <c r="U22" t="e">
        <f>AND('Değerlendirme Formu'!#REF!,"AAAAAH/9/xQ=")</f>
        <v>#REF!</v>
      </c>
      <c r="V22" t="e">
        <f>AND('Değerlendirme Formu'!#REF!,"AAAAAH/9/xU=")</f>
        <v>#REF!</v>
      </c>
      <c r="W22" t="e">
        <f>AND('Değerlendirme Formu'!#REF!,"AAAAAH/9/xY=")</f>
        <v>#REF!</v>
      </c>
      <c r="X22" t="e">
        <f>AND('Değerlendirme Formu'!#REF!,"AAAAAH/9/xc=")</f>
        <v>#REF!</v>
      </c>
      <c r="Y22" t="e">
        <f>AND('Değerlendirme Formu'!#REF!,"AAAAAH/9/xg=")</f>
        <v>#REF!</v>
      </c>
      <c r="Z22" t="e">
        <f>AND('Değerlendirme Formu'!#REF!,"AAAAAH/9/xk=")</f>
        <v>#REF!</v>
      </c>
      <c r="AA22" t="e">
        <f>AND('Değerlendirme Formu'!#REF!,"AAAAAH/9/xo=")</f>
        <v>#REF!</v>
      </c>
      <c r="AB22" t="e">
        <f>AND('Değerlendirme Formu'!#REF!,"AAAAAH/9/xs=")</f>
        <v>#REF!</v>
      </c>
      <c r="AC22" t="e">
        <f>AND('Değerlendirme Formu'!#REF!,"AAAAAH/9/xw=")</f>
        <v>#REF!</v>
      </c>
      <c r="AD22" t="e">
        <f>AND('Değerlendirme Formu'!#REF!,"AAAAAH/9/x0=")</f>
        <v>#REF!</v>
      </c>
      <c r="AE22" t="e">
        <f>AND('Değerlendirme Formu'!#REF!,"AAAAAH/9/x4=")</f>
        <v>#REF!</v>
      </c>
      <c r="AF22" t="e">
        <f>AND('Değerlendirme Formu'!#REF!,"AAAAAH/9/x8=")</f>
        <v>#REF!</v>
      </c>
      <c r="AG22" t="e">
        <f>AND('Değerlendirme Formu'!#REF!,"AAAAAH/9/yA=")</f>
        <v>#REF!</v>
      </c>
      <c r="AH22" t="e">
        <f>AND('Değerlendirme Formu'!#REF!,"AAAAAH/9/yE=")</f>
        <v>#REF!</v>
      </c>
      <c r="AI22" t="e">
        <f>AND('Değerlendirme Formu'!#REF!,"AAAAAH/9/yI=")</f>
        <v>#REF!</v>
      </c>
      <c r="AJ22" t="e">
        <f>AND('Değerlendirme Formu'!#REF!,"AAAAAH/9/yM=")</f>
        <v>#REF!</v>
      </c>
      <c r="AK22" t="e">
        <f>AND('Değerlendirme Formu'!#REF!,"AAAAAH/9/yQ=")</f>
        <v>#REF!</v>
      </c>
      <c r="AL22" t="e">
        <f>IF('Değerlendirme Formu'!#REF!,"AAAAAH/9/yU=",0)</f>
        <v>#REF!</v>
      </c>
      <c r="AM22" t="e">
        <f>AND('Değerlendirme Formu'!#REF!,"AAAAAH/9/yY=")</f>
        <v>#REF!</v>
      </c>
      <c r="AN22" t="e">
        <f>AND('Değerlendirme Formu'!#REF!,"AAAAAH/9/yc=")</f>
        <v>#REF!</v>
      </c>
      <c r="AO22" t="e">
        <f>AND('Değerlendirme Formu'!#REF!,"AAAAAH/9/yg=")</f>
        <v>#REF!</v>
      </c>
      <c r="AP22" t="e">
        <f>AND('Değerlendirme Formu'!#REF!,"AAAAAH/9/yk=")</f>
        <v>#REF!</v>
      </c>
      <c r="AQ22" t="e">
        <f>AND('Değerlendirme Formu'!#REF!,"AAAAAH/9/yo=")</f>
        <v>#REF!</v>
      </c>
      <c r="AR22" t="e">
        <f>AND('Değerlendirme Formu'!#REF!,"AAAAAH/9/ys=")</f>
        <v>#REF!</v>
      </c>
      <c r="AS22" t="e">
        <f>AND('Değerlendirme Formu'!#REF!,"AAAAAH/9/yw=")</f>
        <v>#REF!</v>
      </c>
      <c r="AT22" t="e">
        <f>AND('Değerlendirme Formu'!#REF!,"AAAAAH/9/y0=")</f>
        <v>#REF!</v>
      </c>
      <c r="AU22" t="e">
        <f>AND('Değerlendirme Formu'!#REF!,"AAAAAH/9/y4=")</f>
        <v>#REF!</v>
      </c>
      <c r="AV22" t="e">
        <f>AND('Değerlendirme Formu'!#REF!,"AAAAAH/9/y8=")</f>
        <v>#REF!</v>
      </c>
      <c r="AW22" t="e">
        <f>AND('Değerlendirme Formu'!#REF!,"AAAAAH/9/zA=")</f>
        <v>#REF!</v>
      </c>
      <c r="AX22" t="e">
        <f>AND('Değerlendirme Formu'!#REF!,"AAAAAH/9/zE=")</f>
        <v>#REF!</v>
      </c>
      <c r="AY22" t="e">
        <f>AND('Değerlendirme Formu'!#REF!,"AAAAAH/9/zI=")</f>
        <v>#REF!</v>
      </c>
      <c r="AZ22" t="e">
        <f>AND('Değerlendirme Formu'!#REF!,"AAAAAH/9/zM=")</f>
        <v>#REF!</v>
      </c>
      <c r="BA22" t="e">
        <f>AND('Değerlendirme Formu'!#REF!,"AAAAAH/9/zQ=")</f>
        <v>#REF!</v>
      </c>
      <c r="BB22" t="e">
        <f>AND('Değerlendirme Formu'!#REF!,"AAAAAH/9/zU=")</f>
        <v>#REF!</v>
      </c>
      <c r="BC22" t="e">
        <f>AND('Değerlendirme Formu'!#REF!,"AAAAAH/9/zY=")</f>
        <v>#REF!</v>
      </c>
      <c r="BD22" t="e">
        <f>IF('Değerlendirme Formu'!#REF!,"AAAAAH/9/zc=",0)</f>
        <v>#REF!</v>
      </c>
      <c r="BE22" t="e">
        <f>AND('Değerlendirme Formu'!#REF!,"AAAAAH/9/zg=")</f>
        <v>#REF!</v>
      </c>
      <c r="BF22" t="e">
        <f>AND('Değerlendirme Formu'!#REF!,"AAAAAH/9/zk=")</f>
        <v>#REF!</v>
      </c>
      <c r="BG22" t="e">
        <f>AND('Değerlendirme Formu'!#REF!,"AAAAAH/9/zo=")</f>
        <v>#REF!</v>
      </c>
      <c r="BH22" t="e">
        <f>AND('Değerlendirme Formu'!#REF!,"AAAAAH/9/zs=")</f>
        <v>#REF!</v>
      </c>
      <c r="BI22" t="e">
        <f>AND('Değerlendirme Formu'!#REF!,"AAAAAH/9/zw=")</f>
        <v>#REF!</v>
      </c>
      <c r="BJ22" t="e">
        <f>AND('Değerlendirme Formu'!#REF!,"AAAAAH/9/z0=")</f>
        <v>#REF!</v>
      </c>
      <c r="BK22" t="e">
        <f>AND('Değerlendirme Formu'!#REF!,"AAAAAH/9/z4=")</f>
        <v>#REF!</v>
      </c>
      <c r="BL22" t="e">
        <f>AND('Değerlendirme Formu'!#REF!,"AAAAAH/9/z8=")</f>
        <v>#REF!</v>
      </c>
      <c r="BM22" t="e">
        <f>AND('Değerlendirme Formu'!#REF!,"AAAAAH/9/0A=")</f>
        <v>#REF!</v>
      </c>
      <c r="BN22" t="e">
        <f>AND('Değerlendirme Formu'!#REF!,"AAAAAH/9/0E=")</f>
        <v>#REF!</v>
      </c>
      <c r="BO22" t="e">
        <f>AND('Değerlendirme Formu'!#REF!,"AAAAAH/9/0I=")</f>
        <v>#REF!</v>
      </c>
      <c r="BP22" t="e">
        <f>AND('Değerlendirme Formu'!#REF!,"AAAAAH/9/0M=")</f>
        <v>#REF!</v>
      </c>
      <c r="BQ22" t="e">
        <f>AND('Değerlendirme Formu'!#REF!,"AAAAAH/9/0Q=")</f>
        <v>#REF!</v>
      </c>
      <c r="BR22" t="e">
        <f>AND('Değerlendirme Formu'!#REF!,"AAAAAH/9/0U=")</f>
        <v>#REF!</v>
      </c>
      <c r="BS22" t="e">
        <f>AND('Değerlendirme Formu'!#REF!,"AAAAAH/9/0Y=")</f>
        <v>#REF!</v>
      </c>
      <c r="BT22" t="e">
        <f>AND('Değerlendirme Formu'!#REF!,"AAAAAH/9/0c=")</f>
        <v>#REF!</v>
      </c>
      <c r="BU22" t="e">
        <f>AND('Değerlendirme Formu'!#REF!,"AAAAAH/9/0g=")</f>
        <v>#REF!</v>
      </c>
      <c r="BV22" t="e">
        <f>IF('Değerlendirme Formu'!#REF!,"AAAAAH/9/0k=",0)</f>
        <v>#REF!</v>
      </c>
      <c r="BW22" t="e">
        <f>AND('Değerlendirme Formu'!#REF!,"AAAAAH/9/0o=")</f>
        <v>#REF!</v>
      </c>
      <c r="BX22" t="e">
        <f>AND('Değerlendirme Formu'!#REF!,"AAAAAH/9/0s=")</f>
        <v>#REF!</v>
      </c>
      <c r="BY22" t="e">
        <f>AND('Değerlendirme Formu'!#REF!,"AAAAAH/9/0w=")</f>
        <v>#REF!</v>
      </c>
      <c r="BZ22" t="e">
        <f>AND('Değerlendirme Formu'!#REF!,"AAAAAH/9/00=")</f>
        <v>#REF!</v>
      </c>
      <c r="CA22" t="e">
        <f>AND('Değerlendirme Formu'!#REF!,"AAAAAH/9/04=")</f>
        <v>#REF!</v>
      </c>
      <c r="CB22" t="e">
        <f>AND('Değerlendirme Formu'!#REF!,"AAAAAH/9/08=")</f>
        <v>#REF!</v>
      </c>
      <c r="CC22" t="e">
        <f>AND('Değerlendirme Formu'!#REF!,"AAAAAH/9/1A=")</f>
        <v>#REF!</v>
      </c>
      <c r="CD22" t="e">
        <f>AND('Değerlendirme Formu'!#REF!,"AAAAAH/9/1E=")</f>
        <v>#REF!</v>
      </c>
      <c r="CE22" t="e">
        <f>AND('Değerlendirme Formu'!#REF!,"AAAAAH/9/1I=")</f>
        <v>#REF!</v>
      </c>
      <c r="CF22" t="e">
        <f>AND('Değerlendirme Formu'!#REF!,"AAAAAH/9/1M=")</f>
        <v>#REF!</v>
      </c>
      <c r="CG22" t="e">
        <f>AND('Değerlendirme Formu'!#REF!,"AAAAAH/9/1Q=")</f>
        <v>#REF!</v>
      </c>
      <c r="CH22" t="e">
        <f>AND('Değerlendirme Formu'!#REF!,"AAAAAH/9/1U=")</f>
        <v>#REF!</v>
      </c>
      <c r="CI22" t="e">
        <f>AND('Değerlendirme Formu'!#REF!,"AAAAAH/9/1Y=")</f>
        <v>#REF!</v>
      </c>
      <c r="CJ22" t="e">
        <f>AND('Değerlendirme Formu'!#REF!,"AAAAAH/9/1c=")</f>
        <v>#REF!</v>
      </c>
      <c r="CK22" t="e">
        <f>AND('Değerlendirme Formu'!#REF!,"AAAAAH/9/1g=")</f>
        <v>#REF!</v>
      </c>
      <c r="CL22" t="e">
        <f>AND('Değerlendirme Formu'!#REF!,"AAAAAH/9/1k=")</f>
        <v>#REF!</v>
      </c>
      <c r="CM22" t="e">
        <f>AND('Değerlendirme Formu'!#REF!,"AAAAAH/9/1o=")</f>
        <v>#REF!</v>
      </c>
      <c r="CN22" t="e">
        <f>IF('Değerlendirme Formu'!#REF!,"AAAAAH/9/1s=",0)</f>
        <v>#REF!</v>
      </c>
      <c r="CO22" t="e">
        <f>AND('Değerlendirme Formu'!#REF!,"AAAAAH/9/1w=")</f>
        <v>#REF!</v>
      </c>
      <c r="CP22" t="e">
        <f>AND('Değerlendirme Formu'!#REF!,"AAAAAH/9/10=")</f>
        <v>#REF!</v>
      </c>
      <c r="CQ22" t="e">
        <f>AND('Değerlendirme Formu'!#REF!,"AAAAAH/9/14=")</f>
        <v>#REF!</v>
      </c>
      <c r="CR22" t="e">
        <f>AND('Değerlendirme Formu'!#REF!,"AAAAAH/9/18=")</f>
        <v>#REF!</v>
      </c>
      <c r="CS22" t="e">
        <f>AND('Değerlendirme Formu'!#REF!,"AAAAAH/9/2A=")</f>
        <v>#REF!</v>
      </c>
      <c r="CT22" t="e">
        <f>AND('Değerlendirme Formu'!#REF!,"AAAAAH/9/2E=")</f>
        <v>#REF!</v>
      </c>
      <c r="CU22" t="e">
        <f>AND('Değerlendirme Formu'!#REF!,"AAAAAH/9/2I=")</f>
        <v>#REF!</v>
      </c>
      <c r="CV22" t="e">
        <f>AND('Değerlendirme Formu'!#REF!,"AAAAAH/9/2M=")</f>
        <v>#REF!</v>
      </c>
      <c r="CW22" t="e">
        <f>AND('Değerlendirme Formu'!#REF!,"AAAAAH/9/2Q=")</f>
        <v>#REF!</v>
      </c>
      <c r="CX22" t="e">
        <f>AND('Değerlendirme Formu'!#REF!,"AAAAAH/9/2U=")</f>
        <v>#REF!</v>
      </c>
      <c r="CY22" t="e">
        <f>AND('Değerlendirme Formu'!#REF!,"AAAAAH/9/2Y=")</f>
        <v>#REF!</v>
      </c>
      <c r="CZ22" t="e">
        <f>AND('Değerlendirme Formu'!#REF!,"AAAAAH/9/2c=")</f>
        <v>#REF!</v>
      </c>
      <c r="DA22" t="e">
        <f>AND('Değerlendirme Formu'!#REF!,"AAAAAH/9/2g=")</f>
        <v>#REF!</v>
      </c>
      <c r="DB22" t="e">
        <f>AND('Değerlendirme Formu'!#REF!,"AAAAAH/9/2k=")</f>
        <v>#REF!</v>
      </c>
      <c r="DC22" t="e">
        <f>AND('Değerlendirme Formu'!#REF!,"AAAAAH/9/2o=")</f>
        <v>#REF!</v>
      </c>
      <c r="DD22" t="e">
        <f>AND('Değerlendirme Formu'!#REF!,"AAAAAH/9/2s=")</f>
        <v>#REF!</v>
      </c>
      <c r="DE22" t="e">
        <f>AND('Değerlendirme Formu'!#REF!,"AAAAAH/9/2w=")</f>
        <v>#REF!</v>
      </c>
      <c r="DF22" t="e">
        <f>IF('Değerlendirme Formu'!#REF!,"AAAAAH/9/20=",0)</f>
        <v>#REF!</v>
      </c>
      <c r="DG22" t="e">
        <f>AND('Değerlendirme Formu'!#REF!,"AAAAAH/9/24=")</f>
        <v>#REF!</v>
      </c>
      <c r="DH22" t="e">
        <f>AND('Değerlendirme Formu'!#REF!,"AAAAAH/9/28=")</f>
        <v>#REF!</v>
      </c>
      <c r="DI22" t="e">
        <f>AND('Değerlendirme Formu'!#REF!,"AAAAAH/9/3A=")</f>
        <v>#REF!</v>
      </c>
      <c r="DJ22" t="e">
        <f>AND('Değerlendirme Formu'!#REF!,"AAAAAH/9/3E=")</f>
        <v>#REF!</v>
      </c>
      <c r="DK22" t="e">
        <f>AND('Değerlendirme Formu'!#REF!,"AAAAAH/9/3I=")</f>
        <v>#REF!</v>
      </c>
      <c r="DL22" t="e">
        <f>AND('Değerlendirme Formu'!#REF!,"AAAAAH/9/3M=")</f>
        <v>#REF!</v>
      </c>
      <c r="DM22" t="e">
        <f>AND('Değerlendirme Formu'!#REF!,"AAAAAH/9/3Q=")</f>
        <v>#REF!</v>
      </c>
      <c r="DN22" t="e">
        <f>AND('Değerlendirme Formu'!#REF!,"AAAAAH/9/3U=")</f>
        <v>#REF!</v>
      </c>
      <c r="DO22" t="e">
        <f>AND('Değerlendirme Formu'!#REF!,"AAAAAH/9/3Y=")</f>
        <v>#REF!</v>
      </c>
      <c r="DP22" t="e">
        <f>AND('Değerlendirme Formu'!#REF!,"AAAAAH/9/3c=")</f>
        <v>#REF!</v>
      </c>
      <c r="DQ22" t="e">
        <f>AND('Değerlendirme Formu'!#REF!,"AAAAAH/9/3g=")</f>
        <v>#REF!</v>
      </c>
      <c r="DR22" t="e">
        <f>AND('Değerlendirme Formu'!#REF!,"AAAAAH/9/3k=")</f>
        <v>#REF!</v>
      </c>
      <c r="DS22" t="e">
        <f>AND('Değerlendirme Formu'!#REF!,"AAAAAH/9/3o=")</f>
        <v>#REF!</v>
      </c>
      <c r="DT22" t="e">
        <f>AND('Değerlendirme Formu'!#REF!,"AAAAAH/9/3s=")</f>
        <v>#REF!</v>
      </c>
      <c r="DU22" t="e">
        <f>AND('Değerlendirme Formu'!#REF!,"AAAAAH/9/3w=")</f>
        <v>#REF!</v>
      </c>
      <c r="DV22" t="e">
        <f>AND('Değerlendirme Formu'!#REF!,"AAAAAH/9/30=")</f>
        <v>#REF!</v>
      </c>
      <c r="DW22" t="e">
        <f>AND('Değerlendirme Formu'!#REF!,"AAAAAH/9/34=")</f>
        <v>#REF!</v>
      </c>
      <c r="DX22" t="e">
        <f>IF('Değerlendirme Formu'!#REF!,"AAAAAH/9/38=",0)</f>
        <v>#REF!</v>
      </c>
      <c r="DY22" t="e">
        <f>AND('Değerlendirme Formu'!#REF!,"AAAAAH/9/4A=")</f>
        <v>#REF!</v>
      </c>
      <c r="DZ22" t="e">
        <f>AND('Değerlendirme Formu'!#REF!,"AAAAAH/9/4E=")</f>
        <v>#REF!</v>
      </c>
      <c r="EA22" t="e">
        <f>AND('Değerlendirme Formu'!#REF!,"AAAAAH/9/4I=")</f>
        <v>#REF!</v>
      </c>
      <c r="EB22" t="e">
        <f>AND('Değerlendirme Formu'!#REF!,"AAAAAH/9/4M=")</f>
        <v>#REF!</v>
      </c>
      <c r="EC22" t="e">
        <f>AND('Değerlendirme Formu'!#REF!,"AAAAAH/9/4Q=")</f>
        <v>#REF!</v>
      </c>
      <c r="ED22" t="e">
        <f>AND('Değerlendirme Formu'!#REF!,"AAAAAH/9/4U=")</f>
        <v>#REF!</v>
      </c>
      <c r="EE22" t="e">
        <f>AND('Değerlendirme Formu'!#REF!,"AAAAAH/9/4Y=")</f>
        <v>#REF!</v>
      </c>
      <c r="EF22" t="e">
        <f>AND('Değerlendirme Formu'!#REF!,"AAAAAH/9/4c=")</f>
        <v>#REF!</v>
      </c>
      <c r="EG22" t="e">
        <f>AND('Değerlendirme Formu'!#REF!,"AAAAAH/9/4g=")</f>
        <v>#REF!</v>
      </c>
      <c r="EH22" t="e">
        <f>AND('Değerlendirme Formu'!#REF!,"AAAAAH/9/4k=")</f>
        <v>#REF!</v>
      </c>
      <c r="EI22" t="e">
        <f>AND('Değerlendirme Formu'!#REF!,"AAAAAH/9/4o=")</f>
        <v>#REF!</v>
      </c>
      <c r="EJ22" t="e">
        <f>AND('Değerlendirme Formu'!#REF!,"AAAAAH/9/4s=")</f>
        <v>#REF!</v>
      </c>
      <c r="EK22" t="e">
        <f>AND('Değerlendirme Formu'!#REF!,"AAAAAH/9/4w=")</f>
        <v>#REF!</v>
      </c>
      <c r="EL22" t="e">
        <f>AND('Değerlendirme Formu'!#REF!,"AAAAAH/9/40=")</f>
        <v>#REF!</v>
      </c>
      <c r="EM22" t="e">
        <f>AND('Değerlendirme Formu'!#REF!,"AAAAAH/9/44=")</f>
        <v>#REF!</v>
      </c>
      <c r="EN22" t="e">
        <f>AND('Değerlendirme Formu'!#REF!,"AAAAAH/9/48=")</f>
        <v>#REF!</v>
      </c>
      <c r="EO22" t="e">
        <f>AND('Değerlendirme Formu'!#REF!,"AAAAAH/9/5A=")</f>
        <v>#REF!</v>
      </c>
      <c r="EP22" t="e">
        <f>IF('Değerlendirme Formu'!#REF!,"AAAAAH/9/5E=",0)</f>
        <v>#REF!</v>
      </c>
      <c r="EQ22" t="e">
        <f>AND('Değerlendirme Formu'!#REF!,"AAAAAH/9/5I=")</f>
        <v>#REF!</v>
      </c>
      <c r="ER22" t="e">
        <f>AND('Değerlendirme Formu'!#REF!,"AAAAAH/9/5M=")</f>
        <v>#REF!</v>
      </c>
      <c r="ES22" t="e">
        <f>AND('Değerlendirme Formu'!#REF!,"AAAAAH/9/5Q=")</f>
        <v>#REF!</v>
      </c>
      <c r="ET22" t="e">
        <f>AND('Değerlendirme Formu'!#REF!,"AAAAAH/9/5U=")</f>
        <v>#REF!</v>
      </c>
      <c r="EU22" t="e">
        <f>AND('Değerlendirme Formu'!#REF!,"AAAAAH/9/5Y=")</f>
        <v>#REF!</v>
      </c>
      <c r="EV22" t="e">
        <f>AND('Değerlendirme Formu'!#REF!,"AAAAAH/9/5c=")</f>
        <v>#REF!</v>
      </c>
      <c r="EW22" t="e">
        <f>AND('Değerlendirme Formu'!#REF!,"AAAAAH/9/5g=")</f>
        <v>#REF!</v>
      </c>
      <c r="EX22" t="e">
        <f>AND('Değerlendirme Formu'!#REF!,"AAAAAH/9/5k=")</f>
        <v>#REF!</v>
      </c>
      <c r="EY22" t="e">
        <f>AND('Değerlendirme Formu'!#REF!,"AAAAAH/9/5o=")</f>
        <v>#REF!</v>
      </c>
      <c r="EZ22" t="e">
        <f>AND('Değerlendirme Formu'!#REF!,"AAAAAH/9/5s=")</f>
        <v>#REF!</v>
      </c>
      <c r="FA22" t="e">
        <f>AND('Değerlendirme Formu'!#REF!,"AAAAAH/9/5w=")</f>
        <v>#REF!</v>
      </c>
      <c r="FB22" t="e">
        <f>AND('Değerlendirme Formu'!#REF!,"AAAAAH/9/50=")</f>
        <v>#REF!</v>
      </c>
      <c r="FC22" t="e">
        <f>AND('Değerlendirme Formu'!#REF!,"AAAAAH/9/54=")</f>
        <v>#REF!</v>
      </c>
      <c r="FD22" t="e">
        <f>AND('Değerlendirme Formu'!#REF!,"AAAAAH/9/58=")</f>
        <v>#REF!</v>
      </c>
      <c r="FE22" t="e">
        <f>AND('Değerlendirme Formu'!#REF!,"AAAAAH/9/6A=")</f>
        <v>#REF!</v>
      </c>
      <c r="FF22" t="e">
        <f>AND('Değerlendirme Formu'!#REF!,"AAAAAH/9/6E=")</f>
        <v>#REF!</v>
      </c>
      <c r="FG22" t="e">
        <f>AND('Değerlendirme Formu'!#REF!,"AAAAAH/9/6I=")</f>
        <v>#REF!</v>
      </c>
      <c r="FH22" t="e">
        <f>IF('Değerlendirme Formu'!#REF!,"AAAAAH/9/6M=",0)</f>
        <v>#REF!</v>
      </c>
      <c r="FI22" t="e">
        <f>AND('Değerlendirme Formu'!#REF!,"AAAAAH/9/6Q=")</f>
        <v>#REF!</v>
      </c>
      <c r="FJ22" t="e">
        <f>AND('Değerlendirme Formu'!#REF!,"AAAAAH/9/6U=")</f>
        <v>#REF!</v>
      </c>
      <c r="FK22" t="e">
        <f>AND('Değerlendirme Formu'!#REF!,"AAAAAH/9/6Y=")</f>
        <v>#REF!</v>
      </c>
      <c r="FL22" t="e">
        <f>AND('Değerlendirme Formu'!#REF!,"AAAAAH/9/6c=")</f>
        <v>#REF!</v>
      </c>
      <c r="FM22" t="e">
        <f>AND('Değerlendirme Formu'!#REF!,"AAAAAH/9/6g=")</f>
        <v>#REF!</v>
      </c>
      <c r="FN22" t="e">
        <f>AND('Değerlendirme Formu'!#REF!,"AAAAAH/9/6k=")</f>
        <v>#REF!</v>
      </c>
      <c r="FO22" t="e">
        <f>AND('Değerlendirme Formu'!#REF!,"AAAAAH/9/6o=")</f>
        <v>#REF!</v>
      </c>
      <c r="FP22" t="e">
        <f>AND('Değerlendirme Formu'!#REF!,"AAAAAH/9/6s=")</f>
        <v>#REF!</v>
      </c>
      <c r="FQ22" t="e">
        <f>AND('Değerlendirme Formu'!#REF!,"AAAAAH/9/6w=")</f>
        <v>#REF!</v>
      </c>
      <c r="FR22" t="e">
        <f>AND('Değerlendirme Formu'!#REF!,"AAAAAH/9/60=")</f>
        <v>#REF!</v>
      </c>
      <c r="FS22" t="e">
        <f>AND('Değerlendirme Formu'!#REF!,"AAAAAH/9/64=")</f>
        <v>#REF!</v>
      </c>
      <c r="FT22" t="e">
        <f>AND('Değerlendirme Formu'!#REF!,"AAAAAH/9/68=")</f>
        <v>#REF!</v>
      </c>
      <c r="FU22" t="e">
        <f>AND('Değerlendirme Formu'!#REF!,"AAAAAH/9/7A=")</f>
        <v>#REF!</v>
      </c>
      <c r="FV22" t="e">
        <f>AND('Değerlendirme Formu'!#REF!,"AAAAAH/9/7E=")</f>
        <v>#REF!</v>
      </c>
      <c r="FW22" t="e">
        <f>AND('Değerlendirme Formu'!#REF!,"AAAAAH/9/7I=")</f>
        <v>#REF!</v>
      </c>
      <c r="FX22" t="e">
        <f>AND('Değerlendirme Formu'!#REF!,"AAAAAH/9/7M=")</f>
        <v>#REF!</v>
      </c>
      <c r="FY22" t="e">
        <f>AND('Değerlendirme Formu'!#REF!,"AAAAAH/9/7Q=")</f>
        <v>#REF!</v>
      </c>
      <c r="FZ22" t="e">
        <f>IF('Değerlendirme Formu'!#REF!,"AAAAAH/9/7U=",0)</f>
        <v>#REF!</v>
      </c>
      <c r="GA22" t="e">
        <f>AND('Değerlendirme Formu'!#REF!,"AAAAAH/9/7Y=")</f>
        <v>#REF!</v>
      </c>
      <c r="GB22" t="e">
        <f>AND('Değerlendirme Formu'!#REF!,"AAAAAH/9/7c=")</f>
        <v>#REF!</v>
      </c>
      <c r="GC22" t="e">
        <f>AND('Değerlendirme Formu'!#REF!,"AAAAAH/9/7g=")</f>
        <v>#REF!</v>
      </c>
      <c r="GD22" t="e">
        <f>AND('Değerlendirme Formu'!#REF!,"AAAAAH/9/7k=")</f>
        <v>#REF!</v>
      </c>
      <c r="GE22" t="e">
        <f>AND('Değerlendirme Formu'!#REF!,"AAAAAH/9/7o=")</f>
        <v>#REF!</v>
      </c>
      <c r="GF22" t="e">
        <f>AND('Değerlendirme Formu'!#REF!,"AAAAAH/9/7s=")</f>
        <v>#REF!</v>
      </c>
      <c r="GG22" t="e">
        <f>AND('Değerlendirme Formu'!#REF!,"AAAAAH/9/7w=")</f>
        <v>#REF!</v>
      </c>
      <c r="GH22" t="e">
        <f>AND('Değerlendirme Formu'!#REF!,"AAAAAH/9/70=")</f>
        <v>#REF!</v>
      </c>
      <c r="GI22" t="e">
        <f>AND('Değerlendirme Formu'!#REF!,"AAAAAH/9/74=")</f>
        <v>#REF!</v>
      </c>
      <c r="GJ22" t="e">
        <f>AND('Değerlendirme Formu'!#REF!,"AAAAAH/9/78=")</f>
        <v>#REF!</v>
      </c>
      <c r="GK22" t="e">
        <f>AND('Değerlendirme Formu'!#REF!,"AAAAAH/9/8A=")</f>
        <v>#REF!</v>
      </c>
      <c r="GL22" t="e">
        <f>AND('Değerlendirme Formu'!#REF!,"AAAAAH/9/8E=")</f>
        <v>#REF!</v>
      </c>
      <c r="GM22" t="e">
        <f>AND('Değerlendirme Formu'!#REF!,"AAAAAH/9/8I=")</f>
        <v>#REF!</v>
      </c>
      <c r="GN22" t="e">
        <f>AND('Değerlendirme Formu'!#REF!,"AAAAAH/9/8M=")</f>
        <v>#REF!</v>
      </c>
      <c r="GO22" t="e">
        <f>AND('Değerlendirme Formu'!#REF!,"AAAAAH/9/8Q=")</f>
        <v>#REF!</v>
      </c>
      <c r="GP22" t="e">
        <f>AND('Değerlendirme Formu'!#REF!,"AAAAAH/9/8U=")</f>
        <v>#REF!</v>
      </c>
      <c r="GQ22" t="e">
        <f>AND('Değerlendirme Formu'!#REF!,"AAAAAH/9/8Y=")</f>
        <v>#REF!</v>
      </c>
      <c r="GR22" t="e">
        <f>IF('Değerlendirme Formu'!#REF!,"AAAAAH/9/8c=",0)</f>
        <v>#REF!</v>
      </c>
      <c r="GS22" t="e">
        <f>AND('Değerlendirme Formu'!#REF!,"AAAAAH/9/8g=")</f>
        <v>#REF!</v>
      </c>
      <c r="GT22" t="e">
        <f>AND('Değerlendirme Formu'!#REF!,"AAAAAH/9/8k=")</f>
        <v>#REF!</v>
      </c>
      <c r="GU22" t="e">
        <f>AND('Değerlendirme Formu'!#REF!,"AAAAAH/9/8o=")</f>
        <v>#REF!</v>
      </c>
      <c r="GV22" t="e">
        <f>AND('Değerlendirme Formu'!#REF!,"AAAAAH/9/8s=")</f>
        <v>#REF!</v>
      </c>
      <c r="GW22" t="e">
        <f>AND('Değerlendirme Formu'!#REF!,"AAAAAH/9/8w=")</f>
        <v>#REF!</v>
      </c>
      <c r="GX22" t="e">
        <f>AND('Değerlendirme Formu'!#REF!,"AAAAAH/9/80=")</f>
        <v>#REF!</v>
      </c>
      <c r="GY22" t="e">
        <f>AND('Değerlendirme Formu'!#REF!,"AAAAAH/9/84=")</f>
        <v>#REF!</v>
      </c>
      <c r="GZ22" t="e">
        <f>AND('Değerlendirme Formu'!#REF!,"AAAAAH/9/88=")</f>
        <v>#REF!</v>
      </c>
      <c r="HA22" t="e">
        <f>AND('Değerlendirme Formu'!#REF!,"AAAAAH/9/9A=")</f>
        <v>#REF!</v>
      </c>
      <c r="HB22" t="e">
        <f>AND('Değerlendirme Formu'!#REF!,"AAAAAH/9/9E=")</f>
        <v>#REF!</v>
      </c>
      <c r="HC22" t="e">
        <f>AND('Değerlendirme Formu'!#REF!,"AAAAAH/9/9I=")</f>
        <v>#REF!</v>
      </c>
      <c r="HD22" t="e">
        <f>AND('Değerlendirme Formu'!#REF!,"AAAAAH/9/9M=")</f>
        <v>#REF!</v>
      </c>
      <c r="HE22" t="e">
        <f>AND('Değerlendirme Formu'!#REF!,"AAAAAH/9/9Q=")</f>
        <v>#REF!</v>
      </c>
      <c r="HF22" t="e">
        <f>AND('Değerlendirme Formu'!#REF!,"AAAAAH/9/9U=")</f>
        <v>#REF!</v>
      </c>
      <c r="HG22" t="e">
        <f>AND('Değerlendirme Formu'!#REF!,"AAAAAH/9/9Y=")</f>
        <v>#REF!</v>
      </c>
      <c r="HH22" t="e">
        <f>AND('Değerlendirme Formu'!#REF!,"AAAAAH/9/9c=")</f>
        <v>#REF!</v>
      </c>
      <c r="HI22" t="e">
        <f>AND('Değerlendirme Formu'!#REF!,"AAAAAH/9/9g=")</f>
        <v>#REF!</v>
      </c>
      <c r="HJ22" t="e">
        <f>IF('Değerlendirme Formu'!#REF!,"AAAAAH/9/9k=",0)</f>
        <v>#REF!</v>
      </c>
      <c r="HK22" t="e">
        <f>AND('Değerlendirme Formu'!#REF!,"AAAAAH/9/9o=")</f>
        <v>#REF!</v>
      </c>
      <c r="HL22" t="e">
        <f>AND('Değerlendirme Formu'!#REF!,"AAAAAH/9/9s=")</f>
        <v>#REF!</v>
      </c>
      <c r="HM22" t="e">
        <f>AND('Değerlendirme Formu'!#REF!,"AAAAAH/9/9w=")</f>
        <v>#REF!</v>
      </c>
      <c r="HN22" t="e">
        <f>AND('Değerlendirme Formu'!#REF!,"AAAAAH/9/90=")</f>
        <v>#REF!</v>
      </c>
      <c r="HO22" t="e">
        <f>AND('Değerlendirme Formu'!#REF!,"AAAAAH/9/94=")</f>
        <v>#REF!</v>
      </c>
      <c r="HP22" t="e">
        <f>AND('Değerlendirme Formu'!#REF!,"AAAAAH/9/98=")</f>
        <v>#REF!</v>
      </c>
      <c r="HQ22" t="e">
        <f>AND('Değerlendirme Formu'!#REF!,"AAAAAH/9/+A=")</f>
        <v>#REF!</v>
      </c>
      <c r="HR22" t="e">
        <f>AND('Değerlendirme Formu'!#REF!,"AAAAAH/9/+E=")</f>
        <v>#REF!</v>
      </c>
      <c r="HS22" t="e">
        <f>AND('Değerlendirme Formu'!#REF!,"AAAAAH/9/+I=")</f>
        <v>#REF!</v>
      </c>
      <c r="HT22" t="e">
        <f>AND('Değerlendirme Formu'!#REF!,"AAAAAH/9/+M=")</f>
        <v>#REF!</v>
      </c>
      <c r="HU22" t="e">
        <f>AND('Değerlendirme Formu'!#REF!,"AAAAAH/9/+Q=")</f>
        <v>#REF!</v>
      </c>
      <c r="HV22" t="e">
        <f>AND('Değerlendirme Formu'!#REF!,"AAAAAH/9/+U=")</f>
        <v>#REF!</v>
      </c>
      <c r="HW22" t="e">
        <f>AND('Değerlendirme Formu'!#REF!,"AAAAAH/9/+Y=")</f>
        <v>#REF!</v>
      </c>
      <c r="HX22" t="e">
        <f>AND('Değerlendirme Formu'!#REF!,"AAAAAH/9/+c=")</f>
        <v>#REF!</v>
      </c>
      <c r="HY22" t="e">
        <f>AND('Değerlendirme Formu'!#REF!,"AAAAAH/9/+g=")</f>
        <v>#REF!</v>
      </c>
      <c r="HZ22" t="e">
        <f>AND('Değerlendirme Formu'!#REF!,"AAAAAH/9/+k=")</f>
        <v>#REF!</v>
      </c>
      <c r="IA22" t="e">
        <f>AND('Değerlendirme Formu'!#REF!,"AAAAAH/9/+o=")</f>
        <v>#REF!</v>
      </c>
      <c r="IB22" t="e">
        <f>IF('Değerlendirme Formu'!#REF!,"AAAAAH/9/+s=",0)</f>
        <v>#REF!</v>
      </c>
      <c r="IC22" t="e">
        <f>AND('Değerlendirme Formu'!#REF!,"AAAAAH/9/+w=")</f>
        <v>#REF!</v>
      </c>
      <c r="ID22" t="e">
        <f>AND('Değerlendirme Formu'!#REF!,"AAAAAH/9/+0=")</f>
        <v>#REF!</v>
      </c>
      <c r="IE22" t="e">
        <f>AND('Değerlendirme Formu'!#REF!,"AAAAAH/9/+4=")</f>
        <v>#REF!</v>
      </c>
      <c r="IF22" t="e">
        <f>AND('Değerlendirme Formu'!#REF!,"AAAAAH/9/+8=")</f>
        <v>#REF!</v>
      </c>
      <c r="IG22" t="e">
        <f>AND('Değerlendirme Formu'!#REF!,"AAAAAH/9//A=")</f>
        <v>#REF!</v>
      </c>
      <c r="IH22" t="e">
        <f>AND('Değerlendirme Formu'!#REF!,"AAAAAH/9//E=")</f>
        <v>#REF!</v>
      </c>
      <c r="II22" t="e">
        <f>AND('Değerlendirme Formu'!#REF!,"AAAAAH/9//I=")</f>
        <v>#REF!</v>
      </c>
      <c r="IJ22" t="e">
        <f>AND('Değerlendirme Formu'!#REF!,"AAAAAH/9//M=")</f>
        <v>#REF!</v>
      </c>
      <c r="IK22" t="e">
        <f>AND('Değerlendirme Formu'!#REF!,"AAAAAH/9//Q=")</f>
        <v>#REF!</v>
      </c>
      <c r="IL22" t="e">
        <f>AND('Değerlendirme Formu'!#REF!,"AAAAAH/9//U=")</f>
        <v>#REF!</v>
      </c>
      <c r="IM22" t="e">
        <f>AND('Değerlendirme Formu'!#REF!,"AAAAAH/9//Y=")</f>
        <v>#REF!</v>
      </c>
      <c r="IN22" t="e">
        <f>AND('Değerlendirme Formu'!#REF!,"AAAAAH/9//c=")</f>
        <v>#REF!</v>
      </c>
      <c r="IO22" t="e">
        <f>AND('Değerlendirme Formu'!#REF!,"AAAAAH/9//g=")</f>
        <v>#REF!</v>
      </c>
      <c r="IP22" t="e">
        <f>AND('Değerlendirme Formu'!#REF!,"AAAAAH/9//k=")</f>
        <v>#REF!</v>
      </c>
      <c r="IQ22" t="e">
        <f>AND('Değerlendirme Formu'!#REF!,"AAAAAH/9//o=")</f>
        <v>#REF!</v>
      </c>
      <c r="IR22" t="e">
        <f>AND('Değerlendirme Formu'!#REF!,"AAAAAH/9//s=")</f>
        <v>#REF!</v>
      </c>
      <c r="IS22" t="e">
        <f>AND('Değerlendirme Formu'!#REF!,"AAAAAH/9//w=")</f>
        <v>#REF!</v>
      </c>
      <c r="IT22" t="e">
        <f>IF('Değerlendirme Formu'!#REF!,"AAAAAH/9//0=",0)</f>
        <v>#REF!</v>
      </c>
      <c r="IU22" t="e">
        <f>AND('Değerlendirme Formu'!#REF!,"AAAAAH/9//4=")</f>
        <v>#REF!</v>
      </c>
      <c r="IV22" t="e">
        <f>AND('Değerlendirme Formu'!#REF!,"AAAAAH/9//8=")</f>
        <v>#REF!</v>
      </c>
    </row>
    <row r="23" spans="1:256" x14ac:dyDescent="0.2">
      <c r="A23" t="e">
        <f>AND('Değerlendirme Formu'!#REF!,"AAAAAF/+vwA=")</f>
        <v>#REF!</v>
      </c>
      <c r="B23" t="e">
        <f>AND('Değerlendirme Formu'!#REF!,"AAAAAF/+vwE=")</f>
        <v>#REF!</v>
      </c>
      <c r="C23" t="e">
        <f>AND('Değerlendirme Formu'!#REF!,"AAAAAF/+vwI=")</f>
        <v>#REF!</v>
      </c>
      <c r="D23" t="e">
        <f>AND('Değerlendirme Formu'!#REF!,"AAAAAF/+vwM=")</f>
        <v>#REF!</v>
      </c>
      <c r="E23" t="e">
        <f>AND('Değerlendirme Formu'!#REF!,"AAAAAF/+vwQ=")</f>
        <v>#REF!</v>
      </c>
      <c r="F23" t="e">
        <f>AND('Değerlendirme Formu'!#REF!,"AAAAAF/+vwU=")</f>
        <v>#REF!</v>
      </c>
      <c r="G23" t="e">
        <f>AND('Değerlendirme Formu'!#REF!,"AAAAAF/+vwY=")</f>
        <v>#REF!</v>
      </c>
      <c r="H23" t="e">
        <f>AND('Değerlendirme Formu'!#REF!,"AAAAAF/+vwc=")</f>
        <v>#REF!</v>
      </c>
      <c r="I23" t="e">
        <f>AND('Değerlendirme Formu'!#REF!,"AAAAAF/+vwg=")</f>
        <v>#REF!</v>
      </c>
      <c r="J23" t="e">
        <f>AND('Değerlendirme Formu'!#REF!,"AAAAAF/+vwk=")</f>
        <v>#REF!</v>
      </c>
      <c r="K23" t="e">
        <f>AND('Değerlendirme Formu'!#REF!,"AAAAAF/+vwo=")</f>
        <v>#REF!</v>
      </c>
      <c r="L23" t="e">
        <f>AND('Değerlendirme Formu'!#REF!,"AAAAAF/+vws=")</f>
        <v>#REF!</v>
      </c>
      <c r="M23" t="e">
        <f>AND('Değerlendirme Formu'!#REF!,"AAAAAF/+vww=")</f>
        <v>#REF!</v>
      </c>
      <c r="N23" t="e">
        <f>AND('Değerlendirme Formu'!#REF!,"AAAAAF/+vw0=")</f>
        <v>#REF!</v>
      </c>
      <c r="O23" t="e">
        <f>AND('Değerlendirme Formu'!#REF!,"AAAAAF/+vw4=")</f>
        <v>#REF!</v>
      </c>
      <c r="P23">
        <f>IF('Değerlendirme Formu'!390:390,"AAAAAF/+vw8=",0)</f>
        <v>0</v>
      </c>
      <c r="Q23" t="e">
        <f>AND('Değerlendirme Formu'!A390,"AAAAAF/+vxA=")</f>
        <v>#VALUE!</v>
      </c>
      <c r="R23" t="e">
        <f>AND('Değerlendirme Formu'!B390,"AAAAAF/+vxE=")</f>
        <v>#VALUE!</v>
      </c>
      <c r="S23" t="e">
        <f>AND('Değerlendirme Formu'!#REF!,"AAAAAF/+vxI=")</f>
        <v>#REF!</v>
      </c>
      <c r="T23" t="e">
        <f>AND('Değerlendirme Formu'!#REF!,"AAAAAF/+vxM=")</f>
        <v>#REF!</v>
      </c>
      <c r="U23" t="e">
        <f>AND('Değerlendirme Formu'!#REF!,"AAAAAF/+vxQ=")</f>
        <v>#REF!</v>
      </c>
      <c r="V23" t="e">
        <f>AND('Değerlendirme Formu'!#REF!,"AAAAAF/+vxU=")</f>
        <v>#REF!</v>
      </c>
      <c r="W23" t="e">
        <f>AND('Değerlendirme Formu'!#REF!,"AAAAAF/+vxY=")</f>
        <v>#REF!</v>
      </c>
      <c r="X23" t="e">
        <f>AND('Değerlendirme Formu'!#REF!,"AAAAAF/+vxc=")</f>
        <v>#REF!</v>
      </c>
      <c r="Y23" t="e">
        <f>AND('Değerlendirme Formu'!F390,"AAAAAF/+vxg=")</f>
        <v>#VALUE!</v>
      </c>
      <c r="Z23" t="e">
        <f>AND('Değerlendirme Formu'!#REF!,"AAAAAF/+vxk=")</f>
        <v>#REF!</v>
      </c>
      <c r="AA23" t="b">
        <f>AND('Değerlendirme Formu'!C390,"AAAAAF/+vxo=")</f>
        <v>1</v>
      </c>
      <c r="AB23" t="b">
        <f>AND('Değerlendirme Formu'!D390,"AAAAAF/+vxs=")</f>
        <v>1</v>
      </c>
      <c r="AC23" t="b">
        <f>AND('Değerlendirme Formu'!E390,"AAAAAF/+vxw=")</f>
        <v>1</v>
      </c>
      <c r="AD23" t="e">
        <f>AND('Değerlendirme Formu'!#REF!,"AAAAAF/+vx0=")</f>
        <v>#REF!</v>
      </c>
      <c r="AE23" t="e">
        <f>AND('Değerlendirme Formu'!G390,"AAAAAF/+vx4=")</f>
        <v>#VALUE!</v>
      </c>
      <c r="AF23" t="e">
        <f>AND('Değerlendirme Formu'!H390,"AAAAAF/+vx8=")</f>
        <v>#VALUE!</v>
      </c>
      <c r="AG23" t="e">
        <f>AND('Değerlendirme Formu'!I390,"AAAAAF/+vyA=")</f>
        <v>#VALUE!</v>
      </c>
      <c r="AH23" t="e">
        <f>IF('Değerlendirme Formu'!#REF!,"AAAAAF/+vyE=",0)</f>
        <v>#REF!</v>
      </c>
      <c r="AI23" t="e">
        <f>AND('Değerlendirme Formu'!#REF!,"AAAAAF/+vyI=")</f>
        <v>#REF!</v>
      </c>
      <c r="AJ23" t="e">
        <f>AND('Değerlendirme Formu'!#REF!,"AAAAAF/+vyM=")</f>
        <v>#REF!</v>
      </c>
      <c r="AK23" t="e">
        <f>AND('Değerlendirme Formu'!#REF!,"AAAAAF/+vyQ=")</f>
        <v>#REF!</v>
      </c>
      <c r="AL23" t="e">
        <f>AND('Değerlendirme Formu'!#REF!,"AAAAAF/+vyU=")</f>
        <v>#REF!</v>
      </c>
      <c r="AM23" t="e">
        <f>AND('Değerlendirme Formu'!#REF!,"AAAAAF/+vyY=")</f>
        <v>#REF!</v>
      </c>
      <c r="AN23" t="e">
        <f>AND('Değerlendirme Formu'!#REF!,"AAAAAF/+vyc=")</f>
        <v>#REF!</v>
      </c>
      <c r="AO23" t="e">
        <f>AND('Değerlendirme Formu'!#REF!,"AAAAAF/+vyg=")</f>
        <v>#REF!</v>
      </c>
      <c r="AP23" t="e">
        <f>AND('Değerlendirme Formu'!#REF!,"AAAAAF/+vyk=")</f>
        <v>#REF!</v>
      </c>
      <c r="AQ23" t="e">
        <f>AND('Değerlendirme Formu'!#REF!,"AAAAAF/+vyo=")</f>
        <v>#REF!</v>
      </c>
      <c r="AR23" t="e">
        <f>AND('Değerlendirme Formu'!#REF!,"AAAAAF/+vys=")</f>
        <v>#REF!</v>
      </c>
      <c r="AS23" t="e">
        <f>AND('Değerlendirme Formu'!#REF!,"AAAAAF/+vyw=")</f>
        <v>#REF!</v>
      </c>
      <c r="AT23" t="e">
        <f>AND('Değerlendirme Formu'!#REF!,"AAAAAF/+vy0=")</f>
        <v>#REF!</v>
      </c>
      <c r="AU23" t="e">
        <f>AND('Değerlendirme Formu'!#REF!,"AAAAAF/+vy4=")</f>
        <v>#REF!</v>
      </c>
      <c r="AV23" t="e">
        <f>AND('Değerlendirme Formu'!#REF!,"AAAAAF/+vy8=")</f>
        <v>#REF!</v>
      </c>
      <c r="AW23" t="e">
        <f>AND('Değerlendirme Formu'!#REF!,"AAAAAF/+vzA=")</f>
        <v>#REF!</v>
      </c>
      <c r="AX23" t="e">
        <f>AND('Değerlendirme Formu'!#REF!,"AAAAAF/+vzE=")</f>
        <v>#REF!</v>
      </c>
      <c r="AY23" t="e">
        <f>AND('Değerlendirme Formu'!#REF!,"AAAAAF/+vzI=")</f>
        <v>#REF!</v>
      </c>
      <c r="AZ23" t="e">
        <f>IF('Değerlendirme Formu'!#REF!,"AAAAAF/+vzM=",0)</f>
        <v>#REF!</v>
      </c>
      <c r="BA23" t="e">
        <f>AND('Değerlendirme Formu'!#REF!,"AAAAAF/+vzQ=")</f>
        <v>#REF!</v>
      </c>
      <c r="BB23" t="e">
        <f>AND('Değerlendirme Formu'!#REF!,"AAAAAF/+vzU=")</f>
        <v>#REF!</v>
      </c>
      <c r="BC23" t="e">
        <f>AND('Değerlendirme Formu'!#REF!,"AAAAAF/+vzY=")</f>
        <v>#REF!</v>
      </c>
      <c r="BD23" t="e">
        <f>AND('Değerlendirme Formu'!#REF!,"AAAAAF/+vzc=")</f>
        <v>#REF!</v>
      </c>
      <c r="BE23" t="e">
        <f>AND('Değerlendirme Formu'!#REF!,"AAAAAF/+vzg=")</f>
        <v>#REF!</v>
      </c>
      <c r="BF23" t="e">
        <f>AND('Değerlendirme Formu'!#REF!,"AAAAAF/+vzk=")</f>
        <v>#REF!</v>
      </c>
      <c r="BG23" t="e">
        <f>AND('Değerlendirme Formu'!#REF!,"AAAAAF/+vzo=")</f>
        <v>#REF!</v>
      </c>
      <c r="BH23" t="e">
        <f>AND('Değerlendirme Formu'!#REF!,"AAAAAF/+vzs=")</f>
        <v>#REF!</v>
      </c>
      <c r="BI23" t="e">
        <f>AND('Değerlendirme Formu'!#REF!,"AAAAAF/+vzw=")</f>
        <v>#REF!</v>
      </c>
      <c r="BJ23" t="e">
        <f>AND('Değerlendirme Formu'!#REF!,"AAAAAF/+vz0=")</f>
        <v>#REF!</v>
      </c>
      <c r="BK23" t="e">
        <f>AND('Değerlendirme Formu'!#REF!,"AAAAAF/+vz4=")</f>
        <v>#REF!</v>
      </c>
      <c r="BL23" t="e">
        <f>AND('Değerlendirme Formu'!#REF!,"AAAAAF/+vz8=")</f>
        <v>#REF!</v>
      </c>
      <c r="BM23" t="e">
        <f>AND('Değerlendirme Formu'!#REF!,"AAAAAF/+v0A=")</f>
        <v>#REF!</v>
      </c>
      <c r="BN23" t="e">
        <f>AND('Değerlendirme Formu'!#REF!,"AAAAAF/+v0E=")</f>
        <v>#REF!</v>
      </c>
      <c r="BO23" t="e">
        <f>AND('Değerlendirme Formu'!#REF!,"AAAAAF/+v0I=")</f>
        <v>#REF!</v>
      </c>
      <c r="BP23" t="e">
        <f>AND('Değerlendirme Formu'!#REF!,"AAAAAF/+v0M=")</f>
        <v>#REF!</v>
      </c>
      <c r="BQ23" t="e">
        <f>AND('Değerlendirme Formu'!#REF!,"AAAAAF/+v0Q=")</f>
        <v>#REF!</v>
      </c>
      <c r="BR23">
        <f>IF('Değerlendirme Formu'!414:414,"AAAAAF/+v0U=",0)</f>
        <v>0</v>
      </c>
      <c r="BS23" t="e">
        <f>AND('Değerlendirme Formu'!A414,"AAAAAF/+v0Y=")</f>
        <v>#VALUE!</v>
      </c>
      <c r="BT23" t="e">
        <f>AND('Değerlendirme Formu'!B414,"AAAAAF/+v0c=")</f>
        <v>#VALUE!</v>
      </c>
      <c r="BU23" t="e">
        <f>AND('Değerlendirme Formu'!#REF!,"AAAAAF/+v0g=")</f>
        <v>#REF!</v>
      </c>
      <c r="BV23" t="e">
        <f>AND('Değerlendirme Formu'!C414,"AAAAAF/+v0k=")</f>
        <v>#VALUE!</v>
      </c>
      <c r="BW23" t="e">
        <f>AND('Değerlendirme Formu'!D414,"AAAAAF/+v0o=")</f>
        <v>#VALUE!</v>
      </c>
      <c r="BX23" t="e">
        <f>AND('Değerlendirme Formu'!E414,"AAAAAF/+v0s=")</f>
        <v>#VALUE!</v>
      </c>
      <c r="BY23" t="e">
        <f>AND('Değerlendirme Formu'!#REF!,"AAAAAF/+v0w=")</f>
        <v>#REF!</v>
      </c>
      <c r="BZ23" t="e">
        <f>AND('Değerlendirme Formu'!#REF!,"AAAAAF/+v00=")</f>
        <v>#REF!</v>
      </c>
      <c r="CA23" t="e">
        <f>AND('Değerlendirme Formu'!F414,"AAAAAF/+v04=")</f>
        <v>#VALUE!</v>
      </c>
      <c r="CB23" t="e">
        <f>AND('Değerlendirme Formu'!#REF!,"AAAAAF/+v08=")</f>
        <v>#REF!</v>
      </c>
      <c r="CC23" t="e">
        <f>AND('Değerlendirme Formu'!#REF!,"AAAAAF/+v1A=")</f>
        <v>#REF!</v>
      </c>
      <c r="CD23" t="e">
        <f>AND('Değerlendirme Formu'!#REF!,"AAAAAF/+v1E=")</f>
        <v>#REF!</v>
      </c>
      <c r="CE23" t="e">
        <f>AND('Değerlendirme Formu'!#REF!,"AAAAAF/+v1I=")</f>
        <v>#REF!</v>
      </c>
      <c r="CF23" t="e">
        <f>AND('Değerlendirme Formu'!#REF!,"AAAAAF/+v1M=")</f>
        <v>#REF!</v>
      </c>
      <c r="CG23" t="e">
        <f>AND('Değerlendirme Formu'!G414,"AAAAAF/+v1Q=")</f>
        <v>#VALUE!</v>
      </c>
      <c r="CH23" t="e">
        <f>AND('Değerlendirme Formu'!H414,"AAAAAF/+v1U=")</f>
        <v>#VALUE!</v>
      </c>
      <c r="CI23" t="e">
        <f>AND('Değerlendirme Formu'!I414,"AAAAAF/+v1Y=")</f>
        <v>#VALUE!</v>
      </c>
      <c r="CJ23">
        <f>IF('Değerlendirme Formu'!415:415,"AAAAAF/+v1c=",0)</f>
        <v>0</v>
      </c>
      <c r="CK23" t="e">
        <f>AND('Değerlendirme Formu'!A415,"AAAAAF/+v1g=")</f>
        <v>#VALUE!</v>
      </c>
      <c r="CL23" t="e">
        <f>AND('Değerlendirme Formu'!B415,"AAAAAF/+v1k=")</f>
        <v>#VALUE!</v>
      </c>
      <c r="CM23" t="e">
        <f>AND('Değerlendirme Formu'!#REF!,"AAAAAF/+v1o=")</f>
        <v>#REF!</v>
      </c>
      <c r="CN23" t="e">
        <f>AND('Değerlendirme Formu'!C415,"AAAAAF/+v1s=")</f>
        <v>#VALUE!</v>
      </c>
      <c r="CO23" t="e">
        <f>AND('Değerlendirme Formu'!D415,"AAAAAF/+v1w=")</f>
        <v>#VALUE!</v>
      </c>
      <c r="CP23" t="e">
        <f>AND('Değerlendirme Formu'!E415,"AAAAAF/+v10=")</f>
        <v>#VALUE!</v>
      </c>
      <c r="CQ23" t="e">
        <f>AND('Değerlendirme Formu'!#REF!,"AAAAAF/+v14=")</f>
        <v>#REF!</v>
      </c>
      <c r="CR23" t="e">
        <f>AND('Değerlendirme Formu'!#REF!,"AAAAAF/+v18=")</f>
        <v>#REF!</v>
      </c>
      <c r="CS23" t="e">
        <f>AND('Değerlendirme Formu'!F415,"AAAAAF/+v2A=")</f>
        <v>#VALUE!</v>
      </c>
      <c r="CT23" t="e">
        <f>AND('Değerlendirme Formu'!#REF!,"AAAAAF/+v2E=")</f>
        <v>#REF!</v>
      </c>
      <c r="CU23" t="e">
        <f>AND('Değerlendirme Formu'!#REF!,"AAAAAF/+v2I=")</f>
        <v>#REF!</v>
      </c>
      <c r="CV23" t="e">
        <f>AND('Değerlendirme Formu'!#REF!,"AAAAAF/+v2M=")</f>
        <v>#REF!</v>
      </c>
      <c r="CW23" t="e">
        <f>AND('Değerlendirme Formu'!#REF!,"AAAAAF/+v2Q=")</f>
        <v>#REF!</v>
      </c>
      <c r="CX23" t="e">
        <f>AND('Değerlendirme Formu'!#REF!,"AAAAAF/+v2U=")</f>
        <v>#REF!</v>
      </c>
      <c r="CY23" t="e">
        <f>AND('Değerlendirme Formu'!G415,"AAAAAF/+v2Y=")</f>
        <v>#VALUE!</v>
      </c>
      <c r="CZ23" t="e">
        <f>AND('Değerlendirme Formu'!H415,"AAAAAF/+v2c=")</f>
        <v>#VALUE!</v>
      </c>
      <c r="DA23" t="e">
        <f>AND('Değerlendirme Formu'!I415,"AAAAAF/+v2g=")</f>
        <v>#VALUE!</v>
      </c>
      <c r="DB23" t="e">
        <f>IF('Değerlendirme Formu'!#REF!,"AAAAAF/+v2k=",0)</f>
        <v>#REF!</v>
      </c>
      <c r="DC23" t="e">
        <f>AND('Değerlendirme Formu'!#REF!,"AAAAAF/+v2o=")</f>
        <v>#REF!</v>
      </c>
      <c r="DD23" t="e">
        <f>AND('Değerlendirme Formu'!B416,"AAAAAF/+v2s=")</f>
        <v>#VALUE!</v>
      </c>
      <c r="DE23" t="e">
        <f>AND('Değerlendirme Formu'!#REF!,"AAAAAF/+v2w=")</f>
        <v>#REF!</v>
      </c>
      <c r="DF23" t="e">
        <f>AND('Değerlendirme Formu'!#REF!,"AAAAAF/+v20=")</f>
        <v>#REF!</v>
      </c>
      <c r="DG23" t="e">
        <f>AND('Değerlendirme Formu'!#REF!,"AAAAAF/+v24=")</f>
        <v>#REF!</v>
      </c>
      <c r="DH23" t="e">
        <f>AND('Değerlendirme Formu'!#REF!,"AAAAAF/+v28=")</f>
        <v>#REF!</v>
      </c>
      <c r="DI23" t="e">
        <f>AND('Değerlendirme Formu'!#REF!,"AAAAAF/+v3A=")</f>
        <v>#REF!</v>
      </c>
      <c r="DJ23" t="e">
        <f>AND('Değerlendirme Formu'!#REF!,"AAAAAF/+v3E=")</f>
        <v>#REF!</v>
      </c>
      <c r="DK23" t="e">
        <f>AND('Değerlendirme Formu'!#REF!,"AAAAAF/+v3I=")</f>
        <v>#REF!</v>
      </c>
      <c r="DL23" t="e">
        <f>AND('Değerlendirme Formu'!#REF!,"AAAAAF/+v3M=")</f>
        <v>#REF!</v>
      </c>
      <c r="DM23" t="e">
        <f>AND('Değerlendirme Formu'!#REF!,"AAAAAF/+v3Q=")</f>
        <v>#REF!</v>
      </c>
      <c r="DN23" t="e">
        <f>AND('Değerlendirme Formu'!#REF!,"AAAAAF/+v3U=")</f>
        <v>#REF!</v>
      </c>
      <c r="DO23" t="e">
        <f>AND('Değerlendirme Formu'!#REF!,"AAAAAF/+v3Y=")</f>
        <v>#REF!</v>
      </c>
      <c r="DP23" t="e">
        <f>AND('Değerlendirme Formu'!#REF!,"AAAAAF/+v3c=")</f>
        <v>#REF!</v>
      </c>
      <c r="DQ23" t="e">
        <f>AND('Değerlendirme Formu'!#REF!,"AAAAAF/+v3g=")</f>
        <v>#REF!</v>
      </c>
      <c r="DR23" t="e">
        <f>AND('Değerlendirme Formu'!#REF!,"AAAAAF/+v3k=")</f>
        <v>#REF!</v>
      </c>
      <c r="DS23" t="e">
        <f>AND('Değerlendirme Formu'!#REF!,"AAAAAF/+v3o=")</f>
        <v>#REF!</v>
      </c>
      <c r="DT23">
        <f>IF('Değerlendirme Formu'!416:416,"AAAAAF/+v3s=",0)</f>
        <v>0</v>
      </c>
      <c r="DU23" t="e">
        <f>AND('Değerlendirme Formu'!A416,"AAAAAF/+v3w=")</f>
        <v>#VALUE!</v>
      </c>
      <c r="DV23" t="e">
        <f>AND('Değerlendirme Formu'!#REF!,"AAAAAF/+v30=")</f>
        <v>#REF!</v>
      </c>
      <c r="DW23" t="e">
        <f>AND('Değerlendirme Formu'!#REF!,"AAAAAF/+v34=")</f>
        <v>#REF!</v>
      </c>
      <c r="DX23" t="e">
        <f>AND('Değerlendirme Formu'!#REF!,"AAAAAF/+v38=")</f>
        <v>#REF!</v>
      </c>
      <c r="DY23" t="e">
        <f>AND('Değerlendirme Formu'!#REF!,"AAAAAF/+v4A=")</f>
        <v>#REF!</v>
      </c>
      <c r="DZ23" t="e">
        <f>AND('Değerlendirme Formu'!#REF!,"AAAAAF/+v4E=")</f>
        <v>#REF!</v>
      </c>
      <c r="EA23" t="e">
        <f>AND('Değerlendirme Formu'!#REF!,"AAAAAF/+v4I=")</f>
        <v>#REF!</v>
      </c>
      <c r="EB23" t="e">
        <f>AND('Değerlendirme Formu'!#REF!,"AAAAAF/+v4M=")</f>
        <v>#REF!</v>
      </c>
      <c r="EC23" t="e">
        <f>AND('Değerlendirme Formu'!F416,"AAAAAF/+v4Q=")</f>
        <v>#VALUE!</v>
      </c>
      <c r="ED23" t="e">
        <f>AND('Değerlendirme Formu'!#REF!,"AAAAAF/+v4U=")</f>
        <v>#REF!</v>
      </c>
      <c r="EE23" t="b">
        <f>AND('Değerlendirme Formu'!C416,"AAAAAF/+v4Y=")</f>
        <v>1</v>
      </c>
      <c r="EF23" t="b">
        <f>AND('Değerlendirme Formu'!D416,"AAAAAF/+v4c=")</f>
        <v>1</v>
      </c>
      <c r="EG23" t="b">
        <f>AND('Değerlendirme Formu'!E416,"AAAAAF/+v4g=")</f>
        <v>1</v>
      </c>
      <c r="EH23" t="e">
        <f>AND('Değerlendirme Formu'!#REF!,"AAAAAF/+v4k=")</f>
        <v>#REF!</v>
      </c>
      <c r="EI23" t="e">
        <f>AND('Değerlendirme Formu'!G416,"AAAAAF/+v4o=")</f>
        <v>#VALUE!</v>
      </c>
      <c r="EJ23" t="e">
        <f>AND('Değerlendirme Formu'!H416,"AAAAAF/+v4s=")</f>
        <v>#VALUE!</v>
      </c>
      <c r="EK23" t="e">
        <f>AND('Değerlendirme Formu'!I416,"AAAAAF/+v4w=")</f>
        <v>#VALUE!</v>
      </c>
      <c r="EL23" t="e">
        <f>IF('Değerlendirme Formu'!#REF!,"AAAAAF/+v40=",0)</f>
        <v>#REF!</v>
      </c>
      <c r="EM23" t="e">
        <f>AND('Değerlendirme Formu'!#REF!,"AAAAAF/+v44=")</f>
        <v>#REF!</v>
      </c>
      <c r="EN23" t="e">
        <f>AND('Değerlendirme Formu'!#REF!,"AAAAAF/+v48=")</f>
        <v>#REF!</v>
      </c>
      <c r="EO23" t="e">
        <f>AND('Değerlendirme Formu'!#REF!,"AAAAAF/+v5A=")</f>
        <v>#REF!</v>
      </c>
      <c r="EP23" t="e">
        <f>AND('Değerlendirme Formu'!#REF!,"AAAAAF/+v5E=")</f>
        <v>#REF!</v>
      </c>
      <c r="EQ23" t="e">
        <f>AND('Değerlendirme Formu'!#REF!,"AAAAAF/+v5I=")</f>
        <v>#REF!</v>
      </c>
      <c r="ER23" t="e">
        <f>AND('Değerlendirme Formu'!#REF!,"AAAAAF/+v5M=")</f>
        <v>#REF!</v>
      </c>
      <c r="ES23" t="e">
        <f>AND('Değerlendirme Formu'!#REF!,"AAAAAF/+v5Q=")</f>
        <v>#REF!</v>
      </c>
      <c r="ET23" t="e">
        <f>AND('Değerlendirme Formu'!#REF!,"AAAAAF/+v5U=")</f>
        <v>#REF!</v>
      </c>
      <c r="EU23" t="e">
        <f>AND('Değerlendirme Formu'!#REF!,"AAAAAF/+v5Y=")</f>
        <v>#REF!</v>
      </c>
      <c r="EV23" t="e">
        <f>AND('Değerlendirme Formu'!#REF!,"AAAAAF/+v5c=")</f>
        <v>#REF!</v>
      </c>
      <c r="EW23" t="e">
        <f>AND('Değerlendirme Formu'!#REF!,"AAAAAF/+v5g=")</f>
        <v>#REF!</v>
      </c>
      <c r="EX23" t="e">
        <f>AND('Değerlendirme Formu'!#REF!,"AAAAAF/+v5k=")</f>
        <v>#REF!</v>
      </c>
      <c r="EY23" t="e">
        <f>AND('Değerlendirme Formu'!#REF!,"AAAAAF/+v5o=")</f>
        <v>#REF!</v>
      </c>
      <c r="EZ23" t="e">
        <f>AND('Değerlendirme Formu'!#REF!,"AAAAAF/+v5s=")</f>
        <v>#REF!</v>
      </c>
      <c r="FA23" t="e">
        <f>AND('Değerlendirme Formu'!#REF!,"AAAAAF/+v5w=")</f>
        <v>#REF!</v>
      </c>
      <c r="FB23" t="e">
        <f>AND('Değerlendirme Formu'!#REF!,"AAAAAF/+v50=")</f>
        <v>#REF!</v>
      </c>
      <c r="FC23" t="e">
        <f>AND('Değerlendirme Formu'!#REF!,"AAAAAF/+v54=")</f>
        <v>#REF!</v>
      </c>
      <c r="FD23" t="e">
        <f>IF('Değerlendirme Formu'!#REF!,"AAAAAF/+v58=",0)</f>
        <v>#REF!</v>
      </c>
      <c r="FE23" t="e">
        <f>AND('Değerlendirme Formu'!#REF!,"AAAAAF/+v6A=")</f>
        <v>#REF!</v>
      </c>
      <c r="FF23" t="e">
        <f>AND('Değerlendirme Formu'!#REF!,"AAAAAF/+v6E=")</f>
        <v>#REF!</v>
      </c>
      <c r="FG23" t="e">
        <f>AND('Değerlendirme Formu'!#REF!,"AAAAAF/+v6I=")</f>
        <v>#REF!</v>
      </c>
      <c r="FH23" t="e">
        <f>AND('Değerlendirme Formu'!#REF!,"AAAAAF/+v6M=")</f>
        <v>#REF!</v>
      </c>
      <c r="FI23" t="e">
        <f>AND('Değerlendirme Formu'!#REF!,"AAAAAF/+v6Q=")</f>
        <v>#REF!</v>
      </c>
      <c r="FJ23" t="e">
        <f>AND('Değerlendirme Formu'!#REF!,"AAAAAF/+v6U=")</f>
        <v>#REF!</v>
      </c>
      <c r="FK23" t="e">
        <f>AND('Değerlendirme Formu'!#REF!,"AAAAAF/+v6Y=")</f>
        <v>#REF!</v>
      </c>
      <c r="FL23" t="e">
        <f>AND('Değerlendirme Formu'!#REF!,"AAAAAF/+v6c=")</f>
        <v>#REF!</v>
      </c>
      <c r="FM23" t="e">
        <f>AND('Değerlendirme Formu'!#REF!,"AAAAAF/+v6g=")</f>
        <v>#REF!</v>
      </c>
      <c r="FN23" t="e">
        <f>AND('Değerlendirme Formu'!#REF!,"AAAAAF/+v6k=")</f>
        <v>#REF!</v>
      </c>
      <c r="FO23" t="e">
        <f>AND('Değerlendirme Formu'!#REF!,"AAAAAF/+v6o=")</f>
        <v>#REF!</v>
      </c>
      <c r="FP23" t="e">
        <f>AND('Değerlendirme Formu'!#REF!,"AAAAAF/+v6s=")</f>
        <v>#REF!</v>
      </c>
      <c r="FQ23" t="e">
        <f>AND('Değerlendirme Formu'!#REF!,"AAAAAF/+v6w=")</f>
        <v>#REF!</v>
      </c>
      <c r="FR23" t="e">
        <f>AND('Değerlendirme Formu'!#REF!,"AAAAAF/+v60=")</f>
        <v>#REF!</v>
      </c>
      <c r="FS23" t="e">
        <f>AND('Değerlendirme Formu'!#REF!,"AAAAAF/+v64=")</f>
        <v>#REF!</v>
      </c>
      <c r="FT23" t="e">
        <f>AND('Değerlendirme Formu'!#REF!,"AAAAAF/+v68=")</f>
        <v>#REF!</v>
      </c>
      <c r="FU23" t="e">
        <f>AND('Değerlendirme Formu'!#REF!,"AAAAAF/+v7A=")</f>
        <v>#REF!</v>
      </c>
      <c r="FV23" t="e">
        <f>IF('Değerlendirme Formu'!#REF!,"AAAAAF/+v7E=",0)</f>
        <v>#REF!</v>
      </c>
      <c r="FW23" t="e">
        <f>AND('Değerlendirme Formu'!#REF!,"AAAAAF/+v7I=")</f>
        <v>#REF!</v>
      </c>
      <c r="FX23" t="e">
        <f>AND('Değerlendirme Formu'!#REF!,"AAAAAF/+v7M=")</f>
        <v>#REF!</v>
      </c>
      <c r="FY23" t="e">
        <f>AND('Değerlendirme Formu'!#REF!,"AAAAAF/+v7Q=")</f>
        <v>#REF!</v>
      </c>
      <c r="FZ23" t="e">
        <f>AND('Değerlendirme Formu'!#REF!,"AAAAAF/+v7U=")</f>
        <v>#REF!</v>
      </c>
      <c r="GA23" t="e">
        <f>AND('Değerlendirme Formu'!#REF!,"AAAAAF/+v7Y=")</f>
        <v>#REF!</v>
      </c>
      <c r="GB23" t="e">
        <f>AND('Değerlendirme Formu'!#REF!,"AAAAAF/+v7c=")</f>
        <v>#REF!</v>
      </c>
      <c r="GC23" t="e">
        <f>AND('Değerlendirme Formu'!#REF!,"AAAAAF/+v7g=")</f>
        <v>#REF!</v>
      </c>
      <c r="GD23" t="e">
        <f>AND('Değerlendirme Formu'!#REF!,"AAAAAF/+v7k=")</f>
        <v>#REF!</v>
      </c>
      <c r="GE23" t="e">
        <f>AND('Değerlendirme Formu'!#REF!,"AAAAAF/+v7o=")</f>
        <v>#REF!</v>
      </c>
      <c r="GF23" t="e">
        <f>AND('Değerlendirme Formu'!#REF!,"AAAAAF/+v7s=")</f>
        <v>#REF!</v>
      </c>
      <c r="GG23" t="e">
        <f>AND('Değerlendirme Formu'!#REF!,"AAAAAF/+v7w=")</f>
        <v>#REF!</v>
      </c>
      <c r="GH23" t="e">
        <f>AND('Değerlendirme Formu'!#REF!,"AAAAAF/+v70=")</f>
        <v>#REF!</v>
      </c>
      <c r="GI23" t="e">
        <f>AND('Değerlendirme Formu'!#REF!,"AAAAAF/+v74=")</f>
        <v>#REF!</v>
      </c>
      <c r="GJ23" t="e">
        <f>AND('Değerlendirme Formu'!#REF!,"AAAAAF/+v78=")</f>
        <v>#REF!</v>
      </c>
      <c r="GK23" t="e">
        <f>AND('Değerlendirme Formu'!#REF!,"AAAAAF/+v8A=")</f>
        <v>#REF!</v>
      </c>
      <c r="GL23" t="e">
        <f>AND('Değerlendirme Formu'!#REF!,"AAAAAF/+v8E=")</f>
        <v>#REF!</v>
      </c>
      <c r="GM23" t="e">
        <f>AND('Değerlendirme Formu'!#REF!,"AAAAAF/+v8I=")</f>
        <v>#REF!</v>
      </c>
      <c r="GN23" t="e">
        <f>IF('Değerlendirme Formu'!#REF!,"AAAAAF/+v8M=",0)</f>
        <v>#REF!</v>
      </c>
      <c r="GO23" t="e">
        <f>AND('Değerlendirme Formu'!#REF!,"AAAAAF/+v8Q=")</f>
        <v>#REF!</v>
      </c>
      <c r="GP23" t="e">
        <f>AND('Değerlendirme Formu'!#REF!,"AAAAAF/+v8U=")</f>
        <v>#REF!</v>
      </c>
      <c r="GQ23" t="e">
        <f>AND('Değerlendirme Formu'!#REF!,"AAAAAF/+v8Y=")</f>
        <v>#REF!</v>
      </c>
      <c r="GR23" t="e">
        <f>AND('Değerlendirme Formu'!#REF!,"AAAAAF/+v8c=")</f>
        <v>#REF!</v>
      </c>
      <c r="GS23" t="e">
        <f>AND('Değerlendirme Formu'!#REF!,"AAAAAF/+v8g=")</f>
        <v>#REF!</v>
      </c>
      <c r="GT23" t="e">
        <f>AND('Değerlendirme Formu'!#REF!,"AAAAAF/+v8k=")</f>
        <v>#REF!</v>
      </c>
      <c r="GU23" t="e">
        <f>AND('Değerlendirme Formu'!#REF!,"AAAAAF/+v8o=")</f>
        <v>#REF!</v>
      </c>
      <c r="GV23" t="e">
        <f>AND('Değerlendirme Formu'!#REF!,"AAAAAF/+v8s=")</f>
        <v>#REF!</v>
      </c>
      <c r="GW23" t="e">
        <f>AND('Değerlendirme Formu'!#REF!,"AAAAAF/+v8w=")</f>
        <v>#REF!</v>
      </c>
      <c r="GX23" t="e">
        <f>AND('Değerlendirme Formu'!#REF!,"AAAAAF/+v80=")</f>
        <v>#REF!</v>
      </c>
      <c r="GY23" t="e">
        <f>AND('Değerlendirme Formu'!#REF!,"AAAAAF/+v84=")</f>
        <v>#REF!</v>
      </c>
      <c r="GZ23" t="e">
        <f>AND('Değerlendirme Formu'!#REF!,"AAAAAF/+v88=")</f>
        <v>#REF!</v>
      </c>
      <c r="HA23" t="e">
        <f>AND('Değerlendirme Formu'!#REF!,"AAAAAF/+v9A=")</f>
        <v>#REF!</v>
      </c>
      <c r="HB23" t="e">
        <f>AND('Değerlendirme Formu'!#REF!,"AAAAAF/+v9E=")</f>
        <v>#REF!</v>
      </c>
      <c r="HC23" t="e">
        <f>AND('Değerlendirme Formu'!#REF!,"AAAAAF/+v9I=")</f>
        <v>#REF!</v>
      </c>
      <c r="HD23" t="e">
        <f>AND('Değerlendirme Formu'!#REF!,"AAAAAF/+v9M=")</f>
        <v>#REF!</v>
      </c>
      <c r="HE23" t="e">
        <f>AND('Değerlendirme Formu'!#REF!,"AAAAAF/+v9Q=")</f>
        <v>#REF!</v>
      </c>
      <c r="HF23" t="e">
        <f>IF('Değerlendirme Formu'!#REF!,"AAAAAF/+v9U=",0)</f>
        <v>#REF!</v>
      </c>
      <c r="HG23" t="e">
        <f>AND('Değerlendirme Formu'!#REF!,"AAAAAF/+v9Y=")</f>
        <v>#REF!</v>
      </c>
      <c r="HH23" t="e">
        <f>AND('Değerlendirme Formu'!#REF!,"AAAAAF/+v9c=")</f>
        <v>#REF!</v>
      </c>
      <c r="HI23" t="e">
        <f>AND('Değerlendirme Formu'!#REF!,"AAAAAF/+v9g=")</f>
        <v>#REF!</v>
      </c>
      <c r="HJ23" t="e">
        <f>AND('Değerlendirme Formu'!#REF!,"AAAAAF/+v9k=")</f>
        <v>#REF!</v>
      </c>
      <c r="HK23" t="e">
        <f>AND('Değerlendirme Formu'!#REF!,"AAAAAF/+v9o=")</f>
        <v>#REF!</v>
      </c>
      <c r="HL23" t="e">
        <f>AND('Değerlendirme Formu'!#REF!,"AAAAAF/+v9s=")</f>
        <v>#REF!</v>
      </c>
      <c r="HM23" t="e">
        <f>AND('Değerlendirme Formu'!#REF!,"AAAAAF/+v9w=")</f>
        <v>#REF!</v>
      </c>
      <c r="HN23" t="e">
        <f>AND('Değerlendirme Formu'!#REF!,"AAAAAF/+v90=")</f>
        <v>#REF!</v>
      </c>
      <c r="HO23" t="e">
        <f>AND('Değerlendirme Formu'!#REF!,"AAAAAF/+v94=")</f>
        <v>#REF!</v>
      </c>
      <c r="HP23" t="e">
        <f>AND('Değerlendirme Formu'!#REF!,"AAAAAF/+v98=")</f>
        <v>#REF!</v>
      </c>
      <c r="HQ23" t="e">
        <f>AND('Değerlendirme Formu'!#REF!,"AAAAAF/+v+A=")</f>
        <v>#REF!</v>
      </c>
      <c r="HR23" t="e">
        <f>AND('Değerlendirme Formu'!#REF!,"AAAAAF/+v+E=")</f>
        <v>#REF!</v>
      </c>
      <c r="HS23" t="e">
        <f>AND('Değerlendirme Formu'!#REF!,"AAAAAF/+v+I=")</f>
        <v>#REF!</v>
      </c>
      <c r="HT23" t="e">
        <f>AND('Değerlendirme Formu'!#REF!,"AAAAAF/+v+M=")</f>
        <v>#REF!</v>
      </c>
      <c r="HU23" t="e">
        <f>AND('Değerlendirme Formu'!#REF!,"AAAAAF/+v+Q=")</f>
        <v>#REF!</v>
      </c>
      <c r="HV23" t="e">
        <f>AND('Değerlendirme Formu'!#REF!,"AAAAAF/+v+U=")</f>
        <v>#REF!</v>
      </c>
      <c r="HW23" t="e">
        <f>AND('Değerlendirme Formu'!#REF!,"AAAAAF/+v+Y=")</f>
        <v>#REF!</v>
      </c>
      <c r="HX23" t="e">
        <f>IF('Değerlendirme Formu'!#REF!,"AAAAAF/+v+c=",0)</f>
        <v>#REF!</v>
      </c>
      <c r="HY23" t="e">
        <f>AND('Değerlendirme Formu'!#REF!,"AAAAAF/+v+g=")</f>
        <v>#REF!</v>
      </c>
      <c r="HZ23" t="e">
        <f>AND('Değerlendirme Formu'!#REF!,"AAAAAF/+v+k=")</f>
        <v>#REF!</v>
      </c>
      <c r="IA23" t="e">
        <f>AND('Değerlendirme Formu'!#REF!,"AAAAAF/+v+o=")</f>
        <v>#REF!</v>
      </c>
      <c r="IB23" t="e">
        <f>AND('Değerlendirme Formu'!#REF!,"AAAAAF/+v+s=")</f>
        <v>#REF!</v>
      </c>
      <c r="IC23" t="e">
        <f>AND('Değerlendirme Formu'!#REF!,"AAAAAF/+v+w=")</f>
        <v>#REF!</v>
      </c>
      <c r="ID23" t="e">
        <f>AND('Değerlendirme Formu'!#REF!,"AAAAAF/+v+0=")</f>
        <v>#REF!</v>
      </c>
      <c r="IE23" t="e">
        <f>AND('Değerlendirme Formu'!#REF!,"AAAAAF/+v+4=")</f>
        <v>#REF!</v>
      </c>
      <c r="IF23" t="e">
        <f>AND('Değerlendirme Formu'!#REF!,"AAAAAF/+v+8=")</f>
        <v>#REF!</v>
      </c>
      <c r="IG23" t="e">
        <f>AND('Değerlendirme Formu'!#REF!,"AAAAAF/+v/A=")</f>
        <v>#REF!</v>
      </c>
      <c r="IH23" t="e">
        <f>AND('Değerlendirme Formu'!#REF!,"AAAAAF/+v/E=")</f>
        <v>#REF!</v>
      </c>
      <c r="II23" t="e">
        <f>AND('Değerlendirme Formu'!#REF!,"AAAAAF/+v/I=")</f>
        <v>#REF!</v>
      </c>
      <c r="IJ23" t="e">
        <f>AND('Değerlendirme Formu'!#REF!,"AAAAAF/+v/M=")</f>
        <v>#REF!</v>
      </c>
      <c r="IK23" t="e">
        <f>AND('Değerlendirme Formu'!#REF!,"AAAAAF/+v/Q=")</f>
        <v>#REF!</v>
      </c>
      <c r="IL23" t="e">
        <f>AND('Değerlendirme Formu'!#REF!,"AAAAAF/+v/U=")</f>
        <v>#REF!</v>
      </c>
      <c r="IM23" t="e">
        <f>AND('Değerlendirme Formu'!#REF!,"AAAAAF/+v/Y=")</f>
        <v>#REF!</v>
      </c>
      <c r="IN23" t="e">
        <f>AND('Değerlendirme Formu'!#REF!,"AAAAAF/+v/c=")</f>
        <v>#REF!</v>
      </c>
      <c r="IO23" t="e">
        <f>AND('Değerlendirme Formu'!#REF!,"AAAAAF/+v/g=")</f>
        <v>#REF!</v>
      </c>
      <c r="IP23" t="e">
        <f>IF('Değerlendirme Formu'!#REF!,"AAAAAF/+v/k=",0)</f>
        <v>#REF!</v>
      </c>
      <c r="IQ23" t="e">
        <f>AND('Değerlendirme Formu'!#REF!,"AAAAAF/+v/o=")</f>
        <v>#REF!</v>
      </c>
      <c r="IR23" t="e">
        <f>AND('Değerlendirme Formu'!#REF!,"AAAAAF/+v/s=")</f>
        <v>#REF!</v>
      </c>
      <c r="IS23" t="e">
        <f>AND('Değerlendirme Formu'!#REF!,"AAAAAF/+v/w=")</f>
        <v>#REF!</v>
      </c>
      <c r="IT23" t="e">
        <f>AND('Değerlendirme Formu'!#REF!,"AAAAAF/+v/0=")</f>
        <v>#REF!</v>
      </c>
      <c r="IU23" t="e">
        <f>AND('Değerlendirme Formu'!#REF!,"AAAAAF/+v/4=")</f>
        <v>#REF!</v>
      </c>
      <c r="IV23" t="e">
        <f>AND('Değerlendirme Formu'!#REF!,"AAAAAF/+v/8=")</f>
        <v>#REF!</v>
      </c>
    </row>
    <row r="24" spans="1:256" x14ac:dyDescent="0.2">
      <c r="A24" t="e">
        <f>AND('Değerlendirme Formu'!#REF!,"AAAAAHXT+wA=")</f>
        <v>#REF!</v>
      </c>
      <c r="B24" t="e">
        <f>AND('Değerlendirme Formu'!#REF!,"AAAAAHXT+wE=")</f>
        <v>#REF!</v>
      </c>
      <c r="C24" t="e">
        <f>AND('Değerlendirme Formu'!#REF!,"AAAAAHXT+wI=")</f>
        <v>#REF!</v>
      </c>
      <c r="D24" t="e">
        <f>AND('Değerlendirme Formu'!#REF!,"AAAAAHXT+wM=")</f>
        <v>#REF!</v>
      </c>
      <c r="E24" t="e">
        <f>AND('Değerlendirme Formu'!#REF!,"AAAAAHXT+wQ=")</f>
        <v>#REF!</v>
      </c>
      <c r="F24" t="e">
        <f>AND('Değerlendirme Formu'!#REF!,"AAAAAHXT+wU=")</f>
        <v>#REF!</v>
      </c>
      <c r="G24" t="e">
        <f>AND('Değerlendirme Formu'!#REF!,"AAAAAHXT+wY=")</f>
        <v>#REF!</v>
      </c>
      <c r="H24" t="e">
        <f>AND('Değerlendirme Formu'!#REF!,"AAAAAHXT+wc=")</f>
        <v>#REF!</v>
      </c>
      <c r="I24" t="e">
        <f>AND('Değerlendirme Formu'!#REF!,"AAAAAHXT+wg=")</f>
        <v>#REF!</v>
      </c>
      <c r="J24" t="e">
        <f>AND('Değerlendirme Formu'!#REF!,"AAAAAHXT+wk=")</f>
        <v>#REF!</v>
      </c>
      <c r="K24" t="e">
        <f>AND('Değerlendirme Formu'!#REF!,"AAAAAHXT+wo=")</f>
        <v>#REF!</v>
      </c>
      <c r="L24" t="e">
        <f>IF('Değerlendirme Formu'!#REF!,"AAAAAHXT+ws=",0)</f>
        <v>#REF!</v>
      </c>
      <c r="M24" t="e">
        <f>AND('Değerlendirme Formu'!#REF!,"AAAAAHXT+ww=")</f>
        <v>#REF!</v>
      </c>
      <c r="N24" t="e">
        <f>AND('Değerlendirme Formu'!#REF!,"AAAAAHXT+w0=")</f>
        <v>#REF!</v>
      </c>
      <c r="O24" t="e">
        <f>AND('Değerlendirme Formu'!#REF!,"AAAAAHXT+w4=")</f>
        <v>#REF!</v>
      </c>
      <c r="P24" t="e">
        <f>AND('Değerlendirme Formu'!#REF!,"AAAAAHXT+w8=")</f>
        <v>#REF!</v>
      </c>
      <c r="Q24" t="e">
        <f>AND('Değerlendirme Formu'!#REF!,"AAAAAHXT+xA=")</f>
        <v>#REF!</v>
      </c>
      <c r="R24" t="e">
        <f>AND('Değerlendirme Formu'!#REF!,"AAAAAHXT+xE=")</f>
        <v>#REF!</v>
      </c>
      <c r="S24" t="e">
        <f>AND('Değerlendirme Formu'!#REF!,"AAAAAHXT+xI=")</f>
        <v>#REF!</v>
      </c>
      <c r="T24" t="e">
        <f>AND('Değerlendirme Formu'!#REF!,"AAAAAHXT+xM=")</f>
        <v>#REF!</v>
      </c>
      <c r="U24" t="e">
        <f>AND('Değerlendirme Formu'!#REF!,"AAAAAHXT+xQ=")</f>
        <v>#REF!</v>
      </c>
      <c r="V24" t="e">
        <f>AND('Değerlendirme Formu'!#REF!,"AAAAAHXT+xU=")</f>
        <v>#REF!</v>
      </c>
      <c r="W24" t="e">
        <f>AND('Değerlendirme Formu'!#REF!,"AAAAAHXT+xY=")</f>
        <v>#REF!</v>
      </c>
      <c r="X24" t="e">
        <f>AND('Değerlendirme Formu'!#REF!,"AAAAAHXT+xc=")</f>
        <v>#REF!</v>
      </c>
      <c r="Y24" t="e">
        <f>AND('Değerlendirme Formu'!#REF!,"AAAAAHXT+xg=")</f>
        <v>#REF!</v>
      </c>
      <c r="Z24" t="e">
        <f>AND('Değerlendirme Formu'!#REF!,"AAAAAHXT+xk=")</f>
        <v>#REF!</v>
      </c>
      <c r="AA24" t="e">
        <f>AND('Değerlendirme Formu'!#REF!,"AAAAAHXT+xo=")</f>
        <v>#REF!</v>
      </c>
      <c r="AB24" t="e">
        <f>AND('Değerlendirme Formu'!#REF!,"AAAAAHXT+xs=")</f>
        <v>#REF!</v>
      </c>
      <c r="AC24" t="e">
        <f>AND('Değerlendirme Formu'!#REF!,"AAAAAHXT+xw=")</f>
        <v>#REF!</v>
      </c>
      <c r="AD24" t="e">
        <f>IF('Değerlendirme Formu'!#REF!,"AAAAAHXT+x0=",0)</f>
        <v>#REF!</v>
      </c>
      <c r="AE24" t="e">
        <f>AND('Değerlendirme Formu'!#REF!,"AAAAAHXT+x4=")</f>
        <v>#REF!</v>
      </c>
      <c r="AF24" t="e">
        <f>AND('Değerlendirme Formu'!#REF!,"AAAAAHXT+x8=")</f>
        <v>#REF!</v>
      </c>
      <c r="AG24" t="e">
        <f>AND('Değerlendirme Formu'!#REF!,"AAAAAHXT+yA=")</f>
        <v>#REF!</v>
      </c>
      <c r="AH24" t="e">
        <f>AND('Değerlendirme Formu'!#REF!,"AAAAAHXT+yE=")</f>
        <v>#REF!</v>
      </c>
      <c r="AI24" t="e">
        <f>AND('Değerlendirme Formu'!#REF!,"AAAAAHXT+yI=")</f>
        <v>#REF!</v>
      </c>
      <c r="AJ24" t="e">
        <f>AND('Değerlendirme Formu'!#REF!,"AAAAAHXT+yM=")</f>
        <v>#REF!</v>
      </c>
      <c r="AK24" t="e">
        <f>AND('Değerlendirme Formu'!#REF!,"AAAAAHXT+yQ=")</f>
        <v>#REF!</v>
      </c>
      <c r="AL24" t="e">
        <f>AND('Değerlendirme Formu'!#REF!,"AAAAAHXT+yU=")</f>
        <v>#REF!</v>
      </c>
      <c r="AM24" t="e">
        <f>AND('Değerlendirme Formu'!#REF!,"AAAAAHXT+yY=")</f>
        <v>#REF!</v>
      </c>
      <c r="AN24" t="e">
        <f>AND('Değerlendirme Formu'!#REF!,"AAAAAHXT+yc=")</f>
        <v>#REF!</v>
      </c>
      <c r="AO24" t="e">
        <f>AND('Değerlendirme Formu'!#REF!,"AAAAAHXT+yg=")</f>
        <v>#REF!</v>
      </c>
      <c r="AP24" t="e">
        <f>AND('Değerlendirme Formu'!#REF!,"AAAAAHXT+yk=")</f>
        <v>#REF!</v>
      </c>
      <c r="AQ24" t="e">
        <f>AND('Değerlendirme Formu'!#REF!,"AAAAAHXT+yo=")</f>
        <v>#REF!</v>
      </c>
      <c r="AR24" t="e">
        <f>AND('Değerlendirme Formu'!#REF!,"AAAAAHXT+ys=")</f>
        <v>#REF!</v>
      </c>
      <c r="AS24" t="e">
        <f>AND('Değerlendirme Formu'!#REF!,"AAAAAHXT+yw=")</f>
        <v>#REF!</v>
      </c>
      <c r="AT24" t="e">
        <f>AND('Değerlendirme Formu'!#REF!,"AAAAAHXT+y0=")</f>
        <v>#REF!</v>
      </c>
      <c r="AU24" t="e">
        <f>AND('Değerlendirme Formu'!#REF!,"AAAAAHXT+y4=")</f>
        <v>#REF!</v>
      </c>
      <c r="AV24" t="e">
        <f>IF('Değerlendirme Formu'!#REF!,"AAAAAHXT+y8=",0)</f>
        <v>#REF!</v>
      </c>
      <c r="AW24" t="e">
        <f>AND('Değerlendirme Formu'!#REF!,"AAAAAHXT+zA=")</f>
        <v>#REF!</v>
      </c>
      <c r="AX24" t="e">
        <f>AND('Değerlendirme Formu'!#REF!,"AAAAAHXT+zE=")</f>
        <v>#REF!</v>
      </c>
      <c r="AY24" t="e">
        <f>AND('Değerlendirme Formu'!#REF!,"AAAAAHXT+zI=")</f>
        <v>#REF!</v>
      </c>
      <c r="AZ24" t="e">
        <f>AND('Değerlendirme Formu'!#REF!,"AAAAAHXT+zM=")</f>
        <v>#REF!</v>
      </c>
      <c r="BA24" t="e">
        <f>AND('Değerlendirme Formu'!#REF!,"AAAAAHXT+zQ=")</f>
        <v>#REF!</v>
      </c>
      <c r="BB24" t="e">
        <f>AND('Değerlendirme Formu'!#REF!,"AAAAAHXT+zU=")</f>
        <v>#REF!</v>
      </c>
      <c r="BC24" t="e">
        <f>AND('Değerlendirme Formu'!#REF!,"AAAAAHXT+zY=")</f>
        <v>#REF!</v>
      </c>
      <c r="BD24" t="e">
        <f>AND('Değerlendirme Formu'!#REF!,"AAAAAHXT+zc=")</f>
        <v>#REF!</v>
      </c>
      <c r="BE24" t="e">
        <f>AND('Değerlendirme Formu'!#REF!,"AAAAAHXT+zg=")</f>
        <v>#REF!</v>
      </c>
      <c r="BF24" t="e">
        <f>AND('Değerlendirme Formu'!#REF!,"AAAAAHXT+zk=")</f>
        <v>#REF!</v>
      </c>
      <c r="BG24" t="e">
        <f>AND('Değerlendirme Formu'!#REF!,"AAAAAHXT+zo=")</f>
        <v>#REF!</v>
      </c>
      <c r="BH24" t="e">
        <f>AND('Değerlendirme Formu'!#REF!,"AAAAAHXT+zs=")</f>
        <v>#REF!</v>
      </c>
      <c r="BI24" t="e">
        <f>AND('Değerlendirme Formu'!#REF!,"AAAAAHXT+zw=")</f>
        <v>#REF!</v>
      </c>
      <c r="BJ24" t="e">
        <f>AND('Değerlendirme Formu'!#REF!,"AAAAAHXT+z0=")</f>
        <v>#REF!</v>
      </c>
      <c r="BK24" t="e">
        <f>AND('Değerlendirme Formu'!#REF!,"AAAAAHXT+z4=")</f>
        <v>#REF!</v>
      </c>
      <c r="BL24" t="e">
        <f>AND('Değerlendirme Formu'!#REF!,"AAAAAHXT+z8=")</f>
        <v>#REF!</v>
      </c>
      <c r="BM24" t="e">
        <f>AND('Değerlendirme Formu'!#REF!,"AAAAAHXT+0A=")</f>
        <v>#REF!</v>
      </c>
      <c r="BN24" t="e">
        <f>IF('Değerlendirme Formu'!#REF!,"AAAAAHXT+0E=",0)</f>
        <v>#REF!</v>
      </c>
      <c r="BO24" t="e">
        <f>AND('Değerlendirme Formu'!#REF!,"AAAAAHXT+0I=")</f>
        <v>#REF!</v>
      </c>
      <c r="BP24" t="e">
        <f>AND('Değerlendirme Formu'!#REF!,"AAAAAHXT+0M=")</f>
        <v>#REF!</v>
      </c>
      <c r="BQ24" t="e">
        <f>AND('Değerlendirme Formu'!#REF!,"AAAAAHXT+0Q=")</f>
        <v>#REF!</v>
      </c>
      <c r="BR24" t="e">
        <f>AND('Değerlendirme Formu'!#REF!,"AAAAAHXT+0U=")</f>
        <v>#REF!</v>
      </c>
      <c r="BS24" t="e">
        <f>AND('Değerlendirme Formu'!#REF!,"AAAAAHXT+0Y=")</f>
        <v>#REF!</v>
      </c>
      <c r="BT24" t="e">
        <f>AND('Değerlendirme Formu'!#REF!,"AAAAAHXT+0c=")</f>
        <v>#REF!</v>
      </c>
      <c r="BU24" t="e">
        <f>AND('Değerlendirme Formu'!#REF!,"AAAAAHXT+0g=")</f>
        <v>#REF!</v>
      </c>
      <c r="BV24" t="e">
        <f>AND('Değerlendirme Formu'!#REF!,"AAAAAHXT+0k=")</f>
        <v>#REF!</v>
      </c>
      <c r="BW24" t="e">
        <f>AND('Değerlendirme Formu'!#REF!,"AAAAAHXT+0o=")</f>
        <v>#REF!</v>
      </c>
      <c r="BX24" t="e">
        <f>AND('Değerlendirme Formu'!#REF!,"AAAAAHXT+0s=")</f>
        <v>#REF!</v>
      </c>
      <c r="BY24" t="e">
        <f>AND('Değerlendirme Formu'!#REF!,"AAAAAHXT+0w=")</f>
        <v>#REF!</v>
      </c>
      <c r="BZ24" t="e">
        <f>AND('Değerlendirme Formu'!#REF!,"AAAAAHXT+00=")</f>
        <v>#REF!</v>
      </c>
      <c r="CA24" t="e">
        <f>AND('Değerlendirme Formu'!#REF!,"AAAAAHXT+04=")</f>
        <v>#REF!</v>
      </c>
      <c r="CB24" t="e">
        <f>AND('Değerlendirme Formu'!#REF!,"AAAAAHXT+08=")</f>
        <v>#REF!</v>
      </c>
      <c r="CC24" t="e">
        <f>AND('Değerlendirme Formu'!#REF!,"AAAAAHXT+1A=")</f>
        <v>#REF!</v>
      </c>
      <c r="CD24" t="e">
        <f>AND('Değerlendirme Formu'!#REF!,"AAAAAHXT+1E=")</f>
        <v>#REF!</v>
      </c>
      <c r="CE24" t="e">
        <f>AND('Değerlendirme Formu'!#REF!,"AAAAAHXT+1I=")</f>
        <v>#REF!</v>
      </c>
      <c r="CF24" t="e">
        <f>IF('Değerlendirme Formu'!#REF!,"AAAAAHXT+1M=",0)</f>
        <v>#REF!</v>
      </c>
      <c r="CG24" t="e">
        <f>AND('Değerlendirme Formu'!#REF!,"AAAAAHXT+1Q=")</f>
        <v>#REF!</v>
      </c>
      <c r="CH24" t="e">
        <f>AND('Değerlendirme Formu'!#REF!,"AAAAAHXT+1U=")</f>
        <v>#REF!</v>
      </c>
      <c r="CI24" t="e">
        <f>AND('Değerlendirme Formu'!#REF!,"AAAAAHXT+1Y=")</f>
        <v>#REF!</v>
      </c>
      <c r="CJ24" t="e">
        <f>AND('Değerlendirme Formu'!#REF!,"AAAAAHXT+1c=")</f>
        <v>#REF!</v>
      </c>
      <c r="CK24" t="e">
        <f>AND('Değerlendirme Formu'!#REF!,"AAAAAHXT+1g=")</f>
        <v>#REF!</v>
      </c>
      <c r="CL24" t="e">
        <f>AND('Değerlendirme Formu'!#REF!,"AAAAAHXT+1k=")</f>
        <v>#REF!</v>
      </c>
      <c r="CM24" t="e">
        <f>AND('Değerlendirme Formu'!#REF!,"AAAAAHXT+1o=")</f>
        <v>#REF!</v>
      </c>
      <c r="CN24" t="e">
        <f>AND('Değerlendirme Formu'!#REF!,"AAAAAHXT+1s=")</f>
        <v>#REF!</v>
      </c>
      <c r="CO24" t="e">
        <f>AND('Değerlendirme Formu'!#REF!,"AAAAAHXT+1w=")</f>
        <v>#REF!</v>
      </c>
      <c r="CP24" t="e">
        <f>AND('Değerlendirme Formu'!#REF!,"AAAAAHXT+10=")</f>
        <v>#REF!</v>
      </c>
      <c r="CQ24" t="e">
        <f>AND('Değerlendirme Formu'!#REF!,"AAAAAHXT+14=")</f>
        <v>#REF!</v>
      </c>
      <c r="CR24" t="e">
        <f>AND('Değerlendirme Formu'!#REF!,"AAAAAHXT+18=")</f>
        <v>#REF!</v>
      </c>
      <c r="CS24" t="e">
        <f>AND('Değerlendirme Formu'!#REF!,"AAAAAHXT+2A=")</f>
        <v>#REF!</v>
      </c>
      <c r="CT24" t="e">
        <f>AND('Değerlendirme Formu'!#REF!,"AAAAAHXT+2E=")</f>
        <v>#REF!</v>
      </c>
      <c r="CU24" t="e">
        <f>AND('Değerlendirme Formu'!#REF!,"AAAAAHXT+2I=")</f>
        <v>#REF!</v>
      </c>
      <c r="CV24" t="e">
        <f>AND('Değerlendirme Formu'!#REF!,"AAAAAHXT+2M=")</f>
        <v>#REF!</v>
      </c>
      <c r="CW24" t="e">
        <f>AND('Değerlendirme Formu'!#REF!,"AAAAAHXT+2Q=")</f>
        <v>#REF!</v>
      </c>
      <c r="CX24" t="e">
        <f>IF('Değerlendirme Formu'!#REF!,"AAAAAHXT+2U=",0)</f>
        <v>#REF!</v>
      </c>
      <c r="CY24" t="e">
        <f>AND('Değerlendirme Formu'!#REF!,"AAAAAHXT+2Y=")</f>
        <v>#REF!</v>
      </c>
      <c r="CZ24" t="e">
        <f>AND('Değerlendirme Formu'!#REF!,"AAAAAHXT+2c=")</f>
        <v>#REF!</v>
      </c>
      <c r="DA24" t="e">
        <f>AND('Değerlendirme Formu'!#REF!,"AAAAAHXT+2g=")</f>
        <v>#REF!</v>
      </c>
      <c r="DB24" t="e">
        <f>AND('Değerlendirme Formu'!#REF!,"AAAAAHXT+2k=")</f>
        <v>#REF!</v>
      </c>
      <c r="DC24" t="e">
        <f>AND('Değerlendirme Formu'!#REF!,"AAAAAHXT+2o=")</f>
        <v>#REF!</v>
      </c>
      <c r="DD24" t="e">
        <f>AND('Değerlendirme Formu'!#REF!,"AAAAAHXT+2s=")</f>
        <v>#REF!</v>
      </c>
      <c r="DE24" t="e">
        <f>AND('Değerlendirme Formu'!#REF!,"AAAAAHXT+2w=")</f>
        <v>#REF!</v>
      </c>
      <c r="DF24" t="e">
        <f>AND('Değerlendirme Formu'!#REF!,"AAAAAHXT+20=")</f>
        <v>#REF!</v>
      </c>
      <c r="DG24" t="e">
        <f>AND('Değerlendirme Formu'!#REF!,"AAAAAHXT+24=")</f>
        <v>#REF!</v>
      </c>
      <c r="DH24" t="e">
        <f>AND('Değerlendirme Formu'!#REF!,"AAAAAHXT+28=")</f>
        <v>#REF!</v>
      </c>
      <c r="DI24" t="e">
        <f>AND('Değerlendirme Formu'!#REF!,"AAAAAHXT+3A=")</f>
        <v>#REF!</v>
      </c>
      <c r="DJ24" t="e">
        <f>AND('Değerlendirme Formu'!#REF!,"AAAAAHXT+3E=")</f>
        <v>#REF!</v>
      </c>
      <c r="DK24" t="e">
        <f>AND('Değerlendirme Formu'!#REF!,"AAAAAHXT+3I=")</f>
        <v>#REF!</v>
      </c>
      <c r="DL24" t="e">
        <f>AND('Değerlendirme Formu'!#REF!,"AAAAAHXT+3M=")</f>
        <v>#REF!</v>
      </c>
      <c r="DM24" t="e">
        <f>AND('Değerlendirme Formu'!#REF!,"AAAAAHXT+3Q=")</f>
        <v>#REF!</v>
      </c>
      <c r="DN24" t="e">
        <f>AND('Değerlendirme Formu'!#REF!,"AAAAAHXT+3U=")</f>
        <v>#REF!</v>
      </c>
      <c r="DO24" t="e">
        <f>AND('Değerlendirme Formu'!#REF!,"AAAAAHXT+3Y=")</f>
        <v>#REF!</v>
      </c>
      <c r="DP24" t="e">
        <f>IF('Değerlendirme Formu'!#REF!,"AAAAAHXT+3c=",0)</f>
        <v>#REF!</v>
      </c>
      <c r="DQ24" t="e">
        <f>AND('Değerlendirme Formu'!#REF!,"AAAAAHXT+3g=")</f>
        <v>#REF!</v>
      </c>
      <c r="DR24" t="e">
        <f>AND('Değerlendirme Formu'!#REF!,"AAAAAHXT+3k=")</f>
        <v>#REF!</v>
      </c>
      <c r="DS24" t="e">
        <f>AND('Değerlendirme Formu'!#REF!,"AAAAAHXT+3o=")</f>
        <v>#REF!</v>
      </c>
      <c r="DT24" t="e">
        <f>AND('Değerlendirme Formu'!#REF!,"AAAAAHXT+3s=")</f>
        <v>#REF!</v>
      </c>
      <c r="DU24" t="e">
        <f>AND('Değerlendirme Formu'!#REF!,"AAAAAHXT+3w=")</f>
        <v>#REF!</v>
      </c>
      <c r="DV24" t="e">
        <f>AND('Değerlendirme Formu'!#REF!,"AAAAAHXT+30=")</f>
        <v>#REF!</v>
      </c>
      <c r="DW24" t="e">
        <f>AND('Değerlendirme Formu'!#REF!,"AAAAAHXT+34=")</f>
        <v>#REF!</v>
      </c>
      <c r="DX24" t="e">
        <f>AND('Değerlendirme Formu'!#REF!,"AAAAAHXT+38=")</f>
        <v>#REF!</v>
      </c>
      <c r="DY24" t="e">
        <f>AND('Değerlendirme Formu'!#REF!,"AAAAAHXT+4A=")</f>
        <v>#REF!</v>
      </c>
      <c r="DZ24" t="e">
        <f>AND('Değerlendirme Formu'!#REF!,"AAAAAHXT+4E=")</f>
        <v>#REF!</v>
      </c>
      <c r="EA24" t="e">
        <f>AND('Değerlendirme Formu'!#REF!,"AAAAAHXT+4I=")</f>
        <v>#REF!</v>
      </c>
      <c r="EB24" t="e">
        <f>AND('Değerlendirme Formu'!#REF!,"AAAAAHXT+4M=")</f>
        <v>#REF!</v>
      </c>
      <c r="EC24" t="e">
        <f>AND('Değerlendirme Formu'!#REF!,"AAAAAHXT+4Q=")</f>
        <v>#REF!</v>
      </c>
      <c r="ED24" t="e">
        <f>AND('Değerlendirme Formu'!#REF!,"AAAAAHXT+4U=")</f>
        <v>#REF!</v>
      </c>
      <c r="EE24" t="e">
        <f>AND('Değerlendirme Formu'!#REF!,"AAAAAHXT+4Y=")</f>
        <v>#REF!</v>
      </c>
      <c r="EF24" t="e">
        <f>AND('Değerlendirme Formu'!#REF!,"AAAAAHXT+4c=")</f>
        <v>#REF!</v>
      </c>
      <c r="EG24" t="e">
        <f>AND('Değerlendirme Formu'!#REF!,"AAAAAHXT+4g=")</f>
        <v>#REF!</v>
      </c>
      <c r="EH24" t="e">
        <f>IF('Değerlendirme Formu'!#REF!,"AAAAAHXT+4k=",0)</f>
        <v>#REF!</v>
      </c>
      <c r="EI24" t="e">
        <f>AND('Değerlendirme Formu'!#REF!,"AAAAAHXT+4o=")</f>
        <v>#REF!</v>
      </c>
      <c r="EJ24" t="e">
        <f>AND('Değerlendirme Formu'!#REF!,"AAAAAHXT+4s=")</f>
        <v>#REF!</v>
      </c>
      <c r="EK24" t="e">
        <f>AND('Değerlendirme Formu'!#REF!,"AAAAAHXT+4w=")</f>
        <v>#REF!</v>
      </c>
      <c r="EL24" t="e">
        <f>AND('Değerlendirme Formu'!#REF!,"AAAAAHXT+40=")</f>
        <v>#REF!</v>
      </c>
      <c r="EM24" t="e">
        <f>AND('Değerlendirme Formu'!#REF!,"AAAAAHXT+44=")</f>
        <v>#REF!</v>
      </c>
      <c r="EN24" t="e">
        <f>AND('Değerlendirme Formu'!#REF!,"AAAAAHXT+48=")</f>
        <v>#REF!</v>
      </c>
      <c r="EO24" t="e">
        <f>AND('Değerlendirme Formu'!#REF!,"AAAAAHXT+5A=")</f>
        <v>#REF!</v>
      </c>
      <c r="EP24" t="e">
        <f>AND('Değerlendirme Formu'!#REF!,"AAAAAHXT+5E=")</f>
        <v>#REF!</v>
      </c>
      <c r="EQ24" t="e">
        <f>AND('Değerlendirme Formu'!#REF!,"AAAAAHXT+5I=")</f>
        <v>#REF!</v>
      </c>
      <c r="ER24" t="e">
        <f>AND('Değerlendirme Formu'!#REF!,"AAAAAHXT+5M=")</f>
        <v>#REF!</v>
      </c>
      <c r="ES24" t="e">
        <f>AND('Değerlendirme Formu'!#REF!,"AAAAAHXT+5Q=")</f>
        <v>#REF!</v>
      </c>
      <c r="ET24" t="e">
        <f>AND('Değerlendirme Formu'!#REF!,"AAAAAHXT+5U=")</f>
        <v>#REF!</v>
      </c>
      <c r="EU24" t="e">
        <f>AND('Değerlendirme Formu'!#REF!,"AAAAAHXT+5Y=")</f>
        <v>#REF!</v>
      </c>
      <c r="EV24" t="e">
        <f>AND('Değerlendirme Formu'!#REF!,"AAAAAHXT+5c=")</f>
        <v>#REF!</v>
      </c>
      <c r="EW24" t="e">
        <f>AND('Değerlendirme Formu'!#REF!,"AAAAAHXT+5g=")</f>
        <v>#REF!</v>
      </c>
      <c r="EX24" t="e">
        <f>AND('Değerlendirme Formu'!#REF!,"AAAAAHXT+5k=")</f>
        <v>#REF!</v>
      </c>
      <c r="EY24" t="e">
        <f>AND('Değerlendirme Formu'!#REF!,"AAAAAHXT+5o=")</f>
        <v>#REF!</v>
      </c>
      <c r="EZ24" t="e">
        <f>IF('Değerlendirme Formu'!#REF!,"AAAAAHXT+5s=",0)</f>
        <v>#REF!</v>
      </c>
      <c r="FA24" t="e">
        <f>AND('Değerlendirme Formu'!#REF!,"AAAAAHXT+5w=")</f>
        <v>#REF!</v>
      </c>
      <c r="FB24" t="e">
        <f>AND('Değerlendirme Formu'!#REF!,"AAAAAHXT+50=")</f>
        <v>#REF!</v>
      </c>
      <c r="FC24" t="e">
        <f>AND('Değerlendirme Formu'!#REF!,"AAAAAHXT+54=")</f>
        <v>#REF!</v>
      </c>
      <c r="FD24" t="e">
        <f>AND('Değerlendirme Formu'!#REF!,"AAAAAHXT+58=")</f>
        <v>#REF!</v>
      </c>
      <c r="FE24" t="e">
        <f>AND('Değerlendirme Formu'!#REF!,"AAAAAHXT+6A=")</f>
        <v>#REF!</v>
      </c>
      <c r="FF24" t="e">
        <f>AND('Değerlendirme Formu'!#REF!,"AAAAAHXT+6E=")</f>
        <v>#REF!</v>
      </c>
      <c r="FG24" t="e">
        <f>AND('Değerlendirme Formu'!#REF!,"AAAAAHXT+6I=")</f>
        <v>#REF!</v>
      </c>
      <c r="FH24" t="e">
        <f>AND('Değerlendirme Formu'!#REF!,"AAAAAHXT+6M=")</f>
        <v>#REF!</v>
      </c>
      <c r="FI24" t="e">
        <f>AND('Değerlendirme Formu'!#REF!,"AAAAAHXT+6Q=")</f>
        <v>#REF!</v>
      </c>
      <c r="FJ24" t="e">
        <f>AND('Değerlendirme Formu'!#REF!,"AAAAAHXT+6U=")</f>
        <v>#REF!</v>
      </c>
      <c r="FK24" t="e">
        <f>AND('Değerlendirme Formu'!#REF!,"AAAAAHXT+6Y=")</f>
        <v>#REF!</v>
      </c>
      <c r="FL24" t="e">
        <f>AND('Değerlendirme Formu'!#REF!,"AAAAAHXT+6c=")</f>
        <v>#REF!</v>
      </c>
      <c r="FM24" t="e">
        <f>AND('Değerlendirme Formu'!#REF!,"AAAAAHXT+6g=")</f>
        <v>#REF!</v>
      </c>
      <c r="FN24" t="e">
        <f>AND('Değerlendirme Formu'!#REF!,"AAAAAHXT+6k=")</f>
        <v>#REF!</v>
      </c>
      <c r="FO24" t="e">
        <f>AND('Değerlendirme Formu'!#REF!,"AAAAAHXT+6o=")</f>
        <v>#REF!</v>
      </c>
      <c r="FP24" t="e">
        <f>AND('Değerlendirme Formu'!#REF!,"AAAAAHXT+6s=")</f>
        <v>#REF!</v>
      </c>
      <c r="FQ24" t="e">
        <f>AND('Değerlendirme Formu'!#REF!,"AAAAAHXT+6w=")</f>
        <v>#REF!</v>
      </c>
      <c r="FR24" t="e">
        <f>IF('Değerlendirme Formu'!#REF!,"AAAAAHXT+60=",0)</f>
        <v>#REF!</v>
      </c>
      <c r="FS24" t="e">
        <f>AND('Değerlendirme Formu'!#REF!,"AAAAAHXT+64=")</f>
        <v>#REF!</v>
      </c>
      <c r="FT24" t="e">
        <f>AND('Değerlendirme Formu'!#REF!,"AAAAAHXT+68=")</f>
        <v>#REF!</v>
      </c>
      <c r="FU24" t="e">
        <f>AND('Değerlendirme Formu'!#REF!,"AAAAAHXT+7A=")</f>
        <v>#REF!</v>
      </c>
      <c r="FV24" t="e">
        <f>AND('Değerlendirme Formu'!#REF!,"AAAAAHXT+7E=")</f>
        <v>#REF!</v>
      </c>
      <c r="FW24" t="e">
        <f>AND('Değerlendirme Formu'!#REF!,"AAAAAHXT+7I=")</f>
        <v>#REF!</v>
      </c>
      <c r="FX24" t="e">
        <f>AND('Değerlendirme Formu'!#REF!,"AAAAAHXT+7M=")</f>
        <v>#REF!</v>
      </c>
      <c r="FY24" t="e">
        <f>AND('Değerlendirme Formu'!#REF!,"AAAAAHXT+7Q=")</f>
        <v>#REF!</v>
      </c>
      <c r="FZ24" t="e">
        <f>AND('Değerlendirme Formu'!#REF!,"AAAAAHXT+7U=")</f>
        <v>#REF!</v>
      </c>
      <c r="GA24" t="e">
        <f>AND('Değerlendirme Formu'!#REF!,"AAAAAHXT+7Y=")</f>
        <v>#REF!</v>
      </c>
      <c r="GB24" t="e">
        <f>AND('Değerlendirme Formu'!#REF!,"AAAAAHXT+7c=")</f>
        <v>#REF!</v>
      </c>
      <c r="GC24" t="e">
        <f>AND('Değerlendirme Formu'!#REF!,"AAAAAHXT+7g=")</f>
        <v>#REF!</v>
      </c>
      <c r="GD24" t="e">
        <f>AND('Değerlendirme Formu'!#REF!,"AAAAAHXT+7k=")</f>
        <v>#REF!</v>
      </c>
      <c r="GE24" t="e">
        <f>AND('Değerlendirme Formu'!#REF!,"AAAAAHXT+7o=")</f>
        <v>#REF!</v>
      </c>
      <c r="GF24" t="e">
        <f>AND('Değerlendirme Formu'!#REF!,"AAAAAHXT+7s=")</f>
        <v>#REF!</v>
      </c>
      <c r="GG24" t="e">
        <f>AND('Değerlendirme Formu'!#REF!,"AAAAAHXT+7w=")</f>
        <v>#REF!</v>
      </c>
      <c r="GH24" t="e">
        <f>AND('Değerlendirme Formu'!#REF!,"AAAAAHXT+70=")</f>
        <v>#REF!</v>
      </c>
      <c r="GI24" t="e">
        <f>AND('Değerlendirme Formu'!#REF!,"AAAAAHXT+74=")</f>
        <v>#REF!</v>
      </c>
      <c r="GJ24" t="e">
        <f>IF('Değerlendirme Formu'!#REF!,"AAAAAHXT+78=",0)</f>
        <v>#REF!</v>
      </c>
      <c r="GK24" t="e">
        <f>AND('Değerlendirme Formu'!#REF!,"AAAAAHXT+8A=")</f>
        <v>#REF!</v>
      </c>
      <c r="GL24" t="e">
        <f>AND('Değerlendirme Formu'!#REF!,"AAAAAHXT+8E=")</f>
        <v>#REF!</v>
      </c>
      <c r="GM24" t="e">
        <f>AND('Değerlendirme Formu'!#REF!,"AAAAAHXT+8I=")</f>
        <v>#REF!</v>
      </c>
      <c r="GN24" t="e">
        <f>AND('Değerlendirme Formu'!#REF!,"AAAAAHXT+8M=")</f>
        <v>#REF!</v>
      </c>
      <c r="GO24" t="e">
        <f>AND('Değerlendirme Formu'!#REF!,"AAAAAHXT+8Q=")</f>
        <v>#REF!</v>
      </c>
      <c r="GP24" t="e">
        <f>AND('Değerlendirme Formu'!#REF!,"AAAAAHXT+8U=")</f>
        <v>#REF!</v>
      </c>
      <c r="GQ24" t="e">
        <f>AND('Değerlendirme Formu'!#REF!,"AAAAAHXT+8Y=")</f>
        <v>#REF!</v>
      </c>
      <c r="GR24" t="e">
        <f>AND('Değerlendirme Formu'!#REF!,"AAAAAHXT+8c=")</f>
        <v>#REF!</v>
      </c>
      <c r="GS24" t="e">
        <f>AND('Değerlendirme Formu'!#REF!,"AAAAAHXT+8g=")</f>
        <v>#REF!</v>
      </c>
      <c r="GT24" t="e">
        <f>AND('Değerlendirme Formu'!#REF!,"AAAAAHXT+8k=")</f>
        <v>#REF!</v>
      </c>
      <c r="GU24" t="e">
        <f>AND('Değerlendirme Formu'!#REF!,"AAAAAHXT+8o=")</f>
        <v>#REF!</v>
      </c>
      <c r="GV24" t="e">
        <f>AND('Değerlendirme Formu'!#REF!,"AAAAAHXT+8s=")</f>
        <v>#REF!</v>
      </c>
      <c r="GW24" t="e">
        <f>AND('Değerlendirme Formu'!#REF!,"AAAAAHXT+8w=")</f>
        <v>#REF!</v>
      </c>
      <c r="GX24" t="e">
        <f>AND('Değerlendirme Formu'!#REF!,"AAAAAHXT+80=")</f>
        <v>#REF!</v>
      </c>
      <c r="GY24" t="e">
        <f>AND('Değerlendirme Formu'!#REF!,"AAAAAHXT+84=")</f>
        <v>#REF!</v>
      </c>
      <c r="GZ24" t="e">
        <f>AND('Değerlendirme Formu'!#REF!,"AAAAAHXT+88=")</f>
        <v>#REF!</v>
      </c>
      <c r="HA24" t="e">
        <f>AND('Değerlendirme Formu'!#REF!,"AAAAAHXT+9A=")</f>
        <v>#REF!</v>
      </c>
      <c r="HB24" t="str">
        <f>IF('Değerlendirme Formu'!A:A,"AAAAAHXT+9E=",0)</f>
        <v>AAAAAHXT+9E=</v>
      </c>
      <c r="HC24" t="e">
        <f>IF('Değerlendirme Formu'!B:B,"AAAAAHXT+9I=",0)</f>
        <v>#VALUE!</v>
      </c>
      <c r="HD24" t="e">
        <f>IF('Değerlendirme Formu'!#REF!,"AAAAAHXT+9M=",0)</f>
        <v>#REF!</v>
      </c>
      <c r="HE24" t="e">
        <f>IF('Değerlendirme Formu'!C:C,"AAAAAHXT+9Q=",0)</f>
        <v>#VALUE!</v>
      </c>
      <c r="HF24" t="str">
        <f>IF('Değerlendirme Formu'!D:D,"AAAAAHXT+9U=",0)</f>
        <v>AAAAAHXT+9U=</v>
      </c>
      <c r="HG24">
        <f>IF('Değerlendirme Formu'!E:E,"AAAAAHXT+9Y=",0)</f>
        <v>0</v>
      </c>
      <c r="HH24" t="e">
        <f>IF('Değerlendirme Formu'!#REF!,"AAAAAHXT+9c=",0)</f>
        <v>#REF!</v>
      </c>
      <c r="HI24" t="e">
        <f>IF('Değerlendirme Formu'!#REF!,"AAAAAHXT+9g=",0)</f>
        <v>#REF!</v>
      </c>
      <c r="HJ24">
        <f>IF('Değerlendirme Formu'!F:F,"AAAAAHXT+9k=",0)</f>
        <v>0</v>
      </c>
      <c r="HK24" t="e">
        <f>IF('Değerlendirme Formu'!#REF!,"AAAAAHXT+9o=",0)</f>
        <v>#REF!</v>
      </c>
      <c r="HL24" t="e">
        <f>IF('Değerlendirme Formu'!#REF!,"AAAAAHXT+9s=",0)</f>
        <v>#REF!</v>
      </c>
      <c r="HM24" t="e">
        <f>IF('Değerlendirme Formu'!#REF!,"AAAAAHXT+9w=",0)</f>
        <v>#REF!</v>
      </c>
      <c r="HN24" t="e">
        <f>IF('Değerlendirme Formu'!#REF!,"AAAAAHXT+90=",0)</f>
        <v>#REF!</v>
      </c>
      <c r="HO24" t="e">
        <f>IF('Değerlendirme Formu'!#REF!,"AAAAAHXT+94=",0)</f>
        <v>#REF!</v>
      </c>
      <c r="HP24">
        <f>IF('Değerlendirme Formu'!G:G,"AAAAAHXT+98=",0)</f>
        <v>0</v>
      </c>
      <c r="HQ24">
        <f>IF('Değerlendirme Formu'!H:H,"AAAAAHXT++A=",0)</f>
        <v>0</v>
      </c>
      <c r="HR24">
        <f>IF('Değerlendirme Formu'!I:I,"AAAAAHXT++E=",0)</f>
        <v>0</v>
      </c>
      <c r="HS24" t="e">
        <f>IF(#REF!,"AAAAAHXT++I=",0)</f>
        <v>#REF!</v>
      </c>
      <c r="HT24" t="e">
        <f>AND(#REF!,"AAAAAHXT++M=")</f>
        <v>#REF!</v>
      </c>
      <c r="HU24" t="e">
        <f>AND(#REF!,"AAAAAHXT++Q=")</f>
        <v>#REF!</v>
      </c>
      <c r="HV24" t="e">
        <f>AND(#REF!,"AAAAAHXT++U=")</f>
        <v>#REF!</v>
      </c>
      <c r="HW24" t="e">
        <f>AND(#REF!,"AAAAAHXT++Y=")</f>
        <v>#REF!</v>
      </c>
      <c r="HX24" t="e">
        <f>AND(#REF!,"AAAAAHXT++c=")</f>
        <v>#REF!</v>
      </c>
      <c r="HY24" t="e">
        <f>AND(#REF!,"AAAAAHXT++g=")</f>
        <v>#REF!</v>
      </c>
      <c r="HZ24" t="e">
        <f>AND(#REF!,"AAAAAHXT++k=")</f>
        <v>#REF!</v>
      </c>
      <c r="IA24" t="e">
        <f>AND(#REF!,"AAAAAHXT++o=")</f>
        <v>#REF!</v>
      </c>
      <c r="IB24" t="e">
        <f>IF(#REF!,"AAAAAHXT++s=",0)</f>
        <v>#REF!</v>
      </c>
      <c r="IC24" t="e">
        <f>AND(#REF!,"AAAAAHXT++w=")</f>
        <v>#REF!</v>
      </c>
      <c r="ID24" t="e">
        <f>AND(#REF!,"AAAAAHXT++0=")</f>
        <v>#REF!</v>
      </c>
      <c r="IE24" t="e">
        <f>AND(#REF!,"AAAAAHXT++4=")</f>
        <v>#REF!</v>
      </c>
      <c r="IF24" t="e">
        <f>AND(#REF!,"AAAAAHXT++8=")</f>
        <v>#REF!</v>
      </c>
      <c r="IG24" t="e">
        <f>AND(#REF!,"AAAAAHXT+/A=")</f>
        <v>#REF!</v>
      </c>
      <c r="IH24" t="e">
        <f>AND(#REF!,"AAAAAHXT+/E=")</f>
        <v>#REF!</v>
      </c>
      <c r="II24" t="e">
        <f>AND(#REF!,"AAAAAHXT+/I=")</f>
        <v>#REF!</v>
      </c>
      <c r="IJ24" t="e">
        <f>AND(#REF!,"AAAAAHXT+/M=")</f>
        <v>#REF!</v>
      </c>
      <c r="IK24" t="e">
        <f>IF(#REF!,"AAAAAHXT+/Q=",0)</f>
        <v>#REF!</v>
      </c>
      <c r="IL24" t="e">
        <f>AND(#REF!,"AAAAAHXT+/U=")</f>
        <v>#REF!</v>
      </c>
      <c r="IM24" t="e">
        <f>AND(#REF!,"AAAAAHXT+/Y=")</f>
        <v>#REF!</v>
      </c>
      <c r="IN24" t="e">
        <f>AND(#REF!,"AAAAAHXT+/c=")</f>
        <v>#REF!</v>
      </c>
      <c r="IO24" t="e">
        <f>AND(#REF!,"AAAAAHXT+/g=")</f>
        <v>#REF!</v>
      </c>
      <c r="IP24" t="e">
        <f>AND(#REF!,"AAAAAHXT+/k=")</f>
        <v>#REF!</v>
      </c>
      <c r="IQ24" t="e">
        <f>AND(#REF!,"AAAAAHXT+/o=")</f>
        <v>#REF!</v>
      </c>
      <c r="IR24" t="e">
        <f>AND(#REF!,"AAAAAHXT+/s=")</f>
        <v>#REF!</v>
      </c>
      <c r="IS24" t="e">
        <f>AND(#REF!,"AAAAAHXT+/w=")</f>
        <v>#REF!</v>
      </c>
      <c r="IT24" t="e">
        <f>IF(#REF!,"AAAAAHXT+/0=",0)</f>
        <v>#REF!</v>
      </c>
      <c r="IU24" t="e">
        <f>AND(#REF!,"AAAAAHXT+/4=")</f>
        <v>#REF!</v>
      </c>
      <c r="IV24" t="e">
        <f>AND(#REF!,"AAAAAHXT+/8=")</f>
        <v>#REF!</v>
      </c>
    </row>
    <row r="25" spans="1:256" x14ac:dyDescent="0.2">
      <c r="A25" t="e">
        <f>AND(#REF!,"AAAAAH7u+wA=")</f>
        <v>#REF!</v>
      </c>
      <c r="B25" t="e">
        <f>AND(#REF!,"AAAAAH7u+wE=")</f>
        <v>#REF!</v>
      </c>
      <c r="C25" t="e">
        <f>AND(#REF!,"AAAAAH7u+wI=")</f>
        <v>#REF!</v>
      </c>
      <c r="D25" t="e">
        <f>AND(#REF!,"AAAAAH7u+wM=")</f>
        <v>#REF!</v>
      </c>
      <c r="E25" t="e">
        <f>AND(#REF!,"AAAAAH7u+wQ=")</f>
        <v>#REF!</v>
      </c>
      <c r="F25" t="e">
        <f>AND(#REF!,"AAAAAH7u+wU=")</f>
        <v>#REF!</v>
      </c>
      <c r="G25" t="e">
        <f>IF(#REF!,"AAAAAH7u+wY=",0)</f>
        <v>#REF!</v>
      </c>
      <c r="H25" t="e">
        <f>AND(#REF!,"AAAAAH7u+wc=")</f>
        <v>#REF!</v>
      </c>
      <c r="I25" t="e">
        <f>AND(#REF!,"AAAAAH7u+wg=")</f>
        <v>#REF!</v>
      </c>
      <c r="J25" t="e">
        <f>AND(#REF!,"AAAAAH7u+wk=")</f>
        <v>#REF!</v>
      </c>
      <c r="K25" t="e">
        <f>AND(#REF!,"AAAAAH7u+wo=")</f>
        <v>#REF!</v>
      </c>
      <c r="L25" t="e">
        <f>AND(#REF!,"AAAAAH7u+ws=")</f>
        <v>#REF!</v>
      </c>
      <c r="M25" t="e">
        <f>AND(#REF!,"AAAAAH7u+ww=")</f>
        <v>#REF!</v>
      </c>
      <c r="N25" t="e">
        <f>AND(#REF!,"AAAAAH7u+w0=")</f>
        <v>#REF!</v>
      </c>
      <c r="O25" t="e">
        <f>AND(#REF!,"AAAAAH7u+w4=")</f>
        <v>#REF!</v>
      </c>
      <c r="P25" t="e">
        <f>IF(#REF!,"AAAAAH7u+w8=",0)</f>
        <v>#REF!</v>
      </c>
      <c r="Q25" t="e">
        <f>AND(#REF!,"AAAAAH7u+xA=")</f>
        <v>#REF!</v>
      </c>
      <c r="R25" t="e">
        <f>AND(#REF!,"AAAAAH7u+xE=")</f>
        <v>#REF!</v>
      </c>
      <c r="S25" t="e">
        <f>AND(#REF!,"AAAAAH7u+xI=")</f>
        <v>#REF!</v>
      </c>
      <c r="T25" t="e">
        <f>AND(#REF!,"AAAAAH7u+xM=")</f>
        <v>#REF!</v>
      </c>
      <c r="U25" t="e">
        <f>AND(#REF!,"AAAAAH7u+xQ=")</f>
        <v>#REF!</v>
      </c>
      <c r="V25" t="e">
        <f>AND(#REF!,"AAAAAH7u+xU=")</f>
        <v>#REF!</v>
      </c>
      <c r="W25" t="e">
        <f>AND(#REF!,"AAAAAH7u+xY=")</f>
        <v>#REF!</v>
      </c>
      <c r="X25" t="e">
        <f>AND(#REF!,"AAAAAH7u+xc=")</f>
        <v>#REF!</v>
      </c>
      <c r="Y25" t="e">
        <f>IF(#REF!,"AAAAAH7u+xg=",0)</f>
        <v>#REF!</v>
      </c>
      <c r="Z25" t="e">
        <f>AND(#REF!,"AAAAAH7u+xk=")</f>
        <v>#REF!</v>
      </c>
      <c r="AA25" t="e">
        <f>AND(#REF!,"AAAAAH7u+xo=")</f>
        <v>#REF!</v>
      </c>
      <c r="AB25" t="e">
        <f>AND(#REF!,"AAAAAH7u+xs=")</f>
        <v>#REF!</v>
      </c>
      <c r="AC25" t="e">
        <f>AND(#REF!,"AAAAAH7u+xw=")</f>
        <v>#REF!</v>
      </c>
      <c r="AD25" t="e">
        <f>AND(#REF!,"AAAAAH7u+x0=")</f>
        <v>#REF!</v>
      </c>
      <c r="AE25" t="e">
        <f>AND(#REF!,"AAAAAH7u+x4=")</f>
        <v>#REF!</v>
      </c>
      <c r="AF25" t="e">
        <f>AND(#REF!,"AAAAAH7u+x8=")</f>
        <v>#REF!</v>
      </c>
      <c r="AG25" t="e">
        <f>AND(#REF!,"AAAAAH7u+yA=")</f>
        <v>#REF!</v>
      </c>
      <c r="AH25" t="e">
        <f>IF(#REF!,"AAAAAH7u+yE=",0)</f>
        <v>#REF!</v>
      </c>
      <c r="AI25" t="e">
        <f>AND(#REF!,"AAAAAH7u+yI=")</f>
        <v>#REF!</v>
      </c>
      <c r="AJ25" t="e">
        <f>AND(#REF!,"AAAAAH7u+yM=")</f>
        <v>#REF!</v>
      </c>
      <c r="AK25" t="e">
        <f>AND(#REF!,"AAAAAH7u+yQ=")</f>
        <v>#REF!</v>
      </c>
      <c r="AL25" t="e">
        <f>AND(#REF!,"AAAAAH7u+yU=")</f>
        <v>#REF!</v>
      </c>
      <c r="AM25" t="e">
        <f>AND(#REF!,"AAAAAH7u+yY=")</f>
        <v>#REF!</v>
      </c>
      <c r="AN25" t="e">
        <f>AND(#REF!,"AAAAAH7u+yc=")</f>
        <v>#REF!</v>
      </c>
      <c r="AO25" t="e">
        <f>AND(#REF!,"AAAAAH7u+yg=")</f>
        <v>#REF!</v>
      </c>
      <c r="AP25" t="e">
        <f>AND(#REF!,"AAAAAH7u+yk=")</f>
        <v>#REF!</v>
      </c>
      <c r="AQ25" t="e">
        <f>IF(#REF!,"AAAAAH7u+yo=",0)</f>
        <v>#REF!</v>
      </c>
      <c r="AR25" t="e">
        <f>AND(#REF!,"AAAAAH7u+ys=")</f>
        <v>#REF!</v>
      </c>
      <c r="AS25" t="e">
        <f>AND(#REF!,"AAAAAH7u+yw=")</f>
        <v>#REF!</v>
      </c>
      <c r="AT25" t="e">
        <f>AND(#REF!,"AAAAAH7u+y0=")</f>
        <v>#REF!</v>
      </c>
      <c r="AU25" t="e">
        <f>AND(#REF!,"AAAAAH7u+y4=")</f>
        <v>#REF!</v>
      </c>
      <c r="AV25" t="e">
        <f>AND(#REF!,"AAAAAH7u+y8=")</f>
        <v>#REF!</v>
      </c>
      <c r="AW25" t="e">
        <f>AND(#REF!,"AAAAAH7u+zA=")</f>
        <v>#REF!</v>
      </c>
      <c r="AX25" t="e">
        <f>AND(#REF!,"AAAAAH7u+zE=")</f>
        <v>#REF!</v>
      </c>
      <c r="AY25" t="e">
        <f>AND(#REF!,"AAAAAH7u+zI=")</f>
        <v>#REF!</v>
      </c>
      <c r="AZ25" t="e">
        <f>IF(#REF!,"AAAAAH7u+zM=",0)</f>
        <v>#REF!</v>
      </c>
      <c r="BA25" t="e">
        <f>AND(#REF!,"AAAAAH7u+zQ=")</f>
        <v>#REF!</v>
      </c>
      <c r="BB25" t="e">
        <f>AND(#REF!,"AAAAAH7u+zU=")</f>
        <v>#REF!</v>
      </c>
      <c r="BC25" t="e">
        <f>AND(#REF!,"AAAAAH7u+zY=")</f>
        <v>#REF!</v>
      </c>
      <c r="BD25" t="e">
        <f>AND(#REF!,"AAAAAH7u+zc=")</f>
        <v>#REF!</v>
      </c>
      <c r="BE25" t="e">
        <f>AND(#REF!,"AAAAAH7u+zg=")</f>
        <v>#REF!</v>
      </c>
      <c r="BF25" t="e">
        <f>AND(#REF!,"AAAAAH7u+zk=")</f>
        <v>#REF!</v>
      </c>
      <c r="BG25" t="e">
        <f>AND(#REF!,"AAAAAH7u+zo=")</f>
        <v>#REF!</v>
      </c>
      <c r="BH25" t="e">
        <f>AND(#REF!,"AAAAAH7u+zs=")</f>
        <v>#REF!</v>
      </c>
      <c r="BI25" t="e">
        <f>IF(#REF!,"AAAAAH7u+zw=",0)</f>
        <v>#REF!</v>
      </c>
      <c r="BJ25" t="e">
        <f>AND(#REF!,"AAAAAH7u+z0=")</f>
        <v>#REF!</v>
      </c>
      <c r="BK25" t="e">
        <f>AND(#REF!,"AAAAAH7u+z4=")</f>
        <v>#REF!</v>
      </c>
      <c r="BL25" t="e">
        <f>AND(#REF!,"AAAAAH7u+z8=")</f>
        <v>#REF!</v>
      </c>
      <c r="BM25" t="e">
        <f>AND(#REF!,"AAAAAH7u+0A=")</f>
        <v>#REF!</v>
      </c>
      <c r="BN25" t="e">
        <f>AND(#REF!,"AAAAAH7u+0E=")</f>
        <v>#REF!</v>
      </c>
      <c r="BO25" t="e">
        <f>AND(#REF!,"AAAAAH7u+0I=")</f>
        <v>#REF!</v>
      </c>
      <c r="BP25" t="e">
        <f>AND(#REF!,"AAAAAH7u+0M=")</f>
        <v>#REF!</v>
      </c>
      <c r="BQ25" t="e">
        <f>AND(#REF!,"AAAAAH7u+0Q=")</f>
        <v>#REF!</v>
      </c>
      <c r="BR25" t="e">
        <f>IF(#REF!,"AAAAAH7u+0U=",0)</f>
        <v>#REF!</v>
      </c>
      <c r="BS25" t="e">
        <f>AND(#REF!,"AAAAAH7u+0Y=")</f>
        <v>#REF!</v>
      </c>
      <c r="BT25" t="e">
        <f>AND(#REF!,"AAAAAH7u+0c=")</f>
        <v>#REF!</v>
      </c>
      <c r="BU25" t="e">
        <f>AND(#REF!,"AAAAAH7u+0g=")</f>
        <v>#REF!</v>
      </c>
      <c r="BV25" t="e">
        <f>AND(#REF!,"AAAAAH7u+0k=")</f>
        <v>#REF!</v>
      </c>
      <c r="BW25" t="e">
        <f>AND(#REF!,"AAAAAH7u+0o=")</f>
        <v>#REF!</v>
      </c>
      <c r="BX25" t="e">
        <f>AND(#REF!,"AAAAAH7u+0s=")</f>
        <v>#REF!</v>
      </c>
      <c r="BY25" t="e">
        <f>AND(#REF!,"AAAAAH7u+0w=")</f>
        <v>#REF!</v>
      </c>
      <c r="BZ25" t="e">
        <f>AND(#REF!,"AAAAAH7u+00=")</f>
        <v>#REF!</v>
      </c>
      <c r="CA25" t="e">
        <f>IF(#REF!,"AAAAAH7u+04=",0)</f>
        <v>#REF!</v>
      </c>
      <c r="CB25" t="e">
        <f>AND(#REF!,"AAAAAH7u+08=")</f>
        <v>#REF!</v>
      </c>
      <c r="CC25" t="e">
        <f>AND(#REF!,"AAAAAH7u+1A=")</f>
        <v>#REF!</v>
      </c>
      <c r="CD25" t="e">
        <f>AND(#REF!,"AAAAAH7u+1E=")</f>
        <v>#REF!</v>
      </c>
      <c r="CE25" t="e">
        <f>AND(#REF!,"AAAAAH7u+1I=")</f>
        <v>#REF!</v>
      </c>
      <c r="CF25" t="e">
        <f>AND(#REF!,"AAAAAH7u+1M=")</f>
        <v>#REF!</v>
      </c>
      <c r="CG25" t="e">
        <f>AND(#REF!,"AAAAAH7u+1Q=")</f>
        <v>#REF!</v>
      </c>
      <c r="CH25" t="e">
        <f>AND(#REF!,"AAAAAH7u+1U=")</f>
        <v>#REF!</v>
      </c>
      <c r="CI25" t="e">
        <f>AND(#REF!,"AAAAAH7u+1Y=")</f>
        <v>#REF!</v>
      </c>
      <c r="CJ25" t="e">
        <f>IF(#REF!,"AAAAAH7u+1c=",0)</f>
        <v>#REF!</v>
      </c>
      <c r="CK25" t="e">
        <f>AND(#REF!,"AAAAAH7u+1g=")</f>
        <v>#REF!</v>
      </c>
      <c r="CL25" t="e">
        <f>AND(#REF!,"AAAAAH7u+1k=")</f>
        <v>#REF!</v>
      </c>
      <c r="CM25" t="e">
        <f>AND(#REF!,"AAAAAH7u+1o=")</f>
        <v>#REF!</v>
      </c>
      <c r="CN25" t="e">
        <f>AND(#REF!,"AAAAAH7u+1s=")</f>
        <v>#REF!</v>
      </c>
      <c r="CO25" t="e">
        <f>AND(#REF!,"AAAAAH7u+1w=")</f>
        <v>#REF!</v>
      </c>
      <c r="CP25" t="e">
        <f>AND(#REF!,"AAAAAH7u+10=")</f>
        <v>#REF!</v>
      </c>
      <c r="CQ25" t="e">
        <f>AND(#REF!,"AAAAAH7u+14=")</f>
        <v>#REF!</v>
      </c>
      <c r="CR25" t="e">
        <f>AND(#REF!,"AAAAAH7u+18=")</f>
        <v>#REF!</v>
      </c>
      <c r="CS25" t="e">
        <f>IF(#REF!,"AAAAAH7u+2A=",0)</f>
        <v>#REF!</v>
      </c>
      <c r="CT25" t="e">
        <f>AND(#REF!,"AAAAAH7u+2E=")</f>
        <v>#REF!</v>
      </c>
      <c r="CU25" t="e">
        <f>AND(#REF!,"AAAAAH7u+2I=")</f>
        <v>#REF!</v>
      </c>
      <c r="CV25" t="e">
        <f>AND(#REF!,"AAAAAH7u+2M=")</f>
        <v>#REF!</v>
      </c>
      <c r="CW25" t="e">
        <f>AND(#REF!,"AAAAAH7u+2Q=")</f>
        <v>#REF!</v>
      </c>
      <c r="CX25" t="e">
        <f>AND(#REF!,"AAAAAH7u+2U=")</f>
        <v>#REF!</v>
      </c>
      <c r="CY25" t="e">
        <f>AND(#REF!,"AAAAAH7u+2Y=")</f>
        <v>#REF!</v>
      </c>
      <c r="CZ25" t="e">
        <f>AND(#REF!,"AAAAAH7u+2c=")</f>
        <v>#REF!</v>
      </c>
      <c r="DA25" t="e">
        <f>AND(#REF!,"AAAAAH7u+2g=")</f>
        <v>#REF!</v>
      </c>
      <c r="DB25" t="e">
        <f>IF(#REF!,"AAAAAH7u+2k=",0)</f>
        <v>#REF!</v>
      </c>
      <c r="DC25" t="e">
        <f>AND(#REF!,"AAAAAH7u+2o=")</f>
        <v>#REF!</v>
      </c>
      <c r="DD25" t="e">
        <f>AND(#REF!,"AAAAAH7u+2s=")</f>
        <v>#REF!</v>
      </c>
      <c r="DE25" t="e">
        <f>AND(#REF!,"AAAAAH7u+2w=")</f>
        <v>#REF!</v>
      </c>
      <c r="DF25" t="e">
        <f>AND(#REF!,"AAAAAH7u+20=")</f>
        <v>#REF!</v>
      </c>
      <c r="DG25" t="e">
        <f>AND(#REF!,"AAAAAH7u+24=")</f>
        <v>#REF!</v>
      </c>
      <c r="DH25" t="e">
        <f>AND(#REF!,"AAAAAH7u+28=")</f>
        <v>#REF!</v>
      </c>
      <c r="DI25" t="e">
        <f>AND(#REF!,"AAAAAH7u+3A=")</f>
        <v>#REF!</v>
      </c>
      <c r="DJ25" t="e">
        <f>AND(#REF!,"AAAAAH7u+3E=")</f>
        <v>#REF!</v>
      </c>
      <c r="DK25" t="e">
        <f>IF(#REF!,"AAAAAH7u+3I=",0)</f>
        <v>#REF!</v>
      </c>
      <c r="DL25" t="e">
        <f>AND(#REF!,"AAAAAH7u+3M=")</f>
        <v>#REF!</v>
      </c>
      <c r="DM25" t="e">
        <f>AND(#REF!,"AAAAAH7u+3Q=")</f>
        <v>#REF!</v>
      </c>
      <c r="DN25" t="e">
        <f>AND(#REF!,"AAAAAH7u+3U=")</f>
        <v>#REF!</v>
      </c>
      <c r="DO25" t="e">
        <f>AND(#REF!,"AAAAAH7u+3Y=")</f>
        <v>#REF!</v>
      </c>
      <c r="DP25" t="e">
        <f>AND(#REF!,"AAAAAH7u+3c=")</f>
        <v>#REF!</v>
      </c>
      <c r="DQ25" t="e">
        <f>AND(#REF!,"AAAAAH7u+3g=")</f>
        <v>#REF!</v>
      </c>
      <c r="DR25" t="e">
        <f>AND(#REF!,"AAAAAH7u+3k=")</f>
        <v>#REF!</v>
      </c>
      <c r="DS25" t="e">
        <f>AND(#REF!,"AAAAAH7u+3o=")</f>
        <v>#REF!</v>
      </c>
      <c r="DT25" t="e">
        <f>IF(#REF!,"AAAAAH7u+3s=",0)</f>
        <v>#REF!</v>
      </c>
      <c r="DU25" t="e">
        <f>AND(#REF!,"AAAAAH7u+3w=")</f>
        <v>#REF!</v>
      </c>
      <c r="DV25" t="e">
        <f>AND(#REF!,"AAAAAH7u+30=")</f>
        <v>#REF!</v>
      </c>
      <c r="DW25" t="e">
        <f>AND(#REF!,"AAAAAH7u+34=")</f>
        <v>#REF!</v>
      </c>
      <c r="DX25" t="e">
        <f>AND(#REF!,"AAAAAH7u+38=")</f>
        <v>#REF!</v>
      </c>
      <c r="DY25" t="e">
        <f>AND(#REF!,"AAAAAH7u+4A=")</f>
        <v>#REF!</v>
      </c>
      <c r="DZ25" t="e">
        <f>AND(#REF!,"AAAAAH7u+4E=")</f>
        <v>#REF!</v>
      </c>
      <c r="EA25" t="e">
        <f>AND(#REF!,"AAAAAH7u+4I=")</f>
        <v>#REF!</v>
      </c>
      <c r="EB25" t="e">
        <f>AND(#REF!,"AAAAAH7u+4M=")</f>
        <v>#REF!</v>
      </c>
      <c r="EC25" t="e">
        <f>IF(#REF!,"AAAAAH7u+4Q=",0)</f>
        <v>#REF!</v>
      </c>
      <c r="ED25" t="e">
        <f>AND(#REF!,"AAAAAH7u+4U=")</f>
        <v>#REF!</v>
      </c>
      <c r="EE25" t="e">
        <f>AND(#REF!,"AAAAAH7u+4Y=")</f>
        <v>#REF!</v>
      </c>
      <c r="EF25" t="e">
        <f>AND(#REF!,"AAAAAH7u+4c=")</f>
        <v>#REF!</v>
      </c>
      <c r="EG25" t="e">
        <f>AND(#REF!,"AAAAAH7u+4g=")</f>
        <v>#REF!</v>
      </c>
      <c r="EH25" t="e">
        <f>AND(#REF!,"AAAAAH7u+4k=")</f>
        <v>#REF!</v>
      </c>
      <c r="EI25" t="e">
        <f>AND(#REF!,"AAAAAH7u+4o=")</f>
        <v>#REF!</v>
      </c>
      <c r="EJ25" t="e">
        <f>AND(#REF!,"AAAAAH7u+4s=")</f>
        <v>#REF!</v>
      </c>
      <c r="EK25" t="e">
        <f>AND(#REF!,"AAAAAH7u+4w=")</f>
        <v>#REF!</v>
      </c>
      <c r="EL25" t="e">
        <f>IF(#REF!,"AAAAAH7u+40=",0)</f>
        <v>#REF!</v>
      </c>
      <c r="EM25" t="e">
        <f>AND(#REF!,"AAAAAH7u+44=")</f>
        <v>#REF!</v>
      </c>
      <c r="EN25" t="e">
        <f>AND(#REF!,"AAAAAH7u+48=")</f>
        <v>#REF!</v>
      </c>
      <c r="EO25" t="e">
        <f>AND(#REF!,"AAAAAH7u+5A=")</f>
        <v>#REF!</v>
      </c>
      <c r="EP25" t="e">
        <f>AND(#REF!,"AAAAAH7u+5E=")</f>
        <v>#REF!</v>
      </c>
      <c r="EQ25" t="e">
        <f>AND(#REF!,"AAAAAH7u+5I=")</f>
        <v>#REF!</v>
      </c>
      <c r="ER25" t="e">
        <f>AND(#REF!,"AAAAAH7u+5M=")</f>
        <v>#REF!</v>
      </c>
      <c r="ES25" t="e">
        <f>AND(#REF!,"AAAAAH7u+5Q=")</f>
        <v>#REF!</v>
      </c>
      <c r="ET25" t="e">
        <f>AND(#REF!,"AAAAAH7u+5U=")</f>
        <v>#REF!</v>
      </c>
      <c r="EU25" t="e">
        <f>IF(#REF!,"AAAAAH7u+5Y=",0)</f>
        <v>#REF!</v>
      </c>
      <c r="EV25" t="e">
        <f>AND(#REF!,"AAAAAH7u+5c=")</f>
        <v>#REF!</v>
      </c>
      <c r="EW25" t="e">
        <f>AND(#REF!,"AAAAAH7u+5g=")</f>
        <v>#REF!</v>
      </c>
      <c r="EX25" t="e">
        <f>AND(#REF!,"AAAAAH7u+5k=")</f>
        <v>#REF!</v>
      </c>
      <c r="EY25" t="e">
        <f>AND(#REF!,"AAAAAH7u+5o=")</f>
        <v>#REF!</v>
      </c>
      <c r="EZ25" t="e">
        <f>AND(#REF!,"AAAAAH7u+5s=")</f>
        <v>#REF!</v>
      </c>
      <c r="FA25" t="e">
        <f>AND(#REF!,"AAAAAH7u+5w=")</f>
        <v>#REF!</v>
      </c>
      <c r="FB25" t="e">
        <f>AND(#REF!,"AAAAAH7u+50=")</f>
        <v>#REF!</v>
      </c>
      <c r="FC25" t="e">
        <f>AND(#REF!,"AAAAAH7u+54=")</f>
        <v>#REF!</v>
      </c>
      <c r="FD25" t="e">
        <f>IF(#REF!,"AAAAAH7u+58=",0)</f>
        <v>#REF!</v>
      </c>
      <c r="FE25" t="e">
        <f>AND(#REF!,"AAAAAH7u+6A=")</f>
        <v>#REF!</v>
      </c>
      <c r="FF25" t="e">
        <f>AND(#REF!,"AAAAAH7u+6E=")</f>
        <v>#REF!</v>
      </c>
      <c r="FG25" t="e">
        <f>AND(#REF!,"AAAAAH7u+6I=")</f>
        <v>#REF!</v>
      </c>
      <c r="FH25" t="e">
        <f>AND(#REF!,"AAAAAH7u+6M=")</f>
        <v>#REF!</v>
      </c>
      <c r="FI25" t="e">
        <f>AND(#REF!,"AAAAAH7u+6Q=")</f>
        <v>#REF!</v>
      </c>
      <c r="FJ25" t="e">
        <f>AND(#REF!,"AAAAAH7u+6U=")</f>
        <v>#REF!</v>
      </c>
      <c r="FK25" t="e">
        <f>AND(#REF!,"AAAAAH7u+6Y=")</f>
        <v>#REF!</v>
      </c>
      <c r="FL25" t="e">
        <f>AND(#REF!,"AAAAAH7u+6c=")</f>
        <v>#REF!</v>
      </c>
      <c r="FM25" t="e">
        <f>IF(#REF!,"AAAAAH7u+6g=",0)</f>
        <v>#REF!</v>
      </c>
      <c r="FN25" t="e">
        <f>AND(#REF!,"AAAAAH7u+6k=")</f>
        <v>#REF!</v>
      </c>
      <c r="FO25" t="e">
        <f>AND(#REF!,"AAAAAH7u+6o=")</f>
        <v>#REF!</v>
      </c>
      <c r="FP25" t="e">
        <f>AND(#REF!,"AAAAAH7u+6s=")</f>
        <v>#REF!</v>
      </c>
      <c r="FQ25" t="e">
        <f>AND(#REF!,"AAAAAH7u+6w=")</f>
        <v>#REF!</v>
      </c>
      <c r="FR25" t="e">
        <f>AND(#REF!,"AAAAAH7u+60=")</f>
        <v>#REF!</v>
      </c>
      <c r="FS25" t="e">
        <f>AND(#REF!,"AAAAAH7u+64=")</f>
        <v>#REF!</v>
      </c>
      <c r="FT25" t="e">
        <f>AND(#REF!,"AAAAAH7u+68=")</f>
        <v>#REF!</v>
      </c>
      <c r="FU25" t="e">
        <f>AND(#REF!,"AAAAAH7u+7A=")</f>
        <v>#REF!</v>
      </c>
      <c r="FV25" t="e">
        <f>IF(#REF!,"AAAAAH7u+7E=",0)</f>
        <v>#REF!</v>
      </c>
      <c r="FW25" t="e">
        <f>AND(#REF!,"AAAAAH7u+7I=")</f>
        <v>#REF!</v>
      </c>
      <c r="FX25" t="e">
        <f>AND(#REF!,"AAAAAH7u+7M=")</f>
        <v>#REF!</v>
      </c>
      <c r="FY25" t="e">
        <f>AND(#REF!,"AAAAAH7u+7Q=")</f>
        <v>#REF!</v>
      </c>
      <c r="FZ25" t="e">
        <f>AND(#REF!,"AAAAAH7u+7U=")</f>
        <v>#REF!</v>
      </c>
      <c r="GA25" t="e">
        <f>AND(#REF!,"AAAAAH7u+7Y=")</f>
        <v>#REF!</v>
      </c>
      <c r="GB25" t="e">
        <f>AND(#REF!,"AAAAAH7u+7c=")</f>
        <v>#REF!</v>
      </c>
      <c r="GC25" t="e">
        <f>AND(#REF!,"AAAAAH7u+7g=")</f>
        <v>#REF!</v>
      </c>
      <c r="GD25" t="e">
        <f>AND(#REF!,"AAAAAH7u+7k=")</f>
        <v>#REF!</v>
      </c>
      <c r="GE25" t="e">
        <f>IF(#REF!,"AAAAAH7u+7o=",0)</f>
        <v>#REF!</v>
      </c>
      <c r="GF25" t="e">
        <f>AND(#REF!,"AAAAAH7u+7s=")</f>
        <v>#REF!</v>
      </c>
      <c r="GG25" t="e">
        <f>AND(#REF!,"AAAAAH7u+7w=")</f>
        <v>#REF!</v>
      </c>
      <c r="GH25" t="e">
        <f>AND(#REF!,"AAAAAH7u+70=")</f>
        <v>#REF!</v>
      </c>
      <c r="GI25" t="e">
        <f>AND(#REF!,"AAAAAH7u+74=")</f>
        <v>#REF!</v>
      </c>
      <c r="GJ25" t="e">
        <f>AND(#REF!,"AAAAAH7u+78=")</f>
        <v>#REF!</v>
      </c>
      <c r="GK25" t="e">
        <f>AND(#REF!,"AAAAAH7u+8A=")</f>
        <v>#REF!</v>
      </c>
      <c r="GL25" t="e">
        <f>AND(#REF!,"AAAAAH7u+8E=")</f>
        <v>#REF!</v>
      </c>
      <c r="GM25" t="e">
        <f>AND(#REF!,"AAAAAH7u+8I=")</f>
        <v>#REF!</v>
      </c>
      <c r="GN25" t="e">
        <f>IF(#REF!,"AAAAAH7u+8M=",0)</f>
        <v>#REF!</v>
      </c>
      <c r="GO25" t="e">
        <f>AND(#REF!,"AAAAAH7u+8Q=")</f>
        <v>#REF!</v>
      </c>
      <c r="GP25" t="e">
        <f>AND(#REF!,"AAAAAH7u+8U=")</f>
        <v>#REF!</v>
      </c>
      <c r="GQ25" t="e">
        <f>AND(#REF!,"AAAAAH7u+8Y=")</f>
        <v>#REF!</v>
      </c>
      <c r="GR25" t="e">
        <f>AND(#REF!,"AAAAAH7u+8c=")</f>
        <v>#REF!</v>
      </c>
      <c r="GS25" t="e">
        <f>AND(#REF!,"AAAAAH7u+8g=")</f>
        <v>#REF!</v>
      </c>
      <c r="GT25" t="e">
        <f>AND(#REF!,"AAAAAH7u+8k=")</f>
        <v>#REF!</v>
      </c>
      <c r="GU25" t="e">
        <f>AND(#REF!,"AAAAAH7u+8o=")</f>
        <v>#REF!</v>
      </c>
      <c r="GV25" t="e">
        <f>AND(#REF!,"AAAAAH7u+8s=")</f>
        <v>#REF!</v>
      </c>
      <c r="GW25" t="e">
        <f>IF(#REF!,"AAAAAH7u+8w=",0)</f>
        <v>#REF!</v>
      </c>
      <c r="GX25" t="e">
        <f>AND(#REF!,"AAAAAH7u+80=")</f>
        <v>#REF!</v>
      </c>
      <c r="GY25" t="e">
        <f>AND(#REF!,"AAAAAH7u+84=")</f>
        <v>#REF!</v>
      </c>
      <c r="GZ25" t="e">
        <f>AND(#REF!,"AAAAAH7u+88=")</f>
        <v>#REF!</v>
      </c>
      <c r="HA25" t="e">
        <f>AND(#REF!,"AAAAAH7u+9A=")</f>
        <v>#REF!</v>
      </c>
      <c r="HB25" t="e">
        <f>AND(#REF!,"AAAAAH7u+9E=")</f>
        <v>#REF!</v>
      </c>
      <c r="HC25" t="e">
        <f>AND(#REF!,"AAAAAH7u+9I=")</f>
        <v>#REF!</v>
      </c>
      <c r="HD25" t="e">
        <f>AND(#REF!,"AAAAAH7u+9M=")</f>
        <v>#REF!</v>
      </c>
      <c r="HE25" t="e">
        <f>AND(#REF!,"AAAAAH7u+9Q=")</f>
        <v>#REF!</v>
      </c>
      <c r="HF25" t="e">
        <f>IF(#REF!,"AAAAAH7u+9U=",0)</f>
        <v>#REF!</v>
      </c>
      <c r="HG25" t="e">
        <f>AND(#REF!,"AAAAAH7u+9Y=")</f>
        <v>#REF!</v>
      </c>
      <c r="HH25" t="e">
        <f>AND(#REF!,"AAAAAH7u+9c=")</f>
        <v>#REF!</v>
      </c>
      <c r="HI25" t="e">
        <f>AND(#REF!,"AAAAAH7u+9g=")</f>
        <v>#REF!</v>
      </c>
      <c r="HJ25" t="e">
        <f>AND(#REF!,"AAAAAH7u+9k=")</f>
        <v>#REF!</v>
      </c>
      <c r="HK25" t="e">
        <f>AND(#REF!,"AAAAAH7u+9o=")</f>
        <v>#REF!</v>
      </c>
      <c r="HL25" t="e">
        <f>AND(#REF!,"AAAAAH7u+9s=")</f>
        <v>#REF!</v>
      </c>
      <c r="HM25" t="e">
        <f>AND(#REF!,"AAAAAH7u+9w=")</f>
        <v>#REF!</v>
      </c>
      <c r="HN25" t="e">
        <f>AND(#REF!,"AAAAAH7u+90=")</f>
        <v>#REF!</v>
      </c>
      <c r="HO25" t="e">
        <f>IF(#REF!,"AAAAAH7u+94=",0)</f>
        <v>#REF!</v>
      </c>
      <c r="HP25" t="e">
        <f>AND(#REF!,"AAAAAH7u+98=")</f>
        <v>#REF!</v>
      </c>
      <c r="HQ25" t="e">
        <f>AND(#REF!,"AAAAAH7u++A=")</f>
        <v>#REF!</v>
      </c>
      <c r="HR25" t="e">
        <f>AND(#REF!,"AAAAAH7u++E=")</f>
        <v>#REF!</v>
      </c>
      <c r="HS25" t="e">
        <f>AND(#REF!,"AAAAAH7u++I=")</f>
        <v>#REF!</v>
      </c>
      <c r="HT25" t="e">
        <f>AND(#REF!,"AAAAAH7u++M=")</f>
        <v>#REF!</v>
      </c>
      <c r="HU25" t="e">
        <f>AND(#REF!,"AAAAAH7u++Q=")</f>
        <v>#REF!</v>
      </c>
      <c r="HV25" t="e">
        <f>AND(#REF!,"AAAAAH7u++U=")</f>
        <v>#REF!</v>
      </c>
      <c r="HW25" t="e">
        <f>AND(#REF!,"AAAAAH7u++Y=")</f>
        <v>#REF!</v>
      </c>
      <c r="HX25" t="e">
        <f>IF(#REF!,"AAAAAH7u++c=",0)</f>
        <v>#REF!</v>
      </c>
      <c r="HY25" t="e">
        <f>AND(#REF!,"AAAAAH7u++g=")</f>
        <v>#REF!</v>
      </c>
      <c r="HZ25" t="e">
        <f>AND(#REF!,"AAAAAH7u++k=")</f>
        <v>#REF!</v>
      </c>
      <c r="IA25" t="e">
        <f>AND(#REF!,"AAAAAH7u++o=")</f>
        <v>#REF!</v>
      </c>
      <c r="IB25" t="e">
        <f>AND(#REF!,"AAAAAH7u++s=")</f>
        <v>#REF!</v>
      </c>
      <c r="IC25" t="e">
        <f>AND(#REF!,"AAAAAH7u++w=")</f>
        <v>#REF!</v>
      </c>
      <c r="ID25" t="e">
        <f>AND(#REF!,"AAAAAH7u++0=")</f>
        <v>#REF!</v>
      </c>
      <c r="IE25" t="e">
        <f>AND(#REF!,"AAAAAH7u++4=")</f>
        <v>#REF!</v>
      </c>
      <c r="IF25" t="e">
        <f>AND(#REF!,"AAAAAH7u++8=")</f>
        <v>#REF!</v>
      </c>
      <c r="IG25" t="e">
        <f>IF(#REF!,"AAAAAH7u+/A=",0)</f>
        <v>#REF!</v>
      </c>
      <c r="IH25" t="e">
        <f>AND(#REF!,"AAAAAH7u+/E=")</f>
        <v>#REF!</v>
      </c>
      <c r="II25" t="e">
        <f>AND(#REF!,"AAAAAH7u+/I=")</f>
        <v>#REF!</v>
      </c>
      <c r="IJ25" t="e">
        <f>AND(#REF!,"AAAAAH7u+/M=")</f>
        <v>#REF!</v>
      </c>
      <c r="IK25" t="e">
        <f>AND(#REF!,"AAAAAH7u+/Q=")</f>
        <v>#REF!</v>
      </c>
      <c r="IL25" t="e">
        <f>AND(#REF!,"AAAAAH7u+/U=")</f>
        <v>#REF!</v>
      </c>
      <c r="IM25" t="e">
        <f>AND(#REF!,"AAAAAH7u+/Y=")</f>
        <v>#REF!</v>
      </c>
      <c r="IN25" t="e">
        <f>AND(#REF!,"AAAAAH7u+/c=")</f>
        <v>#REF!</v>
      </c>
      <c r="IO25" t="e">
        <f>AND(#REF!,"AAAAAH7u+/g=")</f>
        <v>#REF!</v>
      </c>
      <c r="IP25" t="e">
        <f>IF(#REF!,"AAAAAH7u+/k=",0)</f>
        <v>#REF!</v>
      </c>
      <c r="IQ25" t="e">
        <f>AND(#REF!,"AAAAAH7u+/o=")</f>
        <v>#REF!</v>
      </c>
      <c r="IR25" t="e">
        <f>AND(#REF!,"AAAAAH7u+/s=")</f>
        <v>#REF!</v>
      </c>
      <c r="IS25" t="e">
        <f>AND(#REF!,"AAAAAH7u+/w=")</f>
        <v>#REF!</v>
      </c>
      <c r="IT25" t="e">
        <f>AND(#REF!,"AAAAAH7u+/0=")</f>
        <v>#REF!</v>
      </c>
      <c r="IU25" t="e">
        <f>AND(#REF!,"AAAAAH7u+/4=")</f>
        <v>#REF!</v>
      </c>
      <c r="IV25" t="e">
        <f>AND(#REF!,"AAAAAH7u+/8=")</f>
        <v>#REF!</v>
      </c>
    </row>
    <row r="26" spans="1:256" x14ac:dyDescent="0.2">
      <c r="A26" t="e">
        <f>AND(#REF!,"AAAAAH++1gA=")</f>
        <v>#REF!</v>
      </c>
      <c r="B26" t="e">
        <f>AND(#REF!,"AAAAAH++1gE=")</f>
        <v>#REF!</v>
      </c>
      <c r="C26" t="e">
        <f>IF(#REF!,"AAAAAH++1gI=",0)</f>
        <v>#REF!</v>
      </c>
      <c r="D26" t="e">
        <f>AND(#REF!,"AAAAAH++1gM=")</f>
        <v>#REF!</v>
      </c>
      <c r="E26" t="e">
        <f>AND(#REF!,"AAAAAH++1gQ=")</f>
        <v>#REF!</v>
      </c>
      <c r="F26" t="e">
        <f>AND(#REF!,"AAAAAH++1gU=")</f>
        <v>#REF!</v>
      </c>
      <c r="G26" t="e">
        <f>AND(#REF!,"AAAAAH++1gY=")</f>
        <v>#REF!</v>
      </c>
      <c r="H26" t="e">
        <f>AND(#REF!,"AAAAAH++1gc=")</f>
        <v>#REF!</v>
      </c>
      <c r="I26" t="e">
        <f>AND(#REF!,"AAAAAH++1gg=")</f>
        <v>#REF!</v>
      </c>
      <c r="J26" t="e">
        <f>AND(#REF!,"AAAAAH++1gk=")</f>
        <v>#REF!</v>
      </c>
      <c r="K26" t="e">
        <f>AND(#REF!,"AAAAAH++1go=")</f>
        <v>#REF!</v>
      </c>
      <c r="L26" t="e">
        <f>IF(#REF!,"AAAAAH++1gs=",0)</f>
        <v>#REF!</v>
      </c>
      <c r="M26" t="e">
        <f>AND(#REF!,"AAAAAH++1gw=")</f>
        <v>#REF!</v>
      </c>
      <c r="N26" t="e">
        <f>AND(#REF!,"AAAAAH++1g0=")</f>
        <v>#REF!</v>
      </c>
      <c r="O26" t="e">
        <f>AND(#REF!,"AAAAAH++1g4=")</f>
        <v>#REF!</v>
      </c>
      <c r="P26" t="e">
        <f>AND(#REF!,"AAAAAH++1g8=")</f>
        <v>#REF!</v>
      </c>
      <c r="Q26" t="e">
        <f>AND(#REF!,"AAAAAH++1hA=")</f>
        <v>#REF!</v>
      </c>
      <c r="R26" t="e">
        <f>AND(#REF!,"AAAAAH++1hE=")</f>
        <v>#REF!</v>
      </c>
      <c r="S26" t="e">
        <f>AND(#REF!,"AAAAAH++1hI=")</f>
        <v>#REF!</v>
      </c>
      <c r="T26" t="e">
        <f>AND(#REF!,"AAAAAH++1hM=")</f>
        <v>#REF!</v>
      </c>
      <c r="U26" t="e">
        <f>IF(#REF!,"AAAAAH++1hQ=",0)</f>
        <v>#REF!</v>
      </c>
      <c r="V26" t="e">
        <f>AND(#REF!,"AAAAAH++1hU=")</f>
        <v>#REF!</v>
      </c>
      <c r="W26" t="e">
        <f>AND(#REF!,"AAAAAH++1hY=")</f>
        <v>#REF!</v>
      </c>
      <c r="X26" t="e">
        <f>AND(#REF!,"AAAAAH++1hc=")</f>
        <v>#REF!</v>
      </c>
      <c r="Y26" t="e">
        <f>AND(#REF!,"AAAAAH++1hg=")</f>
        <v>#REF!</v>
      </c>
      <c r="Z26" t="e">
        <f>AND(#REF!,"AAAAAH++1hk=")</f>
        <v>#REF!</v>
      </c>
      <c r="AA26" t="e">
        <f>AND(#REF!,"AAAAAH++1ho=")</f>
        <v>#REF!</v>
      </c>
      <c r="AB26" t="e">
        <f>AND(#REF!,"AAAAAH++1hs=")</f>
        <v>#REF!</v>
      </c>
      <c r="AC26" t="e">
        <f>AND(#REF!,"AAAAAH++1hw=")</f>
        <v>#REF!</v>
      </c>
      <c r="AD26" t="e">
        <f>IF(#REF!,"AAAAAH++1h0=",0)</f>
        <v>#REF!</v>
      </c>
      <c r="AE26" t="e">
        <f>AND(#REF!,"AAAAAH++1h4=")</f>
        <v>#REF!</v>
      </c>
      <c r="AF26" t="e">
        <f>AND(#REF!,"AAAAAH++1h8=")</f>
        <v>#REF!</v>
      </c>
      <c r="AG26" t="e">
        <f>AND(#REF!,"AAAAAH++1iA=")</f>
        <v>#REF!</v>
      </c>
      <c r="AH26" t="e">
        <f>AND(#REF!,"AAAAAH++1iE=")</f>
        <v>#REF!</v>
      </c>
      <c r="AI26" t="e">
        <f>AND(#REF!,"AAAAAH++1iI=")</f>
        <v>#REF!</v>
      </c>
      <c r="AJ26" t="e">
        <f>AND(#REF!,"AAAAAH++1iM=")</f>
        <v>#REF!</v>
      </c>
      <c r="AK26" t="e">
        <f>AND(#REF!,"AAAAAH++1iQ=")</f>
        <v>#REF!</v>
      </c>
      <c r="AL26" t="e">
        <f>AND(#REF!,"AAAAAH++1iU=")</f>
        <v>#REF!</v>
      </c>
      <c r="AM26" t="e">
        <f>IF(#REF!,"AAAAAH++1iY=",0)</f>
        <v>#REF!</v>
      </c>
      <c r="AN26" t="e">
        <f>AND(#REF!,"AAAAAH++1ic=")</f>
        <v>#REF!</v>
      </c>
      <c r="AO26" t="e">
        <f>AND(#REF!,"AAAAAH++1ig=")</f>
        <v>#REF!</v>
      </c>
      <c r="AP26" t="e">
        <f>AND(#REF!,"AAAAAH++1ik=")</f>
        <v>#REF!</v>
      </c>
      <c r="AQ26" t="e">
        <f>AND(#REF!,"AAAAAH++1io=")</f>
        <v>#REF!</v>
      </c>
      <c r="AR26" t="e">
        <f>AND(#REF!,"AAAAAH++1is=")</f>
        <v>#REF!</v>
      </c>
      <c r="AS26" t="e">
        <f>AND(#REF!,"AAAAAH++1iw=")</f>
        <v>#REF!</v>
      </c>
      <c r="AT26" t="e">
        <f>AND(#REF!,"AAAAAH++1i0=")</f>
        <v>#REF!</v>
      </c>
      <c r="AU26" t="e">
        <f>AND(#REF!,"AAAAAH++1i4=")</f>
        <v>#REF!</v>
      </c>
      <c r="AV26" t="e">
        <f>IF(#REF!,"AAAAAH++1i8=",0)</f>
        <v>#REF!</v>
      </c>
      <c r="AW26" t="e">
        <f>AND(#REF!,"AAAAAH++1jA=")</f>
        <v>#REF!</v>
      </c>
      <c r="AX26" t="e">
        <f>AND(#REF!,"AAAAAH++1jE=")</f>
        <v>#REF!</v>
      </c>
      <c r="AY26" t="e">
        <f>AND(#REF!,"AAAAAH++1jI=")</f>
        <v>#REF!</v>
      </c>
      <c r="AZ26" t="e">
        <f>AND(#REF!,"AAAAAH++1jM=")</f>
        <v>#REF!</v>
      </c>
      <c r="BA26" t="e">
        <f>AND(#REF!,"AAAAAH++1jQ=")</f>
        <v>#REF!</v>
      </c>
      <c r="BB26" t="e">
        <f>AND(#REF!,"AAAAAH++1jU=")</f>
        <v>#REF!</v>
      </c>
      <c r="BC26" t="e">
        <f>AND(#REF!,"AAAAAH++1jY=")</f>
        <v>#REF!</v>
      </c>
      <c r="BD26" t="e">
        <f>AND(#REF!,"AAAAAH++1jc=")</f>
        <v>#REF!</v>
      </c>
      <c r="BE26" t="e">
        <f>IF(#REF!,"AAAAAH++1jg=",0)</f>
        <v>#REF!</v>
      </c>
      <c r="BF26" t="e">
        <f>AND(#REF!,"AAAAAH++1jk=")</f>
        <v>#REF!</v>
      </c>
      <c r="BG26" t="e">
        <f>AND(#REF!,"AAAAAH++1jo=")</f>
        <v>#REF!</v>
      </c>
      <c r="BH26" t="e">
        <f>AND(#REF!,"AAAAAH++1js=")</f>
        <v>#REF!</v>
      </c>
      <c r="BI26" t="e">
        <f>AND(#REF!,"AAAAAH++1jw=")</f>
        <v>#REF!</v>
      </c>
      <c r="BJ26" t="e">
        <f>AND(#REF!,"AAAAAH++1j0=")</f>
        <v>#REF!</v>
      </c>
      <c r="BK26" t="e">
        <f>AND(#REF!,"AAAAAH++1j4=")</f>
        <v>#REF!</v>
      </c>
      <c r="BL26" t="e">
        <f>AND(#REF!,"AAAAAH++1j8=")</f>
        <v>#REF!</v>
      </c>
      <c r="BM26" t="e">
        <f>AND(#REF!,"AAAAAH++1kA=")</f>
        <v>#REF!</v>
      </c>
      <c r="BN26" t="e">
        <f>IF(#REF!,"AAAAAH++1kE=",0)</f>
        <v>#REF!</v>
      </c>
      <c r="BO26" t="e">
        <f>AND(#REF!,"AAAAAH++1kI=")</f>
        <v>#REF!</v>
      </c>
      <c r="BP26" t="e">
        <f>AND(#REF!,"AAAAAH++1kM=")</f>
        <v>#REF!</v>
      </c>
      <c r="BQ26" t="e">
        <f>AND(#REF!,"AAAAAH++1kQ=")</f>
        <v>#REF!</v>
      </c>
      <c r="BR26" t="e">
        <f>AND(#REF!,"AAAAAH++1kU=")</f>
        <v>#REF!</v>
      </c>
      <c r="BS26" t="e">
        <f>AND(#REF!,"AAAAAH++1kY=")</f>
        <v>#REF!</v>
      </c>
      <c r="BT26" t="e">
        <f>AND(#REF!,"AAAAAH++1kc=")</f>
        <v>#REF!</v>
      </c>
      <c r="BU26" t="e">
        <f>AND(#REF!,"AAAAAH++1kg=")</f>
        <v>#REF!</v>
      </c>
      <c r="BV26" t="e">
        <f>AND(#REF!,"AAAAAH++1kk=")</f>
        <v>#REF!</v>
      </c>
      <c r="BW26" t="e">
        <f>IF(#REF!,"AAAAAH++1ko=",0)</f>
        <v>#REF!</v>
      </c>
      <c r="BX26" t="e">
        <f>AND(#REF!,"AAAAAH++1ks=")</f>
        <v>#REF!</v>
      </c>
      <c r="BY26" t="e">
        <f>AND(#REF!,"AAAAAH++1kw=")</f>
        <v>#REF!</v>
      </c>
      <c r="BZ26" t="e">
        <f>AND(#REF!,"AAAAAH++1k0=")</f>
        <v>#REF!</v>
      </c>
      <c r="CA26" t="e">
        <f>AND(#REF!,"AAAAAH++1k4=")</f>
        <v>#REF!</v>
      </c>
      <c r="CB26" t="e">
        <f>AND(#REF!,"AAAAAH++1k8=")</f>
        <v>#REF!</v>
      </c>
      <c r="CC26" t="e">
        <f>AND(#REF!,"AAAAAH++1lA=")</f>
        <v>#REF!</v>
      </c>
      <c r="CD26" t="e">
        <f>AND(#REF!,"AAAAAH++1lE=")</f>
        <v>#REF!</v>
      </c>
      <c r="CE26" t="e">
        <f>AND(#REF!,"AAAAAH++1lI=")</f>
        <v>#REF!</v>
      </c>
      <c r="CF26" t="e">
        <f>IF(#REF!,"AAAAAH++1lM=",0)</f>
        <v>#REF!</v>
      </c>
      <c r="CG26" t="e">
        <f>AND(#REF!,"AAAAAH++1lQ=")</f>
        <v>#REF!</v>
      </c>
      <c r="CH26" t="e">
        <f>AND(#REF!,"AAAAAH++1lU=")</f>
        <v>#REF!</v>
      </c>
      <c r="CI26" t="e">
        <f>AND(#REF!,"AAAAAH++1lY=")</f>
        <v>#REF!</v>
      </c>
      <c r="CJ26" t="e">
        <f>AND(#REF!,"AAAAAH++1lc=")</f>
        <v>#REF!</v>
      </c>
      <c r="CK26" t="e">
        <f>AND(#REF!,"AAAAAH++1lg=")</f>
        <v>#REF!</v>
      </c>
      <c r="CL26" t="e">
        <f>AND(#REF!,"AAAAAH++1lk=")</f>
        <v>#REF!</v>
      </c>
      <c r="CM26" t="e">
        <f>AND(#REF!,"AAAAAH++1lo=")</f>
        <v>#REF!</v>
      </c>
      <c r="CN26" t="e">
        <f>AND(#REF!,"AAAAAH++1ls=")</f>
        <v>#REF!</v>
      </c>
      <c r="CO26" t="e">
        <f>IF(#REF!,"AAAAAH++1lw=",0)</f>
        <v>#REF!</v>
      </c>
      <c r="CP26" t="e">
        <f>AND(#REF!,"AAAAAH++1l0=")</f>
        <v>#REF!</v>
      </c>
      <c r="CQ26" t="e">
        <f>AND(#REF!,"AAAAAH++1l4=")</f>
        <v>#REF!</v>
      </c>
      <c r="CR26" t="e">
        <f>AND(#REF!,"AAAAAH++1l8=")</f>
        <v>#REF!</v>
      </c>
      <c r="CS26" t="e">
        <f>AND(#REF!,"AAAAAH++1mA=")</f>
        <v>#REF!</v>
      </c>
      <c r="CT26" t="e">
        <f>AND(#REF!,"AAAAAH++1mE=")</f>
        <v>#REF!</v>
      </c>
      <c r="CU26" t="e">
        <f>AND(#REF!,"AAAAAH++1mI=")</f>
        <v>#REF!</v>
      </c>
      <c r="CV26" t="e">
        <f>AND(#REF!,"AAAAAH++1mM=")</f>
        <v>#REF!</v>
      </c>
      <c r="CW26" t="e">
        <f>AND(#REF!,"AAAAAH++1mQ=")</f>
        <v>#REF!</v>
      </c>
      <c r="CX26" t="e">
        <f>IF(#REF!,"AAAAAH++1mU=",0)</f>
        <v>#REF!</v>
      </c>
      <c r="CY26" t="e">
        <f>AND(#REF!,"AAAAAH++1mY=")</f>
        <v>#REF!</v>
      </c>
      <c r="CZ26" t="e">
        <f>AND(#REF!,"AAAAAH++1mc=")</f>
        <v>#REF!</v>
      </c>
      <c r="DA26" t="e">
        <f>AND(#REF!,"AAAAAH++1mg=")</f>
        <v>#REF!</v>
      </c>
      <c r="DB26" t="e">
        <f>AND(#REF!,"AAAAAH++1mk=")</f>
        <v>#REF!</v>
      </c>
      <c r="DC26" t="e">
        <f>AND(#REF!,"AAAAAH++1mo=")</f>
        <v>#REF!</v>
      </c>
      <c r="DD26" t="e">
        <f>AND(#REF!,"AAAAAH++1ms=")</f>
        <v>#REF!</v>
      </c>
      <c r="DE26" t="e">
        <f>AND(#REF!,"AAAAAH++1mw=")</f>
        <v>#REF!</v>
      </c>
      <c r="DF26" t="e">
        <f>AND(#REF!,"AAAAAH++1m0=")</f>
        <v>#REF!</v>
      </c>
      <c r="DG26" t="e">
        <f>IF(#REF!,"AAAAAH++1m4=",0)</f>
        <v>#REF!</v>
      </c>
      <c r="DH26" t="e">
        <f>AND(#REF!,"AAAAAH++1m8=")</f>
        <v>#REF!</v>
      </c>
      <c r="DI26" t="e">
        <f>AND(#REF!,"AAAAAH++1nA=")</f>
        <v>#REF!</v>
      </c>
      <c r="DJ26" t="e">
        <f>AND(#REF!,"AAAAAH++1nE=")</f>
        <v>#REF!</v>
      </c>
      <c r="DK26" t="e">
        <f>AND(#REF!,"AAAAAH++1nI=")</f>
        <v>#REF!</v>
      </c>
      <c r="DL26" t="e">
        <f>AND(#REF!,"AAAAAH++1nM=")</f>
        <v>#REF!</v>
      </c>
      <c r="DM26" t="e">
        <f>AND(#REF!,"AAAAAH++1nQ=")</f>
        <v>#REF!</v>
      </c>
      <c r="DN26" t="e">
        <f>AND(#REF!,"AAAAAH++1nU=")</f>
        <v>#REF!</v>
      </c>
      <c r="DO26" t="e">
        <f>AND(#REF!,"AAAAAH++1nY=")</f>
        <v>#REF!</v>
      </c>
      <c r="DP26" t="e">
        <f>IF(#REF!,"AAAAAH++1nc=",0)</f>
        <v>#REF!</v>
      </c>
      <c r="DQ26" t="e">
        <f>AND(#REF!,"AAAAAH++1ng=")</f>
        <v>#REF!</v>
      </c>
      <c r="DR26" t="e">
        <f>AND(#REF!,"AAAAAH++1nk=")</f>
        <v>#REF!</v>
      </c>
      <c r="DS26" t="e">
        <f>AND(#REF!,"AAAAAH++1no=")</f>
        <v>#REF!</v>
      </c>
      <c r="DT26" t="e">
        <f>AND(#REF!,"AAAAAH++1ns=")</f>
        <v>#REF!</v>
      </c>
      <c r="DU26" t="e">
        <f>AND(#REF!,"AAAAAH++1nw=")</f>
        <v>#REF!</v>
      </c>
      <c r="DV26" t="e">
        <f>AND(#REF!,"AAAAAH++1n0=")</f>
        <v>#REF!</v>
      </c>
      <c r="DW26" t="e">
        <f>AND(#REF!,"AAAAAH++1n4=")</f>
        <v>#REF!</v>
      </c>
      <c r="DX26" t="e">
        <f>AND(#REF!,"AAAAAH++1n8=")</f>
        <v>#REF!</v>
      </c>
      <c r="DY26" t="e">
        <f>IF(#REF!,"AAAAAH++1oA=",0)</f>
        <v>#REF!</v>
      </c>
      <c r="DZ26" t="e">
        <f>AND(#REF!,"AAAAAH++1oE=")</f>
        <v>#REF!</v>
      </c>
      <c r="EA26" t="e">
        <f>AND(#REF!,"AAAAAH++1oI=")</f>
        <v>#REF!</v>
      </c>
      <c r="EB26" t="e">
        <f>AND(#REF!,"AAAAAH++1oM=")</f>
        <v>#REF!</v>
      </c>
      <c r="EC26" t="e">
        <f>AND(#REF!,"AAAAAH++1oQ=")</f>
        <v>#REF!</v>
      </c>
      <c r="ED26" t="e">
        <f>AND(#REF!,"AAAAAH++1oU=")</f>
        <v>#REF!</v>
      </c>
      <c r="EE26" t="e">
        <f>AND(#REF!,"AAAAAH++1oY=")</f>
        <v>#REF!</v>
      </c>
      <c r="EF26" t="e">
        <f>AND(#REF!,"AAAAAH++1oc=")</f>
        <v>#REF!</v>
      </c>
      <c r="EG26" t="e">
        <f>AND(#REF!,"AAAAAH++1og=")</f>
        <v>#REF!</v>
      </c>
      <c r="EH26" t="e">
        <f>IF(#REF!,"AAAAAH++1ok=",0)</f>
        <v>#REF!</v>
      </c>
      <c r="EI26" t="e">
        <f>AND(#REF!,"AAAAAH++1oo=")</f>
        <v>#REF!</v>
      </c>
      <c r="EJ26" t="e">
        <f>AND(#REF!,"AAAAAH++1os=")</f>
        <v>#REF!</v>
      </c>
      <c r="EK26" t="e">
        <f>AND(#REF!,"AAAAAH++1ow=")</f>
        <v>#REF!</v>
      </c>
      <c r="EL26" t="e">
        <f>AND(#REF!,"AAAAAH++1o0=")</f>
        <v>#REF!</v>
      </c>
      <c r="EM26" t="e">
        <f>AND(#REF!,"AAAAAH++1o4=")</f>
        <v>#REF!</v>
      </c>
      <c r="EN26" t="e">
        <f>AND(#REF!,"AAAAAH++1o8=")</f>
        <v>#REF!</v>
      </c>
      <c r="EO26" t="e">
        <f>AND(#REF!,"AAAAAH++1pA=")</f>
        <v>#REF!</v>
      </c>
      <c r="EP26" t="e">
        <f>AND(#REF!,"AAAAAH++1pE=")</f>
        <v>#REF!</v>
      </c>
      <c r="EQ26" t="e">
        <f>IF(#REF!,"AAAAAH++1pI=",0)</f>
        <v>#REF!</v>
      </c>
      <c r="ER26" t="e">
        <f>AND(#REF!,"AAAAAH++1pM=")</f>
        <v>#REF!</v>
      </c>
      <c r="ES26" t="e">
        <f>AND(#REF!,"AAAAAH++1pQ=")</f>
        <v>#REF!</v>
      </c>
      <c r="ET26" t="e">
        <f>AND(#REF!,"AAAAAH++1pU=")</f>
        <v>#REF!</v>
      </c>
      <c r="EU26" t="e">
        <f>AND(#REF!,"AAAAAH++1pY=")</f>
        <v>#REF!</v>
      </c>
      <c r="EV26" t="e">
        <f>AND(#REF!,"AAAAAH++1pc=")</f>
        <v>#REF!</v>
      </c>
      <c r="EW26" t="e">
        <f>AND(#REF!,"AAAAAH++1pg=")</f>
        <v>#REF!</v>
      </c>
      <c r="EX26" t="e">
        <f>AND(#REF!,"AAAAAH++1pk=")</f>
        <v>#REF!</v>
      </c>
      <c r="EY26" t="e">
        <f>AND(#REF!,"AAAAAH++1po=")</f>
        <v>#REF!</v>
      </c>
      <c r="EZ26" t="e">
        <f>IF(#REF!,"AAAAAH++1ps=",0)</f>
        <v>#REF!</v>
      </c>
      <c r="FA26" t="e">
        <f>AND(#REF!,"AAAAAH++1pw=")</f>
        <v>#REF!</v>
      </c>
      <c r="FB26" t="e">
        <f>AND(#REF!,"AAAAAH++1p0=")</f>
        <v>#REF!</v>
      </c>
      <c r="FC26" t="e">
        <f>AND(#REF!,"AAAAAH++1p4=")</f>
        <v>#REF!</v>
      </c>
      <c r="FD26" t="e">
        <f>AND(#REF!,"AAAAAH++1p8=")</f>
        <v>#REF!</v>
      </c>
      <c r="FE26" t="e">
        <f>AND(#REF!,"AAAAAH++1qA=")</f>
        <v>#REF!</v>
      </c>
      <c r="FF26" t="e">
        <f>AND(#REF!,"AAAAAH++1qE=")</f>
        <v>#REF!</v>
      </c>
      <c r="FG26" t="e">
        <f>AND(#REF!,"AAAAAH++1qI=")</f>
        <v>#REF!</v>
      </c>
      <c r="FH26" t="e">
        <f>AND(#REF!,"AAAAAH++1qM=")</f>
        <v>#REF!</v>
      </c>
      <c r="FI26" t="e">
        <f>IF(#REF!,"AAAAAH++1qQ=",0)</f>
        <v>#REF!</v>
      </c>
      <c r="FJ26" t="e">
        <f>AND(#REF!,"AAAAAH++1qU=")</f>
        <v>#REF!</v>
      </c>
      <c r="FK26" t="e">
        <f>AND(#REF!,"AAAAAH++1qY=")</f>
        <v>#REF!</v>
      </c>
      <c r="FL26" t="e">
        <f>AND(#REF!,"AAAAAH++1qc=")</f>
        <v>#REF!</v>
      </c>
      <c r="FM26" t="e">
        <f>AND(#REF!,"AAAAAH++1qg=")</f>
        <v>#REF!</v>
      </c>
      <c r="FN26" t="e">
        <f>AND(#REF!,"AAAAAH++1qk=")</f>
        <v>#REF!</v>
      </c>
      <c r="FO26" t="e">
        <f>AND(#REF!,"AAAAAH++1qo=")</f>
        <v>#REF!</v>
      </c>
      <c r="FP26" t="e">
        <f>AND(#REF!,"AAAAAH++1qs=")</f>
        <v>#REF!</v>
      </c>
      <c r="FQ26" t="e">
        <f>AND(#REF!,"AAAAAH++1qw=")</f>
        <v>#REF!</v>
      </c>
      <c r="FR26" t="e">
        <f>IF(#REF!,"AAAAAH++1q0=",0)</f>
        <v>#REF!</v>
      </c>
      <c r="FS26" t="e">
        <f>AND(#REF!,"AAAAAH++1q4=")</f>
        <v>#REF!</v>
      </c>
      <c r="FT26" t="e">
        <f>AND(#REF!,"AAAAAH++1q8=")</f>
        <v>#REF!</v>
      </c>
      <c r="FU26" t="e">
        <f>AND(#REF!,"AAAAAH++1rA=")</f>
        <v>#REF!</v>
      </c>
      <c r="FV26" t="e">
        <f>AND(#REF!,"AAAAAH++1rE=")</f>
        <v>#REF!</v>
      </c>
      <c r="FW26" t="e">
        <f>AND(#REF!,"AAAAAH++1rI=")</f>
        <v>#REF!</v>
      </c>
      <c r="FX26" t="e">
        <f>AND(#REF!,"AAAAAH++1rM=")</f>
        <v>#REF!</v>
      </c>
      <c r="FY26" t="e">
        <f>AND(#REF!,"AAAAAH++1rQ=")</f>
        <v>#REF!</v>
      </c>
      <c r="FZ26" t="e">
        <f>AND(#REF!,"AAAAAH++1rU=")</f>
        <v>#REF!</v>
      </c>
      <c r="GA26" t="e">
        <f>IF(#REF!,"AAAAAH++1rY=",0)</f>
        <v>#REF!</v>
      </c>
      <c r="GB26" t="e">
        <f>AND(#REF!,"AAAAAH++1rc=")</f>
        <v>#REF!</v>
      </c>
      <c r="GC26" t="e">
        <f>AND(#REF!,"AAAAAH++1rg=")</f>
        <v>#REF!</v>
      </c>
      <c r="GD26" t="e">
        <f>AND(#REF!,"AAAAAH++1rk=")</f>
        <v>#REF!</v>
      </c>
      <c r="GE26" t="e">
        <f>AND(#REF!,"AAAAAH++1ro=")</f>
        <v>#REF!</v>
      </c>
      <c r="GF26" t="e">
        <f>AND(#REF!,"AAAAAH++1rs=")</f>
        <v>#REF!</v>
      </c>
      <c r="GG26" t="e">
        <f>AND(#REF!,"AAAAAH++1rw=")</f>
        <v>#REF!</v>
      </c>
      <c r="GH26" t="e">
        <f>AND(#REF!,"AAAAAH++1r0=")</f>
        <v>#REF!</v>
      </c>
      <c r="GI26" t="e">
        <f>AND(#REF!,"AAAAAH++1r4=")</f>
        <v>#REF!</v>
      </c>
      <c r="GJ26" t="e">
        <f>IF(#REF!,"AAAAAH++1r8=",0)</f>
        <v>#REF!</v>
      </c>
      <c r="GK26" t="e">
        <f>AND(#REF!,"AAAAAH++1sA=")</f>
        <v>#REF!</v>
      </c>
      <c r="GL26" t="e">
        <f>AND(#REF!,"AAAAAH++1sE=")</f>
        <v>#REF!</v>
      </c>
      <c r="GM26" t="e">
        <f>AND(#REF!,"AAAAAH++1sI=")</f>
        <v>#REF!</v>
      </c>
      <c r="GN26" t="e">
        <f>AND(#REF!,"AAAAAH++1sM=")</f>
        <v>#REF!</v>
      </c>
      <c r="GO26" t="e">
        <f>AND(#REF!,"AAAAAH++1sQ=")</f>
        <v>#REF!</v>
      </c>
      <c r="GP26" t="e">
        <f>AND(#REF!,"AAAAAH++1sU=")</f>
        <v>#REF!</v>
      </c>
      <c r="GQ26" t="e">
        <f>AND(#REF!,"AAAAAH++1sY=")</f>
        <v>#REF!</v>
      </c>
      <c r="GR26" t="e">
        <f>AND(#REF!,"AAAAAH++1sc=")</f>
        <v>#REF!</v>
      </c>
      <c r="GS26" t="e">
        <f>IF(#REF!,"AAAAAH++1sg=",0)</f>
        <v>#REF!</v>
      </c>
      <c r="GT26" t="e">
        <f>AND(#REF!,"AAAAAH++1sk=")</f>
        <v>#REF!</v>
      </c>
      <c r="GU26" t="e">
        <f>AND(#REF!,"AAAAAH++1so=")</f>
        <v>#REF!</v>
      </c>
      <c r="GV26" t="e">
        <f>AND(#REF!,"AAAAAH++1ss=")</f>
        <v>#REF!</v>
      </c>
      <c r="GW26" t="e">
        <f>AND(#REF!,"AAAAAH++1sw=")</f>
        <v>#REF!</v>
      </c>
      <c r="GX26" t="e">
        <f>AND(#REF!,"AAAAAH++1s0=")</f>
        <v>#REF!</v>
      </c>
      <c r="GY26" t="e">
        <f>AND(#REF!,"AAAAAH++1s4=")</f>
        <v>#REF!</v>
      </c>
      <c r="GZ26" t="e">
        <f>AND(#REF!,"AAAAAH++1s8=")</f>
        <v>#REF!</v>
      </c>
      <c r="HA26" t="e">
        <f>AND(#REF!,"AAAAAH++1tA=")</f>
        <v>#REF!</v>
      </c>
      <c r="HB26" t="e">
        <f>IF(#REF!,"AAAAAH++1tE=",0)</f>
        <v>#REF!</v>
      </c>
      <c r="HC26" t="e">
        <f>AND(#REF!,"AAAAAH++1tI=")</f>
        <v>#REF!</v>
      </c>
      <c r="HD26" t="e">
        <f>AND(#REF!,"AAAAAH++1tM=")</f>
        <v>#REF!</v>
      </c>
      <c r="HE26" t="e">
        <f>AND(#REF!,"AAAAAH++1tQ=")</f>
        <v>#REF!</v>
      </c>
      <c r="HF26" t="e">
        <f>AND(#REF!,"AAAAAH++1tU=")</f>
        <v>#REF!</v>
      </c>
      <c r="HG26" t="e">
        <f>AND(#REF!,"AAAAAH++1tY=")</f>
        <v>#REF!</v>
      </c>
      <c r="HH26" t="e">
        <f>AND(#REF!,"AAAAAH++1tc=")</f>
        <v>#REF!</v>
      </c>
      <c r="HI26" t="e">
        <f>AND(#REF!,"AAAAAH++1tg=")</f>
        <v>#REF!</v>
      </c>
      <c r="HJ26" t="e">
        <f>AND(#REF!,"AAAAAH++1tk=")</f>
        <v>#REF!</v>
      </c>
      <c r="HK26" t="e">
        <f>IF(#REF!,"AAAAAH++1to=",0)</f>
        <v>#REF!</v>
      </c>
      <c r="HL26" t="e">
        <f>AND(#REF!,"AAAAAH++1ts=")</f>
        <v>#REF!</v>
      </c>
      <c r="HM26" t="e">
        <f>AND(#REF!,"AAAAAH++1tw=")</f>
        <v>#REF!</v>
      </c>
      <c r="HN26" t="e">
        <f>AND(#REF!,"AAAAAH++1t0=")</f>
        <v>#REF!</v>
      </c>
      <c r="HO26" t="e">
        <f>AND(#REF!,"AAAAAH++1t4=")</f>
        <v>#REF!</v>
      </c>
      <c r="HP26" t="e">
        <f>AND(#REF!,"AAAAAH++1t8=")</f>
        <v>#REF!</v>
      </c>
      <c r="HQ26" t="e">
        <f>AND(#REF!,"AAAAAH++1uA=")</f>
        <v>#REF!</v>
      </c>
      <c r="HR26" t="e">
        <f>AND(#REF!,"AAAAAH++1uE=")</f>
        <v>#REF!</v>
      </c>
      <c r="HS26" t="e">
        <f>AND(#REF!,"AAAAAH++1uI=")</f>
        <v>#REF!</v>
      </c>
      <c r="HT26" t="e">
        <f>IF(#REF!,"AAAAAH++1uM=",0)</f>
        <v>#REF!</v>
      </c>
      <c r="HU26" t="e">
        <f>AND(#REF!,"AAAAAH++1uQ=")</f>
        <v>#REF!</v>
      </c>
      <c r="HV26" t="e">
        <f>AND(#REF!,"AAAAAH++1uU=")</f>
        <v>#REF!</v>
      </c>
      <c r="HW26" t="e">
        <f>AND(#REF!,"AAAAAH++1uY=")</f>
        <v>#REF!</v>
      </c>
      <c r="HX26" t="e">
        <f>AND(#REF!,"AAAAAH++1uc=")</f>
        <v>#REF!</v>
      </c>
      <c r="HY26" t="e">
        <f>AND(#REF!,"AAAAAH++1ug=")</f>
        <v>#REF!</v>
      </c>
      <c r="HZ26" t="e">
        <f>AND(#REF!,"AAAAAH++1uk=")</f>
        <v>#REF!</v>
      </c>
      <c r="IA26" t="e">
        <f>AND(#REF!,"AAAAAH++1uo=")</f>
        <v>#REF!</v>
      </c>
      <c r="IB26" t="e">
        <f>AND(#REF!,"AAAAAH++1us=")</f>
        <v>#REF!</v>
      </c>
      <c r="IC26" t="e">
        <f>IF(#REF!,"AAAAAH++1uw=",0)</f>
        <v>#REF!</v>
      </c>
      <c r="ID26" t="e">
        <f>AND(#REF!,"AAAAAH++1u0=")</f>
        <v>#REF!</v>
      </c>
      <c r="IE26" t="e">
        <f>AND(#REF!,"AAAAAH++1u4=")</f>
        <v>#REF!</v>
      </c>
      <c r="IF26" t="e">
        <f>AND(#REF!,"AAAAAH++1u8=")</f>
        <v>#REF!</v>
      </c>
      <c r="IG26" t="e">
        <f>AND(#REF!,"AAAAAH++1vA=")</f>
        <v>#REF!</v>
      </c>
      <c r="IH26" t="e">
        <f>AND(#REF!,"AAAAAH++1vE=")</f>
        <v>#REF!</v>
      </c>
      <c r="II26" t="e">
        <f>AND(#REF!,"AAAAAH++1vI=")</f>
        <v>#REF!</v>
      </c>
      <c r="IJ26" t="e">
        <f>AND(#REF!,"AAAAAH++1vM=")</f>
        <v>#REF!</v>
      </c>
      <c r="IK26" t="e">
        <f>AND(#REF!,"AAAAAH++1vQ=")</f>
        <v>#REF!</v>
      </c>
      <c r="IL26" t="e">
        <f>IF(#REF!,"AAAAAH++1vU=",0)</f>
        <v>#REF!</v>
      </c>
      <c r="IM26" t="e">
        <f>AND(#REF!,"AAAAAH++1vY=")</f>
        <v>#REF!</v>
      </c>
      <c r="IN26" t="e">
        <f>AND(#REF!,"AAAAAH++1vc=")</f>
        <v>#REF!</v>
      </c>
      <c r="IO26" t="e">
        <f>AND(#REF!,"AAAAAH++1vg=")</f>
        <v>#REF!</v>
      </c>
      <c r="IP26" t="e">
        <f>AND(#REF!,"AAAAAH++1vk=")</f>
        <v>#REF!</v>
      </c>
      <c r="IQ26" t="e">
        <f>AND(#REF!,"AAAAAH++1vo=")</f>
        <v>#REF!</v>
      </c>
      <c r="IR26" t="e">
        <f>AND(#REF!,"AAAAAH++1vs=")</f>
        <v>#REF!</v>
      </c>
      <c r="IS26" t="e">
        <f>AND(#REF!,"AAAAAH++1vw=")</f>
        <v>#REF!</v>
      </c>
      <c r="IT26" t="e">
        <f>AND(#REF!,"AAAAAH++1v0=")</f>
        <v>#REF!</v>
      </c>
      <c r="IU26" t="e">
        <f>IF(#REF!,"AAAAAH++1v4=",0)</f>
        <v>#REF!</v>
      </c>
      <c r="IV26" t="e">
        <f>AND(#REF!,"AAAAAH++1v8=")</f>
        <v>#REF!</v>
      </c>
    </row>
    <row r="27" spans="1:256" x14ac:dyDescent="0.2">
      <c r="A27" t="e">
        <f>AND(#REF!,"AAAAAB9/1QA=")</f>
        <v>#REF!</v>
      </c>
      <c r="B27" t="e">
        <f>AND(#REF!,"AAAAAB9/1QE=")</f>
        <v>#REF!</v>
      </c>
      <c r="C27" t="e">
        <f>AND(#REF!,"AAAAAB9/1QI=")</f>
        <v>#REF!</v>
      </c>
      <c r="D27" t="e">
        <f>AND(#REF!,"AAAAAB9/1QM=")</f>
        <v>#REF!</v>
      </c>
      <c r="E27" t="e">
        <f>AND(#REF!,"AAAAAB9/1QQ=")</f>
        <v>#REF!</v>
      </c>
      <c r="F27" t="e">
        <f>AND(#REF!,"AAAAAB9/1QU=")</f>
        <v>#REF!</v>
      </c>
      <c r="G27" t="e">
        <f>AND(#REF!,"AAAAAB9/1QY=")</f>
        <v>#REF!</v>
      </c>
      <c r="H27" t="e">
        <f>IF(#REF!,"AAAAAB9/1Qc=",0)</f>
        <v>#REF!</v>
      </c>
      <c r="I27" t="e">
        <f>AND(#REF!,"AAAAAB9/1Qg=")</f>
        <v>#REF!</v>
      </c>
      <c r="J27" t="e">
        <f>AND(#REF!,"AAAAAB9/1Qk=")</f>
        <v>#REF!</v>
      </c>
      <c r="K27" t="e">
        <f>AND(#REF!,"AAAAAB9/1Qo=")</f>
        <v>#REF!</v>
      </c>
      <c r="L27" t="e">
        <f>AND(#REF!,"AAAAAB9/1Qs=")</f>
        <v>#REF!</v>
      </c>
      <c r="M27" t="e">
        <f>AND(#REF!,"AAAAAB9/1Qw=")</f>
        <v>#REF!</v>
      </c>
      <c r="N27" t="e">
        <f>AND(#REF!,"AAAAAB9/1Q0=")</f>
        <v>#REF!</v>
      </c>
      <c r="O27" t="e">
        <f>AND(#REF!,"AAAAAB9/1Q4=")</f>
        <v>#REF!</v>
      </c>
      <c r="P27" t="e">
        <f>AND(#REF!,"AAAAAB9/1Q8=")</f>
        <v>#REF!</v>
      </c>
      <c r="Q27" t="e">
        <f>IF(#REF!,"AAAAAB9/1RA=",0)</f>
        <v>#REF!</v>
      </c>
      <c r="R27" t="e">
        <f>AND(#REF!,"AAAAAB9/1RE=")</f>
        <v>#REF!</v>
      </c>
      <c r="S27" t="e">
        <f>AND(#REF!,"AAAAAB9/1RI=")</f>
        <v>#REF!</v>
      </c>
      <c r="T27" t="e">
        <f>AND(#REF!,"AAAAAB9/1RM=")</f>
        <v>#REF!</v>
      </c>
      <c r="U27" t="e">
        <f>AND(#REF!,"AAAAAB9/1RQ=")</f>
        <v>#REF!</v>
      </c>
      <c r="V27" t="e">
        <f>AND(#REF!,"AAAAAB9/1RU=")</f>
        <v>#REF!</v>
      </c>
      <c r="W27" t="e">
        <f>AND(#REF!,"AAAAAB9/1RY=")</f>
        <v>#REF!</v>
      </c>
      <c r="X27" t="e">
        <f>AND(#REF!,"AAAAAB9/1Rc=")</f>
        <v>#REF!</v>
      </c>
      <c r="Y27" t="e">
        <f>AND(#REF!,"AAAAAB9/1Rg=")</f>
        <v>#REF!</v>
      </c>
      <c r="Z27" t="e">
        <f>IF(#REF!,"AAAAAB9/1Rk=",0)</f>
        <v>#REF!</v>
      </c>
      <c r="AA27" t="e">
        <f>AND(#REF!,"AAAAAB9/1Ro=")</f>
        <v>#REF!</v>
      </c>
      <c r="AB27" t="e">
        <f>AND(#REF!,"AAAAAB9/1Rs=")</f>
        <v>#REF!</v>
      </c>
      <c r="AC27" t="e">
        <f>AND(#REF!,"AAAAAB9/1Rw=")</f>
        <v>#REF!</v>
      </c>
      <c r="AD27" t="e">
        <f>AND(#REF!,"AAAAAB9/1R0=")</f>
        <v>#REF!</v>
      </c>
      <c r="AE27" t="e">
        <f>AND(#REF!,"AAAAAB9/1R4=")</f>
        <v>#REF!</v>
      </c>
      <c r="AF27" t="e">
        <f>AND(#REF!,"AAAAAB9/1R8=")</f>
        <v>#REF!</v>
      </c>
      <c r="AG27" t="e">
        <f>AND(#REF!,"AAAAAB9/1SA=")</f>
        <v>#REF!</v>
      </c>
      <c r="AH27" t="e">
        <f>AND(#REF!,"AAAAAB9/1SE=")</f>
        <v>#REF!</v>
      </c>
      <c r="AI27" t="e">
        <f>IF(#REF!,"AAAAAB9/1SI=",0)</f>
        <v>#REF!</v>
      </c>
      <c r="AJ27" t="e">
        <f>AND(#REF!,"AAAAAB9/1SM=")</f>
        <v>#REF!</v>
      </c>
      <c r="AK27" t="e">
        <f>AND(#REF!,"AAAAAB9/1SQ=")</f>
        <v>#REF!</v>
      </c>
      <c r="AL27" t="e">
        <f>AND(#REF!,"AAAAAB9/1SU=")</f>
        <v>#REF!</v>
      </c>
      <c r="AM27" t="e">
        <f>AND(#REF!,"AAAAAB9/1SY=")</f>
        <v>#REF!</v>
      </c>
      <c r="AN27" t="e">
        <f>AND(#REF!,"AAAAAB9/1Sc=")</f>
        <v>#REF!</v>
      </c>
      <c r="AO27" t="e">
        <f>AND(#REF!,"AAAAAB9/1Sg=")</f>
        <v>#REF!</v>
      </c>
      <c r="AP27" t="e">
        <f>AND(#REF!,"AAAAAB9/1Sk=")</f>
        <v>#REF!</v>
      </c>
      <c r="AQ27" t="e">
        <f>AND(#REF!,"AAAAAB9/1So=")</f>
        <v>#REF!</v>
      </c>
      <c r="AR27" t="e">
        <f>IF(#REF!,"AAAAAB9/1Ss=",0)</f>
        <v>#REF!</v>
      </c>
      <c r="AS27" t="e">
        <f>AND(#REF!,"AAAAAB9/1Sw=")</f>
        <v>#REF!</v>
      </c>
      <c r="AT27" t="e">
        <f>AND(#REF!,"AAAAAB9/1S0=")</f>
        <v>#REF!</v>
      </c>
      <c r="AU27" t="e">
        <f>AND(#REF!,"AAAAAB9/1S4=")</f>
        <v>#REF!</v>
      </c>
      <c r="AV27" t="e">
        <f>AND(#REF!,"AAAAAB9/1S8=")</f>
        <v>#REF!</v>
      </c>
      <c r="AW27" t="e">
        <f>AND(#REF!,"AAAAAB9/1TA=")</f>
        <v>#REF!</v>
      </c>
      <c r="AX27" t="e">
        <f>AND(#REF!,"AAAAAB9/1TE=")</f>
        <v>#REF!</v>
      </c>
      <c r="AY27" t="e">
        <f>AND(#REF!,"AAAAAB9/1TI=")</f>
        <v>#REF!</v>
      </c>
      <c r="AZ27" t="e">
        <f>AND(#REF!,"AAAAAB9/1TM=")</f>
        <v>#REF!</v>
      </c>
      <c r="BA27" t="e">
        <f>IF(#REF!,"AAAAAB9/1TQ=",0)</f>
        <v>#REF!</v>
      </c>
      <c r="BB27" t="e">
        <f>AND(#REF!,"AAAAAB9/1TU=")</f>
        <v>#REF!</v>
      </c>
      <c r="BC27" t="e">
        <f>AND(#REF!,"AAAAAB9/1TY=")</f>
        <v>#REF!</v>
      </c>
      <c r="BD27" t="e">
        <f>AND(#REF!,"AAAAAB9/1Tc=")</f>
        <v>#REF!</v>
      </c>
      <c r="BE27" t="e">
        <f>AND(#REF!,"AAAAAB9/1Tg=")</f>
        <v>#REF!</v>
      </c>
      <c r="BF27" t="e">
        <f>AND(#REF!,"AAAAAB9/1Tk=")</f>
        <v>#REF!</v>
      </c>
      <c r="BG27" t="e">
        <f>AND(#REF!,"AAAAAB9/1To=")</f>
        <v>#REF!</v>
      </c>
      <c r="BH27" t="e">
        <f>AND(#REF!,"AAAAAB9/1Ts=")</f>
        <v>#REF!</v>
      </c>
      <c r="BI27" t="e">
        <f>AND(#REF!,"AAAAAB9/1Tw=")</f>
        <v>#REF!</v>
      </c>
      <c r="BJ27" t="e">
        <f>IF(#REF!,"AAAAAB9/1T0=",0)</f>
        <v>#REF!</v>
      </c>
      <c r="BK27" t="e">
        <f>AND(#REF!,"AAAAAB9/1T4=")</f>
        <v>#REF!</v>
      </c>
      <c r="BL27" t="e">
        <f>AND(#REF!,"AAAAAB9/1T8=")</f>
        <v>#REF!</v>
      </c>
      <c r="BM27" t="e">
        <f>AND(#REF!,"AAAAAB9/1UA=")</f>
        <v>#REF!</v>
      </c>
      <c r="BN27" t="e">
        <f>AND(#REF!,"AAAAAB9/1UE=")</f>
        <v>#REF!</v>
      </c>
      <c r="BO27" t="e">
        <f>AND(#REF!,"AAAAAB9/1UI=")</f>
        <v>#REF!</v>
      </c>
      <c r="BP27" t="e">
        <f>AND(#REF!,"AAAAAB9/1UM=")</f>
        <v>#REF!</v>
      </c>
      <c r="BQ27" t="e">
        <f>AND(#REF!,"AAAAAB9/1UQ=")</f>
        <v>#REF!</v>
      </c>
      <c r="BR27" t="e">
        <f>AND(#REF!,"AAAAAB9/1UU=")</f>
        <v>#REF!</v>
      </c>
      <c r="BS27" t="e">
        <f>IF(#REF!,"AAAAAB9/1UY=",0)</f>
        <v>#REF!</v>
      </c>
      <c r="BT27" t="e">
        <f>AND(#REF!,"AAAAAB9/1Uc=")</f>
        <v>#REF!</v>
      </c>
      <c r="BU27" t="e">
        <f>AND(#REF!,"AAAAAB9/1Ug=")</f>
        <v>#REF!</v>
      </c>
      <c r="BV27" t="e">
        <f>AND(#REF!,"AAAAAB9/1Uk=")</f>
        <v>#REF!</v>
      </c>
      <c r="BW27" t="e">
        <f>AND(#REF!,"AAAAAB9/1Uo=")</f>
        <v>#REF!</v>
      </c>
      <c r="BX27" t="e">
        <f>AND(#REF!,"AAAAAB9/1Us=")</f>
        <v>#REF!</v>
      </c>
      <c r="BY27" t="e">
        <f>AND(#REF!,"AAAAAB9/1Uw=")</f>
        <v>#REF!</v>
      </c>
      <c r="BZ27" t="e">
        <f>AND(#REF!,"AAAAAB9/1U0=")</f>
        <v>#REF!</v>
      </c>
      <c r="CA27" t="e">
        <f>AND(#REF!,"AAAAAB9/1U4=")</f>
        <v>#REF!</v>
      </c>
      <c r="CB27" t="e">
        <f>IF(#REF!,"AAAAAB9/1U8=",0)</f>
        <v>#REF!</v>
      </c>
      <c r="CC27" t="e">
        <f>AND(#REF!,"AAAAAB9/1VA=")</f>
        <v>#REF!</v>
      </c>
      <c r="CD27" t="e">
        <f>AND(#REF!,"AAAAAB9/1VE=")</f>
        <v>#REF!</v>
      </c>
      <c r="CE27" t="e">
        <f>AND(#REF!,"AAAAAB9/1VI=")</f>
        <v>#REF!</v>
      </c>
      <c r="CF27" t="e">
        <f>AND(#REF!,"AAAAAB9/1VM=")</f>
        <v>#REF!</v>
      </c>
      <c r="CG27" t="e">
        <f>AND(#REF!,"AAAAAB9/1VQ=")</f>
        <v>#REF!</v>
      </c>
      <c r="CH27" t="e">
        <f>AND(#REF!,"AAAAAB9/1VU=")</f>
        <v>#REF!</v>
      </c>
      <c r="CI27" t="e">
        <f>AND(#REF!,"AAAAAB9/1VY=")</f>
        <v>#REF!</v>
      </c>
      <c r="CJ27" t="e">
        <f>AND(#REF!,"AAAAAB9/1Vc=")</f>
        <v>#REF!</v>
      </c>
      <c r="CK27" t="e">
        <f>IF(#REF!,"AAAAAB9/1Vg=",0)</f>
        <v>#REF!</v>
      </c>
      <c r="CL27" t="e">
        <f>AND(#REF!,"AAAAAB9/1Vk=")</f>
        <v>#REF!</v>
      </c>
      <c r="CM27" t="e">
        <f>AND(#REF!,"AAAAAB9/1Vo=")</f>
        <v>#REF!</v>
      </c>
      <c r="CN27" t="e">
        <f>AND(#REF!,"AAAAAB9/1Vs=")</f>
        <v>#REF!</v>
      </c>
      <c r="CO27" t="e">
        <f>AND(#REF!,"AAAAAB9/1Vw=")</f>
        <v>#REF!</v>
      </c>
      <c r="CP27" t="e">
        <f>AND(#REF!,"AAAAAB9/1V0=")</f>
        <v>#REF!</v>
      </c>
      <c r="CQ27" t="e">
        <f>AND(#REF!,"AAAAAB9/1V4=")</f>
        <v>#REF!</v>
      </c>
      <c r="CR27" t="e">
        <f>AND(#REF!,"AAAAAB9/1V8=")</f>
        <v>#REF!</v>
      </c>
      <c r="CS27" t="e">
        <f>AND(#REF!,"AAAAAB9/1WA=")</f>
        <v>#REF!</v>
      </c>
      <c r="CT27" t="e">
        <f>IF(#REF!,"AAAAAB9/1WE=",0)</f>
        <v>#REF!</v>
      </c>
      <c r="CU27" t="e">
        <f>AND(#REF!,"AAAAAB9/1WI=")</f>
        <v>#REF!</v>
      </c>
      <c r="CV27" t="e">
        <f>AND(#REF!,"AAAAAB9/1WM=")</f>
        <v>#REF!</v>
      </c>
      <c r="CW27" t="e">
        <f>AND(#REF!,"AAAAAB9/1WQ=")</f>
        <v>#REF!</v>
      </c>
      <c r="CX27" t="e">
        <f>AND(#REF!,"AAAAAB9/1WU=")</f>
        <v>#REF!</v>
      </c>
      <c r="CY27" t="e">
        <f>AND(#REF!,"AAAAAB9/1WY=")</f>
        <v>#REF!</v>
      </c>
      <c r="CZ27" t="e">
        <f>AND(#REF!,"AAAAAB9/1Wc=")</f>
        <v>#REF!</v>
      </c>
      <c r="DA27" t="e">
        <f>AND(#REF!,"AAAAAB9/1Wg=")</f>
        <v>#REF!</v>
      </c>
      <c r="DB27" t="e">
        <f>AND(#REF!,"AAAAAB9/1Wk=")</f>
        <v>#REF!</v>
      </c>
      <c r="DC27" t="e">
        <f>IF(#REF!,"AAAAAB9/1Wo=",0)</f>
        <v>#REF!</v>
      </c>
      <c r="DD27" t="e">
        <f>AND(#REF!,"AAAAAB9/1Ws=")</f>
        <v>#REF!</v>
      </c>
      <c r="DE27" t="e">
        <f>AND(#REF!,"AAAAAB9/1Ww=")</f>
        <v>#REF!</v>
      </c>
      <c r="DF27" t="e">
        <f>AND(#REF!,"AAAAAB9/1W0=")</f>
        <v>#REF!</v>
      </c>
      <c r="DG27" t="e">
        <f>AND(#REF!,"AAAAAB9/1W4=")</f>
        <v>#REF!</v>
      </c>
      <c r="DH27" t="e">
        <f>AND(#REF!,"AAAAAB9/1W8=")</f>
        <v>#REF!</v>
      </c>
      <c r="DI27" t="e">
        <f>AND(#REF!,"AAAAAB9/1XA=")</f>
        <v>#REF!</v>
      </c>
      <c r="DJ27" t="e">
        <f>AND(#REF!,"AAAAAB9/1XE=")</f>
        <v>#REF!</v>
      </c>
      <c r="DK27" t="e">
        <f>AND(#REF!,"AAAAAB9/1XI=")</f>
        <v>#REF!</v>
      </c>
      <c r="DL27" t="e">
        <f>IF(#REF!,"AAAAAB9/1XM=",0)</f>
        <v>#REF!</v>
      </c>
      <c r="DM27" t="e">
        <f>AND(#REF!,"AAAAAB9/1XQ=")</f>
        <v>#REF!</v>
      </c>
      <c r="DN27" t="e">
        <f>AND(#REF!,"AAAAAB9/1XU=")</f>
        <v>#REF!</v>
      </c>
      <c r="DO27" t="e">
        <f>AND(#REF!,"AAAAAB9/1XY=")</f>
        <v>#REF!</v>
      </c>
      <c r="DP27" t="e">
        <f>AND(#REF!,"AAAAAB9/1Xc=")</f>
        <v>#REF!</v>
      </c>
      <c r="DQ27" t="e">
        <f>AND(#REF!,"AAAAAB9/1Xg=")</f>
        <v>#REF!</v>
      </c>
      <c r="DR27" t="e">
        <f>AND(#REF!,"AAAAAB9/1Xk=")</f>
        <v>#REF!</v>
      </c>
      <c r="DS27" t="e">
        <f>AND(#REF!,"AAAAAB9/1Xo=")</f>
        <v>#REF!</v>
      </c>
      <c r="DT27" t="e">
        <f>AND(#REF!,"AAAAAB9/1Xs=")</f>
        <v>#REF!</v>
      </c>
      <c r="DU27" t="e">
        <f>IF(#REF!,"AAAAAB9/1Xw=",0)</f>
        <v>#REF!</v>
      </c>
      <c r="DV27" t="e">
        <f>AND(#REF!,"AAAAAB9/1X0=")</f>
        <v>#REF!</v>
      </c>
      <c r="DW27" t="e">
        <f>AND(#REF!,"AAAAAB9/1X4=")</f>
        <v>#REF!</v>
      </c>
      <c r="DX27" t="e">
        <f>AND(#REF!,"AAAAAB9/1X8=")</f>
        <v>#REF!</v>
      </c>
      <c r="DY27" t="e">
        <f>AND(#REF!,"AAAAAB9/1YA=")</f>
        <v>#REF!</v>
      </c>
      <c r="DZ27" t="e">
        <f>AND(#REF!,"AAAAAB9/1YE=")</f>
        <v>#REF!</v>
      </c>
      <c r="EA27" t="e">
        <f>AND(#REF!,"AAAAAB9/1YI=")</f>
        <v>#REF!</v>
      </c>
      <c r="EB27" t="e">
        <f>AND(#REF!,"AAAAAB9/1YM=")</f>
        <v>#REF!</v>
      </c>
      <c r="EC27" t="e">
        <f>AND(#REF!,"AAAAAB9/1YQ=")</f>
        <v>#REF!</v>
      </c>
      <c r="ED27" t="e">
        <f>IF(#REF!,"AAAAAB9/1YU=",0)</f>
        <v>#REF!</v>
      </c>
      <c r="EE27" t="e">
        <f>AND(#REF!,"AAAAAB9/1YY=")</f>
        <v>#REF!</v>
      </c>
      <c r="EF27" t="e">
        <f>AND(#REF!,"AAAAAB9/1Yc=")</f>
        <v>#REF!</v>
      </c>
      <c r="EG27" t="e">
        <f>AND(#REF!,"AAAAAB9/1Yg=")</f>
        <v>#REF!</v>
      </c>
      <c r="EH27" t="e">
        <f>AND(#REF!,"AAAAAB9/1Yk=")</f>
        <v>#REF!</v>
      </c>
      <c r="EI27" t="e">
        <f>AND(#REF!,"AAAAAB9/1Yo=")</f>
        <v>#REF!</v>
      </c>
      <c r="EJ27" t="e">
        <f>AND(#REF!,"AAAAAB9/1Ys=")</f>
        <v>#REF!</v>
      </c>
      <c r="EK27" t="e">
        <f>AND(#REF!,"AAAAAB9/1Yw=")</f>
        <v>#REF!</v>
      </c>
      <c r="EL27" t="e">
        <f>AND(#REF!,"AAAAAB9/1Y0=")</f>
        <v>#REF!</v>
      </c>
      <c r="EM27" t="e">
        <f>IF(#REF!,"AAAAAB9/1Y4=",0)</f>
        <v>#REF!</v>
      </c>
      <c r="EN27" t="e">
        <f>AND(#REF!,"AAAAAB9/1Y8=")</f>
        <v>#REF!</v>
      </c>
      <c r="EO27" t="e">
        <f>AND(#REF!,"AAAAAB9/1ZA=")</f>
        <v>#REF!</v>
      </c>
      <c r="EP27" t="e">
        <f>AND(#REF!,"AAAAAB9/1ZE=")</f>
        <v>#REF!</v>
      </c>
      <c r="EQ27" t="e">
        <f>AND(#REF!,"AAAAAB9/1ZI=")</f>
        <v>#REF!</v>
      </c>
      <c r="ER27" t="e">
        <f>AND(#REF!,"AAAAAB9/1ZM=")</f>
        <v>#REF!</v>
      </c>
      <c r="ES27" t="e">
        <f>AND(#REF!,"AAAAAB9/1ZQ=")</f>
        <v>#REF!</v>
      </c>
      <c r="ET27" t="e">
        <f>AND(#REF!,"AAAAAB9/1ZU=")</f>
        <v>#REF!</v>
      </c>
      <c r="EU27" t="e">
        <f>AND(#REF!,"AAAAAB9/1ZY=")</f>
        <v>#REF!</v>
      </c>
      <c r="EV27" t="e">
        <f>IF(#REF!,"AAAAAB9/1Zc=",0)</f>
        <v>#REF!</v>
      </c>
      <c r="EW27" t="e">
        <f>AND(#REF!,"AAAAAB9/1Zg=")</f>
        <v>#REF!</v>
      </c>
      <c r="EX27" t="e">
        <f>AND(#REF!,"AAAAAB9/1Zk=")</f>
        <v>#REF!</v>
      </c>
      <c r="EY27" t="e">
        <f>AND(#REF!,"AAAAAB9/1Zo=")</f>
        <v>#REF!</v>
      </c>
      <c r="EZ27" t="e">
        <f>AND(#REF!,"AAAAAB9/1Zs=")</f>
        <v>#REF!</v>
      </c>
      <c r="FA27" t="e">
        <f>AND(#REF!,"AAAAAB9/1Zw=")</f>
        <v>#REF!</v>
      </c>
      <c r="FB27" t="e">
        <f>AND(#REF!,"AAAAAB9/1Z0=")</f>
        <v>#REF!</v>
      </c>
      <c r="FC27" t="e">
        <f>AND(#REF!,"AAAAAB9/1Z4=")</f>
        <v>#REF!</v>
      </c>
      <c r="FD27" t="e">
        <f>AND(#REF!,"AAAAAB9/1Z8=")</f>
        <v>#REF!</v>
      </c>
      <c r="FE27" t="e">
        <f>IF(#REF!,"AAAAAB9/1aA=",0)</f>
        <v>#REF!</v>
      </c>
      <c r="FF27" t="e">
        <f>AND(#REF!,"AAAAAB9/1aE=")</f>
        <v>#REF!</v>
      </c>
      <c r="FG27" t="e">
        <f>AND(#REF!,"AAAAAB9/1aI=")</f>
        <v>#REF!</v>
      </c>
      <c r="FH27" t="e">
        <f>AND(#REF!,"AAAAAB9/1aM=")</f>
        <v>#REF!</v>
      </c>
      <c r="FI27" t="e">
        <f>AND(#REF!,"AAAAAB9/1aQ=")</f>
        <v>#REF!</v>
      </c>
      <c r="FJ27" t="e">
        <f>AND(#REF!,"AAAAAB9/1aU=")</f>
        <v>#REF!</v>
      </c>
      <c r="FK27" t="e">
        <f>AND(#REF!,"AAAAAB9/1aY=")</f>
        <v>#REF!</v>
      </c>
      <c r="FL27" t="e">
        <f>AND(#REF!,"AAAAAB9/1ac=")</f>
        <v>#REF!</v>
      </c>
      <c r="FM27" t="e">
        <f>AND(#REF!,"AAAAAB9/1ag=")</f>
        <v>#REF!</v>
      </c>
      <c r="FN27" t="e">
        <f>IF(#REF!,"AAAAAB9/1ak=",0)</f>
        <v>#REF!</v>
      </c>
      <c r="FO27" t="e">
        <f>AND(#REF!,"AAAAAB9/1ao=")</f>
        <v>#REF!</v>
      </c>
      <c r="FP27" t="e">
        <f>AND(#REF!,"AAAAAB9/1as=")</f>
        <v>#REF!</v>
      </c>
      <c r="FQ27" t="e">
        <f>AND(#REF!,"AAAAAB9/1aw=")</f>
        <v>#REF!</v>
      </c>
      <c r="FR27" t="e">
        <f>AND(#REF!,"AAAAAB9/1a0=")</f>
        <v>#REF!</v>
      </c>
      <c r="FS27" t="e">
        <f>AND(#REF!,"AAAAAB9/1a4=")</f>
        <v>#REF!</v>
      </c>
      <c r="FT27" t="e">
        <f>AND(#REF!,"AAAAAB9/1a8=")</f>
        <v>#REF!</v>
      </c>
      <c r="FU27" t="e">
        <f>AND(#REF!,"AAAAAB9/1bA=")</f>
        <v>#REF!</v>
      </c>
      <c r="FV27" t="e">
        <f>AND(#REF!,"AAAAAB9/1bE=")</f>
        <v>#REF!</v>
      </c>
      <c r="FW27" t="e">
        <f>IF(#REF!,"AAAAAB9/1bI=",0)</f>
        <v>#REF!</v>
      </c>
      <c r="FX27" t="e">
        <f>AND(#REF!,"AAAAAB9/1bM=")</f>
        <v>#REF!</v>
      </c>
      <c r="FY27" t="e">
        <f>AND(#REF!,"AAAAAB9/1bQ=")</f>
        <v>#REF!</v>
      </c>
      <c r="FZ27" t="e">
        <f>AND(#REF!,"AAAAAB9/1bU=")</f>
        <v>#REF!</v>
      </c>
      <c r="GA27" t="e">
        <f>AND(#REF!,"AAAAAB9/1bY=")</f>
        <v>#REF!</v>
      </c>
      <c r="GB27" t="e">
        <f>AND(#REF!,"AAAAAB9/1bc=")</f>
        <v>#REF!</v>
      </c>
      <c r="GC27" t="e">
        <f>AND(#REF!,"AAAAAB9/1bg=")</f>
        <v>#REF!</v>
      </c>
      <c r="GD27" t="e">
        <f>AND(#REF!,"AAAAAB9/1bk=")</f>
        <v>#REF!</v>
      </c>
      <c r="GE27" t="e">
        <f>AND(#REF!,"AAAAAB9/1bo=")</f>
        <v>#REF!</v>
      </c>
      <c r="GF27" t="e">
        <f>IF(#REF!,"AAAAAB9/1bs=",0)</f>
        <v>#REF!</v>
      </c>
      <c r="GG27" t="e">
        <f>AND(#REF!,"AAAAAB9/1bw=")</f>
        <v>#REF!</v>
      </c>
      <c r="GH27" t="e">
        <f>AND(#REF!,"AAAAAB9/1b0=")</f>
        <v>#REF!</v>
      </c>
      <c r="GI27" t="e">
        <f>AND(#REF!,"AAAAAB9/1b4=")</f>
        <v>#REF!</v>
      </c>
      <c r="GJ27" t="e">
        <f>AND(#REF!,"AAAAAB9/1b8=")</f>
        <v>#REF!</v>
      </c>
      <c r="GK27" t="e">
        <f>AND(#REF!,"AAAAAB9/1cA=")</f>
        <v>#REF!</v>
      </c>
      <c r="GL27" t="e">
        <f>AND(#REF!,"AAAAAB9/1cE=")</f>
        <v>#REF!</v>
      </c>
      <c r="GM27" t="e">
        <f>AND(#REF!,"AAAAAB9/1cI=")</f>
        <v>#REF!</v>
      </c>
      <c r="GN27" t="e">
        <f>AND(#REF!,"AAAAAB9/1cM=")</f>
        <v>#REF!</v>
      </c>
      <c r="GO27" t="e">
        <f>IF(#REF!,"AAAAAB9/1cQ=",0)</f>
        <v>#REF!</v>
      </c>
      <c r="GP27" t="e">
        <f>AND(#REF!,"AAAAAB9/1cU=")</f>
        <v>#REF!</v>
      </c>
      <c r="GQ27" t="e">
        <f>AND(#REF!,"AAAAAB9/1cY=")</f>
        <v>#REF!</v>
      </c>
      <c r="GR27" t="e">
        <f>AND(#REF!,"AAAAAB9/1cc=")</f>
        <v>#REF!</v>
      </c>
      <c r="GS27" t="e">
        <f>AND(#REF!,"AAAAAB9/1cg=")</f>
        <v>#REF!</v>
      </c>
      <c r="GT27" t="e">
        <f>AND(#REF!,"AAAAAB9/1ck=")</f>
        <v>#REF!</v>
      </c>
      <c r="GU27" t="e">
        <f>AND(#REF!,"AAAAAB9/1co=")</f>
        <v>#REF!</v>
      </c>
      <c r="GV27" t="e">
        <f>AND(#REF!,"AAAAAB9/1cs=")</f>
        <v>#REF!</v>
      </c>
      <c r="GW27" t="e">
        <f>AND(#REF!,"AAAAAB9/1cw=")</f>
        <v>#REF!</v>
      </c>
      <c r="GX27" t="e">
        <f>IF(#REF!,"AAAAAB9/1c0=",0)</f>
        <v>#REF!</v>
      </c>
      <c r="GY27" t="e">
        <f>AND(#REF!,"AAAAAB9/1c4=")</f>
        <v>#REF!</v>
      </c>
      <c r="GZ27" t="e">
        <f>AND(#REF!,"AAAAAB9/1c8=")</f>
        <v>#REF!</v>
      </c>
      <c r="HA27" t="e">
        <f>AND(#REF!,"AAAAAB9/1dA=")</f>
        <v>#REF!</v>
      </c>
      <c r="HB27" t="e">
        <f>AND(#REF!,"AAAAAB9/1dE=")</f>
        <v>#REF!</v>
      </c>
      <c r="HC27" t="e">
        <f>AND(#REF!,"AAAAAB9/1dI=")</f>
        <v>#REF!</v>
      </c>
      <c r="HD27" t="e">
        <f>AND(#REF!,"AAAAAB9/1dM=")</f>
        <v>#REF!</v>
      </c>
      <c r="HE27" t="e">
        <f>AND(#REF!,"AAAAAB9/1dQ=")</f>
        <v>#REF!</v>
      </c>
      <c r="HF27" t="e">
        <f>AND(#REF!,"AAAAAB9/1dU=")</f>
        <v>#REF!</v>
      </c>
      <c r="HG27" t="e">
        <f>IF(#REF!,"AAAAAB9/1dY=",0)</f>
        <v>#REF!</v>
      </c>
      <c r="HH27" t="e">
        <f>AND(#REF!,"AAAAAB9/1dc=")</f>
        <v>#REF!</v>
      </c>
      <c r="HI27" t="e">
        <f>AND(#REF!,"AAAAAB9/1dg=")</f>
        <v>#REF!</v>
      </c>
      <c r="HJ27" t="e">
        <f>AND(#REF!,"AAAAAB9/1dk=")</f>
        <v>#REF!</v>
      </c>
      <c r="HK27" t="e">
        <f>AND(#REF!,"AAAAAB9/1do=")</f>
        <v>#REF!</v>
      </c>
      <c r="HL27" t="e">
        <f>AND(#REF!,"AAAAAB9/1ds=")</f>
        <v>#REF!</v>
      </c>
      <c r="HM27" t="e">
        <f>AND(#REF!,"AAAAAB9/1dw=")</f>
        <v>#REF!</v>
      </c>
      <c r="HN27" t="e">
        <f>AND(#REF!,"AAAAAB9/1d0=")</f>
        <v>#REF!</v>
      </c>
      <c r="HO27" t="e">
        <f>AND(#REF!,"AAAAAB9/1d4=")</f>
        <v>#REF!</v>
      </c>
      <c r="HP27" t="e">
        <f>IF(#REF!,"AAAAAB9/1d8=",0)</f>
        <v>#REF!</v>
      </c>
      <c r="HQ27" t="e">
        <f>AND(#REF!,"AAAAAB9/1eA=")</f>
        <v>#REF!</v>
      </c>
      <c r="HR27" t="e">
        <f>AND(#REF!,"AAAAAB9/1eE=")</f>
        <v>#REF!</v>
      </c>
      <c r="HS27" t="e">
        <f>AND(#REF!,"AAAAAB9/1eI=")</f>
        <v>#REF!</v>
      </c>
      <c r="HT27" t="e">
        <f>AND(#REF!,"AAAAAB9/1eM=")</f>
        <v>#REF!</v>
      </c>
      <c r="HU27" t="e">
        <f>AND(#REF!,"AAAAAB9/1eQ=")</f>
        <v>#REF!</v>
      </c>
      <c r="HV27" t="e">
        <f>AND(#REF!,"AAAAAB9/1eU=")</f>
        <v>#REF!</v>
      </c>
      <c r="HW27" t="e">
        <f>AND(#REF!,"AAAAAB9/1eY=")</f>
        <v>#REF!</v>
      </c>
      <c r="HX27" t="e">
        <f>AND(#REF!,"AAAAAB9/1ec=")</f>
        <v>#REF!</v>
      </c>
      <c r="HY27" t="e">
        <f>IF(#REF!,"AAAAAB9/1eg=",0)</f>
        <v>#REF!</v>
      </c>
      <c r="HZ27" t="e">
        <f>AND(#REF!,"AAAAAB9/1ek=")</f>
        <v>#REF!</v>
      </c>
      <c r="IA27" t="e">
        <f>AND(#REF!,"AAAAAB9/1eo=")</f>
        <v>#REF!</v>
      </c>
      <c r="IB27" t="e">
        <f>AND(#REF!,"AAAAAB9/1es=")</f>
        <v>#REF!</v>
      </c>
      <c r="IC27" t="e">
        <f>AND(#REF!,"AAAAAB9/1ew=")</f>
        <v>#REF!</v>
      </c>
      <c r="ID27" t="e">
        <f>AND(#REF!,"AAAAAB9/1e0=")</f>
        <v>#REF!</v>
      </c>
      <c r="IE27" t="e">
        <f>AND(#REF!,"AAAAAB9/1e4=")</f>
        <v>#REF!</v>
      </c>
      <c r="IF27" t="e">
        <f>AND(#REF!,"AAAAAB9/1e8=")</f>
        <v>#REF!</v>
      </c>
      <c r="IG27" t="e">
        <f>AND(#REF!,"AAAAAB9/1fA=")</f>
        <v>#REF!</v>
      </c>
      <c r="IH27" t="e">
        <f>IF(#REF!,"AAAAAB9/1fE=",0)</f>
        <v>#REF!</v>
      </c>
      <c r="II27" t="e">
        <f>AND(#REF!,"AAAAAB9/1fI=")</f>
        <v>#REF!</v>
      </c>
      <c r="IJ27" t="e">
        <f>AND(#REF!,"AAAAAB9/1fM=")</f>
        <v>#REF!</v>
      </c>
      <c r="IK27" t="e">
        <f>AND(#REF!,"AAAAAB9/1fQ=")</f>
        <v>#REF!</v>
      </c>
      <c r="IL27" t="e">
        <f>AND(#REF!,"AAAAAB9/1fU=")</f>
        <v>#REF!</v>
      </c>
      <c r="IM27" t="e">
        <f>AND(#REF!,"AAAAAB9/1fY=")</f>
        <v>#REF!</v>
      </c>
      <c r="IN27" t="e">
        <f>AND(#REF!,"AAAAAB9/1fc=")</f>
        <v>#REF!</v>
      </c>
      <c r="IO27" t="e">
        <f>AND(#REF!,"AAAAAB9/1fg=")</f>
        <v>#REF!</v>
      </c>
      <c r="IP27" t="e">
        <f>AND(#REF!,"AAAAAB9/1fk=")</f>
        <v>#REF!</v>
      </c>
      <c r="IQ27" t="e">
        <f>IF(#REF!,"AAAAAB9/1fo=",0)</f>
        <v>#REF!</v>
      </c>
      <c r="IR27" t="e">
        <f>AND(#REF!,"AAAAAB9/1fs=")</f>
        <v>#REF!</v>
      </c>
      <c r="IS27" t="e">
        <f>AND(#REF!,"AAAAAB9/1fw=")</f>
        <v>#REF!</v>
      </c>
      <c r="IT27" t="e">
        <f>AND(#REF!,"AAAAAB9/1f0=")</f>
        <v>#REF!</v>
      </c>
      <c r="IU27" t="e">
        <f>AND(#REF!,"AAAAAB9/1f4=")</f>
        <v>#REF!</v>
      </c>
      <c r="IV27" t="e">
        <f>AND(#REF!,"AAAAAB9/1f8=")</f>
        <v>#REF!</v>
      </c>
    </row>
    <row r="28" spans="1:256" x14ac:dyDescent="0.2">
      <c r="A28" t="e">
        <f>AND(#REF!,"AAAAAH/+tQA=")</f>
        <v>#REF!</v>
      </c>
      <c r="B28" t="e">
        <f>AND(#REF!,"AAAAAH/+tQE=")</f>
        <v>#REF!</v>
      </c>
      <c r="C28" t="e">
        <f>AND(#REF!,"AAAAAH/+tQI=")</f>
        <v>#REF!</v>
      </c>
      <c r="D28" t="e">
        <f>IF(#REF!,"AAAAAH/+tQM=",0)</f>
        <v>#REF!</v>
      </c>
      <c r="E28" t="e">
        <f>AND(#REF!,"AAAAAH/+tQQ=")</f>
        <v>#REF!</v>
      </c>
      <c r="F28" t="e">
        <f>AND(#REF!,"AAAAAH/+tQU=")</f>
        <v>#REF!</v>
      </c>
      <c r="G28" t="e">
        <f>AND(#REF!,"AAAAAH/+tQY=")</f>
        <v>#REF!</v>
      </c>
      <c r="H28" t="e">
        <f>AND(#REF!,"AAAAAH/+tQc=")</f>
        <v>#REF!</v>
      </c>
      <c r="I28" t="e">
        <f>AND(#REF!,"AAAAAH/+tQg=")</f>
        <v>#REF!</v>
      </c>
      <c r="J28" t="e">
        <f>AND(#REF!,"AAAAAH/+tQk=")</f>
        <v>#REF!</v>
      </c>
      <c r="K28" t="e">
        <f>AND(#REF!,"AAAAAH/+tQo=")</f>
        <v>#REF!</v>
      </c>
      <c r="L28" t="e">
        <f>AND(#REF!,"AAAAAH/+tQs=")</f>
        <v>#REF!</v>
      </c>
      <c r="M28" t="e">
        <f>IF(#REF!,"AAAAAH/+tQw=",0)</f>
        <v>#REF!</v>
      </c>
      <c r="N28" t="e">
        <f>AND(#REF!,"AAAAAH/+tQ0=")</f>
        <v>#REF!</v>
      </c>
      <c r="O28" t="e">
        <f>AND(#REF!,"AAAAAH/+tQ4=")</f>
        <v>#REF!</v>
      </c>
      <c r="P28" t="e">
        <f>AND(#REF!,"AAAAAH/+tQ8=")</f>
        <v>#REF!</v>
      </c>
      <c r="Q28" t="e">
        <f>AND(#REF!,"AAAAAH/+tRA=")</f>
        <v>#REF!</v>
      </c>
      <c r="R28" t="e">
        <f>AND(#REF!,"AAAAAH/+tRE=")</f>
        <v>#REF!</v>
      </c>
      <c r="S28" t="e">
        <f>AND(#REF!,"AAAAAH/+tRI=")</f>
        <v>#REF!</v>
      </c>
      <c r="T28" t="e">
        <f>AND(#REF!,"AAAAAH/+tRM=")</f>
        <v>#REF!</v>
      </c>
      <c r="U28" t="e">
        <f>AND(#REF!,"AAAAAH/+tRQ=")</f>
        <v>#REF!</v>
      </c>
      <c r="V28" t="e">
        <f>IF(#REF!,"AAAAAH/+tRU=",0)</f>
        <v>#REF!</v>
      </c>
      <c r="W28" t="e">
        <f>AND(#REF!,"AAAAAH/+tRY=")</f>
        <v>#REF!</v>
      </c>
      <c r="X28" t="e">
        <f>AND(#REF!,"AAAAAH/+tRc=")</f>
        <v>#REF!</v>
      </c>
      <c r="Y28" t="e">
        <f>AND(#REF!,"AAAAAH/+tRg=")</f>
        <v>#REF!</v>
      </c>
      <c r="Z28" t="e">
        <f>AND(#REF!,"AAAAAH/+tRk=")</f>
        <v>#REF!</v>
      </c>
      <c r="AA28" t="e">
        <f>AND(#REF!,"AAAAAH/+tRo=")</f>
        <v>#REF!</v>
      </c>
      <c r="AB28" t="e">
        <f>AND(#REF!,"AAAAAH/+tRs=")</f>
        <v>#REF!</v>
      </c>
      <c r="AC28" t="e">
        <f>AND(#REF!,"AAAAAH/+tRw=")</f>
        <v>#REF!</v>
      </c>
      <c r="AD28" t="e">
        <f>AND(#REF!,"AAAAAH/+tR0=")</f>
        <v>#REF!</v>
      </c>
      <c r="AE28" t="e">
        <f>IF(#REF!,"AAAAAH/+tR4=",0)</f>
        <v>#REF!</v>
      </c>
      <c r="AF28" t="e">
        <f>AND(#REF!,"AAAAAH/+tR8=")</f>
        <v>#REF!</v>
      </c>
      <c r="AG28" t="e">
        <f>AND(#REF!,"AAAAAH/+tSA=")</f>
        <v>#REF!</v>
      </c>
      <c r="AH28" t="e">
        <f>AND(#REF!,"AAAAAH/+tSE=")</f>
        <v>#REF!</v>
      </c>
      <c r="AI28" t="e">
        <f>AND(#REF!,"AAAAAH/+tSI=")</f>
        <v>#REF!</v>
      </c>
      <c r="AJ28" t="e">
        <f>AND(#REF!,"AAAAAH/+tSM=")</f>
        <v>#REF!</v>
      </c>
      <c r="AK28" t="e">
        <f>AND(#REF!,"AAAAAH/+tSQ=")</f>
        <v>#REF!</v>
      </c>
      <c r="AL28" t="e">
        <f>AND(#REF!,"AAAAAH/+tSU=")</f>
        <v>#REF!</v>
      </c>
      <c r="AM28" t="e">
        <f>AND(#REF!,"AAAAAH/+tSY=")</f>
        <v>#REF!</v>
      </c>
      <c r="AN28" t="e">
        <f>IF(#REF!,"AAAAAH/+tSc=",0)</f>
        <v>#REF!</v>
      </c>
      <c r="AO28" t="e">
        <f>AND(#REF!,"AAAAAH/+tSg=")</f>
        <v>#REF!</v>
      </c>
      <c r="AP28" t="e">
        <f>AND(#REF!,"AAAAAH/+tSk=")</f>
        <v>#REF!</v>
      </c>
      <c r="AQ28" t="e">
        <f>AND(#REF!,"AAAAAH/+tSo=")</f>
        <v>#REF!</v>
      </c>
      <c r="AR28" t="e">
        <f>AND(#REF!,"AAAAAH/+tSs=")</f>
        <v>#REF!</v>
      </c>
      <c r="AS28" t="e">
        <f>AND(#REF!,"AAAAAH/+tSw=")</f>
        <v>#REF!</v>
      </c>
      <c r="AT28" t="e">
        <f>AND(#REF!,"AAAAAH/+tS0=")</f>
        <v>#REF!</v>
      </c>
      <c r="AU28" t="e">
        <f>AND(#REF!,"AAAAAH/+tS4=")</f>
        <v>#REF!</v>
      </c>
      <c r="AV28" t="e">
        <f>AND(#REF!,"AAAAAH/+tS8=")</f>
        <v>#REF!</v>
      </c>
      <c r="AW28" t="e">
        <f>IF(#REF!,"AAAAAH/+tTA=",0)</f>
        <v>#REF!</v>
      </c>
      <c r="AX28" t="e">
        <f>AND(#REF!,"AAAAAH/+tTE=")</f>
        <v>#REF!</v>
      </c>
      <c r="AY28" t="e">
        <f>AND(#REF!,"AAAAAH/+tTI=")</f>
        <v>#REF!</v>
      </c>
      <c r="AZ28" t="e">
        <f>AND(#REF!,"AAAAAH/+tTM=")</f>
        <v>#REF!</v>
      </c>
      <c r="BA28" t="e">
        <f>AND(#REF!,"AAAAAH/+tTQ=")</f>
        <v>#REF!</v>
      </c>
      <c r="BB28" t="e">
        <f>AND(#REF!,"AAAAAH/+tTU=")</f>
        <v>#REF!</v>
      </c>
      <c r="BC28" t="e">
        <f>AND(#REF!,"AAAAAH/+tTY=")</f>
        <v>#REF!</v>
      </c>
      <c r="BD28" t="e">
        <f>AND(#REF!,"AAAAAH/+tTc=")</f>
        <v>#REF!</v>
      </c>
      <c r="BE28" t="e">
        <f>AND(#REF!,"AAAAAH/+tTg=")</f>
        <v>#REF!</v>
      </c>
      <c r="BF28" t="e">
        <f>IF(#REF!,"AAAAAH/+tTk=",0)</f>
        <v>#REF!</v>
      </c>
      <c r="BG28" t="e">
        <f>AND(#REF!,"AAAAAH/+tTo=")</f>
        <v>#REF!</v>
      </c>
      <c r="BH28" t="e">
        <f>AND(#REF!,"AAAAAH/+tTs=")</f>
        <v>#REF!</v>
      </c>
      <c r="BI28" t="e">
        <f>AND(#REF!,"AAAAAH/+tTw=")</f>
        <v>#REF!</v>
      </c>
      <c r="BJ28" t="e">
        <f>AND(#REF!,"AAAAAH/+tT0=")</f>
        <v>#REF!</v>
      </c>
      <c r="BK28" t="e">
        <f>AND(#REF!,"AAAAAH/+tT4=")</f>
        <v>#REF!</v>
      </c>
      <c r="BL28" t="e">
        <f>AND(#REF!,"AAAAAH/+tT8=")</f>
        <v>#REF!</v>
      </c>
      <c r="BM28" t="e">
        <f>AND(#REF!,"AAAAAH/+tUA=")</f>
        <v>#REF!</v>
      </c>
      <c r="BN28" t="e">
        <f>AND(#REF!,"AAAAAH/+tUE=")</f>
        <v>#REF!</v>
      </c>
      <c r="BO28" t="e">
        <f>IF(#REF!,"AAAAAH/+tUI=",0)</f>
        <v>#REF!</v>
      </c>
      <c r="BP28" t="e">
        <f>AND(#REF!,"AAAAAH/+tUM=")</f>
        <v>#REF!</v>
      </c>
      <c r="BQ28" t="e">
        <f>AND(#REF!,"AAAAAH/+tUQ=")</f>
        <v>#REF!</v>
      </c>
      <c r="BR28" t="e">
        <f>AND(#REF!,"AAAAAH/+tUU=")</f>
        <v>#REF!</v>
      </c>
      <c r="BS28" t="e">
        <f>AND(#REF!,"AAAAAH/+tUY=")</f>
        <v>#REF!</v>
      </c>
      <c r="BT28" t="e">
        <f>AND(#REF!,"AAAAAH/+tUc=")</f>
        <v>#REF!</v>
      </c>
      <c r="BU28" t="e">
        <f>AND(#REF!,"AAAAAH/+tUg=")</f>
        <v>#REF!</v>
      </c>
      <c r="BV28" t="e">
        <f>AND(#REF!,"AAAAAH/+tUk=")</f>
        <v>#REF!</v>
      </c>
      <c r="BW28" t="e">
        <f>AND(#REF!,"AAAAAH/+tUo=")</f>
        <v>#REF!</v>
      </c>
      <c r="BX28" t="e">
        <f>IF(#REF!,"AAAAAH/+tUs=",0)</f>
        <v>#REF!</v>
      </c>
      <c r="BY28" t="e">
        <f>AND(#REF!,"AAAAAH/+tUw=")</f>
        <v>#REF!</v>
      </c>
      <c r="BZ28" t="e">
        <f>AND(#REF!,"AAAAAH/+tU0=")</f>
        <v>#REF!</v>
      </c>
      <c r="CA28" t="e">
        <f>AND(#REF!,"AAAAAH/+tU4=")</f>
        <v>#REF!</v>
      </c>
      <c r="CB28" t="e">
        <f>AND(#REF!,"AAAAAH/+tU8=")</f>
        <v>#REF!</v>
      </c>
      <c r="CC28" t="e">
        <f>AND(#REF!,"AAAAAH/+tVA=")</f>
        <v>#REF!</v>
      </c>
      <c r="CD28" t="e">
        <f>AND(#REF!,"AAAAAH/+tVE=")</f>
        <v>#REF!</v>
      </c>
      <c r="CE28" t="e">
        <f>AND(#REF!,"AAAAAH/+tVI=")</f>
        <v>#REF!</v>
      </c>
      <c r="CF28" t="e">
        <f>AND(#REF!,"AAAAAH/+tVM=")</f>
        <v>#REF!</v>
      </c>
      <c r="CG28" t="e">
        <f>IF(#REF!,"AAAAAH/+tVQ=",0)</f>
        <v>#REF!</v>
      </c>
      <c r="CH28" t="e">
        <f>AND(#REF!,"AAAAAH/+tVU=")</f>
        <v>#REF!</v>
      </c>
      <c r="CI28" t="e">
        <f>AND(#REF!,"AAAAAH/+tVY=")</f>
        <v>#REF!</v>
      </c>
      <c r="CJ28" t="e">
        <f>AND(#REF!,"AAAAAH/+tVc=")</f>
        <v>#REF!</v>
      </c>
      <c r="CK28" t="e">
        <f>AND(#REF!,"AAAAAH/+tVg=")</f>
        <v>#REF!</v>
      </c>
      <c r="CL28" t="e">
        <f>AND(#REF!,"AAAAAH/+tVk=")</f>
        <v>#REF!</v>
      </c>
      <c r="CM28" t="e">
        <f>AND(#REF!,"AAAAAH/+tVo=")</f>
        <v>#REF!</v>
      </c>
      <c r="CN28" t="e">
        <f>AND(#REF!,"AAAAAH/+tVs=")</f>
        <v>#REF!</v>
      </c>
      <c r="CO28" t="e">
        <f>AND(#REF!,"AAAAAH/+tVw=")</f>
        <v>#REF!</v>
      </c>
      <c r="CP28" t="e">
        <f>IF(#REF!,"AAAAAH/+tV0=",0)</f>
        <v>#REF!</v>
      </c>
      <c r="CQ28" t="e">
        <f>AND(#REF!,"AAAAAH/+tV4=")</f>
        <v>#REF!</v>
      </c>
      <c r="CR28" t="e">
        <f>AND(#REF!,"AAAAAH/+tV8=")</f>
        <v>#REF!</v>
      </c>
      <c r="CS28" t="e">
        <f>AND(#REF!,"AAAAAH/+tWA=")</f>
        <v>#REF!</v>
      </c>
      <c r="CT28" t="e">
        <f>AND(#REF!,"AAAAAH/+tWE=")</f>
        <v>#REF!</v>
      </c>
      <c r="CU28" t="e">
        <f>AND(#REF!,"AAAAAH/+tWI=")</f>
        <v>#REF!</v>
      </c>
      <c r="CV28" t="e">
        <f>AND(#REF!,"AAAAAH/+tWM=")</f>
        <v>#REF!</v>
      </c>
      <c r="CW28" t="e">
        <f>AND(#REF!,"AAAAAH/+tWQ=")</f>
        <v>#REF!</v>
      </c>
      <c r="CX28" t="e">
        <f>AND(#REF!,"AAAAAH/+tWU=")</f>
        <v>#REF!</v>
      </c>
      <c r="CY28" t="e">
        <f>IF(#REF!,"AAAAAH/+tWY=",0)</f>
        <v>#REF!</v>
      </c>
      <c r="CZ28" t="e">
        <f>AND(#REF!,"AAAAAH/+tWc=")</f>
        <v>#REF!</v>
      </c>
      <c r="DA28" t="e">
        <f>AND(#REF!,"AAAAAH/+tWg=")</f>
        <v>#REF!</v>
      </c>
      <c r="DB28" t="e">
        <f>AND(#REF!,"AAAAAH/+tWk=")</f>
        <v>#REF!</v>
      </c>
      <c r="DC28" t="e">
        <f>AND(#REF!,"AAAAAH/+tWo=")</f>
        <v>#REF!</v>
      </c>
      <c r="DD28" t="e">
        <f>AND(#REF!,"AAAAAH/+tWs=")</f>
        <v>#REF!</v>
      </c>
      <c r="DE28" t="e">
        <f>AND(#REF!,"AAAAAH/+tWw=")</f>
        <v>#REF!</v>
      </c>
      <c r="DF28" t="e">
        <f>AND(#REF!,"AAAAAH/+tW0=")</f>
        <v>#REF!</v>
      </c>
      <c r="DG28" t="e">
        <f>AND(#REF!,"AAAAAH/+tW4=")</f>
        <v>#REF!</v>
      </c>
      <c r="DH28" t="e">
        <f>IF(#REF!,"AAAAAH/+tW8=",0)</f>
        <v>#REF!</v>
      </c>
      <c r="DI28" t="e">
        <f>AND(#REF!,"AAAAAH/+tXA=")</f>
        <v>#REF!</v>
      </c>
      <c r="DJ28" t="e">
        <f>AND(#REF!,"AAAAAH/+tXE=")</f>
        <v>#REF!</v>
      </c>
      <c r="DK28" t="e">
        <f>AND(#REF!,"AAAAAH/+tXI=")</f>
        <v>#REF!</v>
      </c>
      <c r="DL28" t="e">
        <f>AND(#REF!,"AAAAAH/+tXM=")</f>
        <v>#REF!</v>
      </c>
      <c r="DM28" t="e">
        <f>AND(#REF!,"AAAAAH/+tXQ=")</f>
        <v>#REF!</v>
      </c>
      <c r="DN28" t="e">
        <f>AND(#REF!,"AAAAAH/+tXU=")</f>
        <v>#REF!</v>
      </c>
      <c r="DO28" t="e">
        <f>AND(#REF!,"AAAAAH/+tXY=")</f>
        <v>#REF!</v>
      </c>
      <c r="DP28" t="e">
        <f>AND(#REF!,"AAAAAH/+tXc=")</f>
        <v>#REF!</v>
      </c>
      <c r="DQ28" t="e">
        <f>IF(#REF!,"AAAAAH/+tXg=",0)</f>
        <v>#REF!</v>
      </c>
      <c r="DR28" t="e">
        <f>AND(#REF!,"AAAAAH/+tXk=")</f>
        <v>#REF!</v>
      </c>
      <c r="DS28" t="e">
        <f>AND(#REF!,"AAAAAH/+tXo=")</f>
        <v>#REF!</v>
      </c>
      <c r="DT28" t="e">
        <f>AND(#REF!,"AAAAAH/+tXs=")</f>
        <v>#REF!</v>
      </c>
      <c r="DU28" t="e">
        <f>AND(#REF!,"AAAAAH/+tXw=")</f>
        <v>#REF!</v>
      </c>
      <c r="DV28" t="e">
        <f>AND(#REF!,"AAAAAH/+tX0=")</f>
        <v>#REF!</v>
      </c>
      <c r="DW28" t="e">
        <f>AND(#REF!,"AAAAAH/+tX4=")</f>
        <v>#REF!</v>
      </c>
      <c r="DX28" t="e">
        <f>AND(#REF!,"AAAAAH/+tX8=")</f>
        <v>#REF!</v>
      </c>
      <c r="DY28" t="e">
        <f>AND(#REF!,"AAAAAH/+tYA=")</f>
        <v>#REF!</v>
      </c>
      <c r="DZ28" t="e">
        <f>IF(#REF!,"AAAAAH/+tYE=",0)</f>
        <v>#REF!</v>
      </c>
      <c r="EA28" t="e">
        <f>AND(#REF!,"AAAAAH/+tYI=")</f>
        <v>#REF!</v>
      </c>
      <c r="EB28" t="e">
        <f>AND(#REF!,"AAAAAH/+tYM=")</f>
        <v>#REF!</v>
      </c>
      <c r="EC28" t="e">
        <f>AND(#REF!,"AAAAAH/+tYQ=")</f>
        <v>#REF!</v>
      </c>
      <c r="ED28" t="e">
        <f>AND(#REF!,"AAAAAH/+tYU=")</f>
        <v>#REF!</v>
      </c>
      <c r="EE28" t="e">
        <f>AND(#REF!,"AAAAAH/+tYY=")</f>
        <v>#REF!</v>
      </c>
      <c r="EF28" t="e">
        <f>AND(#REF!,"AAAAAH/+tYc=")</f>
        <v>#REF!</v>
      </c>
      <c r="EG28" t="e">
        <f>AND(#REF!,"AAAAAH/+tYg=")</f>
        <v>#REF!</v>
      </c>
      <c r="EH28" t="e">
        <f>AND(#REF!,"AAAAAH/+tYk=")</f>
        <v>#REF!</v>
      </c>
      <c r="EI28" t="e">
        <f>IF(#REF!,"AAAAAH/+tYo=",0)</f>
        <v>#REF!</v>
      </c>
      <c r="EJ28" t="e">
        <f>AND(#REF!,"AAAAAH/+tYs=")</f>
        <v>#REF!</v>
      </c>
      <c r="EK28" t="e">
        <f>AND(#REF!,"AAAAAH/+tYw=")</f>
        <v>#REF!</v>
      </c>
      <c r="EL28" t="e">
        <f>AND(#REF!,"AAAAAH/+tY0=")</f>
        <v>#REF!</v>
      </c>
      <c r="EM28" t="e">
        <f>AND(#REF!,"AAAAAH/+tY4=")</f>
        <v>#REF!</v>
      </c>
      <c r="EN28" t="e">
        <f>AND(#REF!,"AAAAAH/+tY8=")</f>
        <v>#REF!</v>
      </c>
      <c r="EO28" t="e">
        <f>AND(#REF!,"AAAAAH/+tZA=")</f>
        <v>#REF!</v>
      </c>
      <c r="EP28" t="e">
        <f>AND(#REF!,"AAAAAH/+tZE=")</f>
        <v>#REF!</v>
      </c>
      <c r="EQ28" t="e">
        <f>AND(#REF!,"AAAAAH/+tZI=")</f>
        <v>#REF!</v>
      </c>
      <c r="ER28" t="e">
        <f>IF(#REF!,"AAAAAH/+tZM=",0)</f>
        <v>#REF!</v>
      </c>
      <c r="ES28" t="e">
        <f>AND(#REF!,"AAAAAH/+tZQ=")</f>
        <v>#REF!</v>
      </c>
      <c r="ET28" t="e">
        <f>AND(#REF!,"AAAAAH/+tZU=")</f>
        <v>#REF!</v>
      </c>
      <c r="EU28" t="e">
        <f>AND(#REF!,"AAAAAH/+tZY=")</f>
        <v>#REF!</v>
      </c>
      <c r="EV28" t="e">
        <f>AND(#REF!,"AAAAAH/+tZc=")</f>
        <v>#REF!</v>
      </c>
      <c r="EW28" t="e">
        <f>AND(#REF!,"AAAAAH/+tZg=")</f>
        <v>#REF!</v>
      </c>
      <c r="EX28" t="e">
        <f>AND(#REF!,"AAAAAH/+tZk=")</f>
        <v>#REF!</v>
      </c>
      <c r="EY28" t="e">
        <f>AND(#REF!,"AAAAAH/+tZo=")</f>
        <v>#REF!</v>
      </c>
      <c r="EZ28" t="e">
        <f>AND(#REF!,"AAAAAH/+tZs=")</f>
        <v>#REF!</v>
      </c>
      <c r="FA28" t="e">
        <f>IF(#REF!,"AAAAAH/+tZw=",0)</f>
        <v>#REF!</v>
      </c>
      <c r="FB28" t="e">
        <f>AND(#REF!,"AAAAAH/+tZ0=")</f>
        <v>#REF!</v>
      </c>
      <c r="FC28" t="e">
        <f>AND(#REF!,"AAAAAH/+tZ4=")</f>
        <v>#REF!</v>
      </c>
      <c r="FD28" t="e">
        <f>AND(#REF!,"AAAAAH/+tZ8=")</f>
        <v>#REF!</v>
      </c>
      <c r="FE28" t="e">
        <f>AND(#REF!,"AAAAAH/+taA=")</f>
        <v>#REF!</v>
      </c>
      <c r="FF28" t="e">
        <f>AND(#REF!,"AAAAAH/+taE=")</f>
        <v>#REF!</v>
      </c>
      <c r="FG28" t="e">
        <f>AND(#REF!,"AAAAAH/+taI=")</f>
        <v>#REF!</v>
      </c>
      <c r="FH28" t="e">
        <f>AND(#REF!,"AAAAAH/+taM=")</f>
        <v>#REF!</v>
      </c>
      <c r="FI28" t="e">
        <f>AND(#REF!,"AAAAAH/+taQ=")</f>
        <v>#REF!</v>
      </c>
      <c r="FJ28" t="e">
        <f>IF(#REF!,"AAAAAH/+taU=",0)</f>
        <v>#REF!</v>
      </c>
      <c r="FK28" t="e">
        <f>AND(#REF!,"AAAAAH/+taY=")</f>
        <v>#REF!</v>
      </c>
      <c r="FL28" t="e">
        <f>AND(#REF!,"AAAAAH/+tac=")</f>
        <v>#REF!</v>
      </c>
      <c r="FM28" t="e">
        <f>AND(#REF!,"AAAAAH/+tag=")</f>
        <v>#REF!</v>
      </c>
      <c r="FN28" t="e">
        <f>AND(#REF!,"AAAAAH/+tak=")</f>
        <v>#REF!</v>
      </c>
      <c r="FO28" t="e">
        <f>AND(#REF!,"AAAAAH/+tao=")</f>
        <v>#REF!</v>
      </c>
      <c r="FP28" t="e">
        <f>AND(#REF!,"AAAAAH/+tas=")</f>
        <v>#REF!</v>
      </c>
      <c r="FQ28" t="e">
        <f>AND(#REF!,"AAAAAH/+taw=")</f>
        <v>#REF!</v>
      </c>
      <c r="FR28" t="e">
        <f>AND(#REF!,"AAAAAH/+ta0=")</f>
        <v>#REF!</v>
      </c>
      <c r="FS28" t="e">
        <f>IF(#REF!,"AAAAAH/+ta4=",0)</f>
        <v>#REF!</v>
      </c>
      <c r="FT28" t="e">
        <f>AND(#REF!,"AAAAAH/+ta8=")</f>
        <v>#REF!</v>
      </c>
      <c r="FU28" t="e">
        <f>AND(#REF!,"AAAAAH/+tbA=")</f>
        <v>#REF!</v>
      </c>
      <c r="FV28" t="e">
        <f>AND(#REF!,"AAAAAH/+tbE=")</f>
        <v>#REF!</v>
      </c>
      <c r="FW28" t="e">
        <f>AND(#REF!,"AAAAAH/+tbI=")</f>
        <v>#REF!</v>
      </c>
      <c r="FX28" t="e">
        <f>AND(#REF!,"AAAAAH/+tbM=")</f>
        <v>#REF!</v>
      </c>
      <c r="FY28" t="e">
        <f>AND(#REF!,"AAAAAH/+tbQ=")</f>
        <v>#REF!</v>
      </c>
      <c r="FZ28" t="e">
        <f>AND(#REF!,"AAAAAH/+tbU=")</f>
        <v>#REF!</v>
      </c>
      <c r="GA28" t="e">
        <f>AND(#REF!,"AAAAAH/+tbY=")</f>
        <v>#REF!</v>
      </c>
      <c r="GB28" t="e">
        <f>IF(#REF!,"AAAAAH/+tbc=",0)</f>
        <v>#REF!</v>
      </c>
      <c r="GC28" t="e">
        <f>AND(#REF!,"AAAAAH/+tbg=")</f>
        <v>#REF!</v>
      </c>
      <c r="GD28" t="e">
        <f>AND(#REF!,"AAAAAH/+tbk=")</f>
        <v>#REF!</v>
      </c>
      <c r="GE28" t="e">
        <f>AND(#REF!,"AAAAAH/+tbo=")</f>
        <v>#REF!</v>
      </c>
      <c r="GF28" t="e">
        <f>AND(#REF!,"AAAAAH/+tbs=")</f>
        <v>#REF!</v>
      </c>
      <c r="GG28" t="e">
        <f>AND(#REF!,"AAAAAH/+tbw=")</f>
        <v>#REF!</v>
      </c>
      <c r="GH28" t="e">
        <f>AND(#REF!,"AAAAAH/+tb0=")</f>
        <v>#REF!</v>
      </c>
      <c r="GI28" t="e">
        <f>AND(#REF!,"AAAAAH/+tb4=")</f>
        <v>#REF!</v>
      </c>
      <c r="GJ28" t="e">
        <f>AND(#REF!,"AAAAAH/+tb8=")</f>
        <v>#REF!</v>
      </c>
      <c r="GK28" t="e">
        <f>IF(#REF!,"AAAAAH/+tcA=",0)</f>
        <v>#REF!</v>
      </c>
      <c r="GL28" t="e">
        <f>AND(#REF!,"AAAAAH/+tcE=")</f>
        <v>#REF!</v>
      </c>
      <c r="GM28" t="e">
        <f>AND(#REF!,"AAAAAH/+tcI=")</f>
        <v>#REF!</v>
      </c>
      <c r="GN28" t="e">
        <f>AND(#REF!,"AAAAAH/+tcM=")</f>
        <v>#REF!</v>
      </c>
      <c r="GO28" t="e">
        <f>AND(#REF!,"AAAAAH/+tcQ=")</f>
        <v>#REF!</v>
      </c>
      <c r="GP28" t="e">
        <f>AND(#REF!,"AAAAAH/+tcU=")</f>
        <v>#REF!</v>
      </c>
      <c r="GQ28" t="e">
        <f>AND(#REF!,"AAAAAH/+tcY=")</f>
        <v>#REF!</v>
      </c>
      <c r="GR28" t="e">
        <f>AND(#REF!,"AAAAAH/+tcc=")</f>
        <v>#REF!</v>
      </c>
      <c r="GS28" t="e">
        <f>AND(#REF!,"AAAAAH/+tcg=")</f>
        <v>#REF!</v>
      </c>
      <c r="GT28" t="e">
        <f>IF(#REF!,"AAAAAH/+tck=",0)</f>
        <v>#REF!</v>
      </c>
      <c r="GU28" t="e">
        <f>AND(#REF!,"AAAAAH/+tco=")</f>
        <v>#REF!</v>
      </c>
      <c r="GV28" t="e">
        <f>AND(#REF!,"AAAAAH/+tcs=")</f>
        <v>#REF!</v>
      </c>
      <c r="GW28" t="e">
        <f>AND(#REF!,"AAAAAH/+tcw=")</f>
        <v>#REF!</v>
      </c>
      <c r="GX28" t="e">
        <f>AND(#REF!,"AAAAAH/+tc0=")</f>
        <v>#REF!</v>
      </c>
      <c r="GY28" t="e">
        <f>AND(#REF!,"AAAAAH/+tc4=")</f>
        <v>#REF!</v>
      </c>
      <c r="GZ28" t="e">
        <f>AND(#REF!,"AAAAAH/+tc8=")</f>
        <v>#REF!</v>
      </c>
      <c r="HA28" t="e">
        <f>AND(#REF!,"AAAAAH/+tdA=")</f>
        <v>#REF!</v>
      </c>
      <c r="HB28" t="e">
        <f>AND(#REF!,"AAAAAH/+tdE=")</f>
        <v>#REF!</v>
      </c>
      <c r="HC28" t="e">
        <f>IF(#REF!,"AAAAAH/+tdI=",0)</f>
        <v>#REF!</v>
      </c>
      <c r="HD28" t="e">
        <f>AND(#REF!,"AAAAAH/+tdM=")</f>
        <v>#REF!</v>
      </c>
      <c r="HE28" t="e">
        <f>AND(#REF!,"AAAAAH/+tdQ=")</f>
        <v>#REF!</v>
      </c>
      <c r="HF28" t="e">
        <f>AND(#REF!,"AAAAAH/+tdU=")</f>
        <v>#REF!</v>
      </c>
      <c r="HG28" t="e">
        <f>AND(#REF!,"AAAAAH/+tdY=")</f>
        <v>#REF!</v>
      </c>
      <c r="HH28" t="e">
        <f>AND(#REF!,"AAAAAH/+tdc=")</f>
        <v>#REF!</v>
      </c>
      <c r="HI28" t="e">
        <f>AND(#REF!,"AAAAAH/+tdg=")</f>
        <v>#REF!</v>
      </c>
      <c r="HJ28" t="e">
        <f>AND(#REF!,"AAAAAH/+tdk=")</f>
        <v>#REF!</v>
      </c>
      <c r="HK28" t="e">
        <f>AND(#REF!,"AAAAAH/+tdo=")</f>
        <v>#REF!</v>
      </c>
      <c r="HL28" t="e">
        <f>IF(#REF!,"AAAAAH/+tds=",0)</f>
        <v>#REF!</v>
      </c>
      <c r="HM28" t="e">
        <f>AND(#REF!,"AAAAAH/+tdw=")</f>
        <v>#REF!</v>
      </c>
      <c r="HN28" t="e">
        <f>AND(#REF!,"AAAAAH/+td0=")</f>
        <v>#REF!</v>
      </c>
      <c r="HO28" t="e">
        <f>AND(#REF!,"AAAAAH/+td4=")</f>
        <v>#REF!</v>
      </c>
      <c r="HP28" t="e">
        <f>AND(#REF!,"AAAAAH/+td8=")</f>
        <v>#REF!</v>
      </c>
      <c r="HQ28" t="e">
        <f>AND(#REF!,"AAAAAH/+teA=")</f>
        <v>#REF!</v>
      </c>
      <c r="HR28" t="e">
        <f>AND(#REF!,"AAAAAH/+teE=")</f>
        <v>#REF!</v>
      </c>
      <c r="HS28" t="e">
        <f>AND(#REF!,"AAAAAH/+teI=")</f>
        <v>#REF!</v>
      </c>
      <c r="HT28" t="e">
        <f>AND(#REF!,"AAAAAH/+teM=")</f>
        <v>#REF!</v>
      </c>
      <c r="HU28" t="e">
        <f>IF(#REF!,"AAAAAH/+teQ=",0)</f>
        <v>#REF!</v>
      </c>
      <c r="HV28" t="e">
        <f>AND(#REF!,"AAAAAH/+teU=")</f>
        <v>#REF!</v>
      </c>
      <c r="HW28" t="e">
        <f>AND(#REF!,"AAAAAH/+teY=")</f>
        <v>#REF!</v>
      </c>
      <c r="HX28" t="e">
        <f>AND(#REF!,"AAAAAH/+tec=")</f>
        <v>#REF!</v>
      </c>
      <c r="HY28" t="e">
        <f>AND(#REF!,"AAAAAH/+teg=")</f>
        <v>#REF!</v>
      </c>
      <c r="HZ28" t="e">
        <f>AND(#REF!,"AAAAAH/+tek=")</f>
        <v>#REF!</v>
      </c>
      <c r="IA28" t="e">
        <f>AND(#REF!,"AAAAAH/+teo=")</f>
        <v>#REF!</v>
      </c>
      <c r="IB28" t="e">
        <f>AND(#REF!,"AAAAAH/+tes=")</f>
        <v>#REF!</v>
      </c>
      <c r="IC28" t="e">
        <f>AND(#REF!,"AAAAAH/+tew=")</f>
        <v>#REF!</v>
      </c>
      <c r="ID28" t="e">
        <f>IF(#REF!,"AAAAAH/+te0=",0)</f>
        <v>#REF!</v>
      </c>
      <c r="IE28" t="e">
        <f>AND(#REF!,"AAAAAH/+te4=")</f>
        <v>#REF!</v>
      </c>
      <c r="IF28" t="e">
        <f>AND(#REF!,"AAAAAH/+te8=")</f>
        <v>#REF!</v>
      </c>
      <c r="IG28" t="e">
        <f>AND(#REF!,"AAAAAH/+tfA=")</f>
        <v>#REF!</v>
      </c>
      <c r="IH28" t="e">
        <f>AND(#REF!,"AAAAAH/+tfE=")</f>
        <v>#REF!</v>
      </c>
      <c r="II28" t="e">
        <f>AND(#REF!,"AAAAAH/+tfI=")</f>
        <v>#REF!</v>
      </c>
      <c r="IJ28" t="e">
        <f>AND(#REF!,"AAAAAH/+tfM=")</f>
        <v>#REF!</v>
      </c>
      <c r="IK28" t="e">
        <f>AND(#REF!,"AAAAAH/+tfQ=")</f>
        <v>#REF!</v>
      </c>
      <c r="IL28" t="e">
        <f>AND(#REF!,"AAAAAH/+tfU=")</f>
        <v>#REF!</v>
      </c>
      <c r="IM28" t="e">
        <f>IF(#REF!,"AAAAAH/+tfY=",0)</f>
        <v>#REF!</v>
      </c>
      <c r="IN28" t="e">
        <f>AND(#REF!,"AAAAAH/+tfc=")</f>
        <v>#REF!</v>
      </c>
      <c r="IO28" t="e">
        <f>AND(#REF!,"AAAAAH/+tfg=")</f>
        <v>#REF!</v>
      </c>
      <c r="IP28" t="e">
        <f>AND(#REF!,"AAAAAH/+tfk=")</f>
        <v>#REF!</v>
      </c>
      <c r="IQ28" t="e">
        <f>AND(#REF!,"AAAAAH/+tfo=")</f>
        <v>#REF!</v>
      </c>
      <c r="IR28" t="e">
        <f>AND(#REF!,"AAAAAH/+tfs=")</f>
        <v>#REF!</v>
      </c>
      <c r="IS28" t="e">
        <f>AND(#REF!,"AAAAAH/+tfw=")</f>
        <v>#REF!</v>
      </c>
      <c r="IT28" t="e">
        <f>AND(#REF!,"AAAAAH/+tf0=")</f>
        <v>#REF!</v>
      </c>
      <c r="IU28" t="e">
        <f>AND(#REF!,"AAAAAH/+tf4=")</f>
        <v>#REF!</v>
      </c>
      <c r="IV28" t="e">
        <f>IF(#REF!,"AAAAAH/+tf8=",0)</f>
        <v>#REF!</v>
      </c>
    </row>
    <row r="29" spans="1:256" x14ac:dyDescent="0.2">
      <c r="A29" t="e">
        <f>AND(#REF!,"AAAAAFWTmgA=")</f>
        <v>#REF!</v>
      </c>
      <c r="B29" t="e">
        <f>AND(#REF!,"AAAAAFWTmgE=")</f>
        <v>#REF!</v>
      </c>
      <c r="C29" t="e">
        <f>AND(#REF!,"AAAAAFWTmgI=")</f>
        <v>#REF!</v>
      </c>
      <c r="D29" t="e">
        <f>AND(#REF!,"AAAAAFWTmgM=")</f>
        <v>#REF!</v>
      </c>
      <c r="E29" t="e">
        <f>AND(#REF!,"AAAAAFWTmgQ=")</f>
        <v>#REF!</v>
      </c>
      <c r="F29" t="e">
        <f>AND(#REF!,"AAAAAFWTmgU=")</f>
        <v>#REF!</v>
      </c>
      <c r="G29" t="e">
        <f>AND(#REF!,"AAAAAFWTmgY=")</f>
        <v>#REF!</v>
      </c>
      <c r="H29" t="e">
        <f>AND(#REF!,"AAAAAFWTmgc=")</f>
        <v>#REF!</v>
      </c>
      <c r="I29" t="e">
        <f>IF(#REF!,"AAAAAFWTmgg=",0)</f>
        <v>#REF!</v>
      </c>
      <c r="J29" t="e">
        <f>AND(#REF!,"AAAAAFWTmgk=")</f>
        <v>#REF!</v>
      </c>
      <c r="K29" t="e">
        <f>AND(#REF!,"AAAAAFWTmgo=")</f>
        <v>#REF!</v>
      </c>
      <c r="L29" t="e">
        <f>AND(#REF!,"AAAAAFWTmgs=")</f>
        <v>#REF!</v>
      </c>
      <c r="M29" t="e">
        <f>AND(#REF!,"AAAAAFWTmgw=")</f>
        <v>#REF!</v>
      </c>
      <c r="N29" t="e">
        <f>AND(#REF!,"AAAAAFWTmg0=")</f>
        <v>#REF!</v>
      </c>
      <c r="O29" t="e">
        <f>AND(#REF!,"AAAAAFWTmg4=")</f>
        <v>#REF!</v>
      </c>
      <c r="P29" t="e">
        <f>AND(#REF!,"AAAAAFWTmg8=")</f>
        <v>#REF!</v>
      </c>
      <c r="Q29" t="e">
        <f>AND(#REF!,"AAAAAFWTmhA=")</f>
        <v>#REF!</v>
      </c>
      <c r="R29" t="e">
        <f>IF(#REF!,"AAAAAFWTmhE=",0)</f>
        <v>#REF!</v>
      </c>
      <c r="S29" t="e">
        <f>AND(#REF!,"AAAAAFWTmhI=")</f>
        <v>#REF!</v>
      </c>
      <c r="T29" t="e">
        <f>AND(#REF!,"AAAAAFWTmhM=")</f>
        <v>#REF!</v>
      </c>
      <c r="U29" t="e">
        <f>AND(#REF!,"AAAAAFWTmhQ=")</f>
        <v>#REF!</v>
      </c>
      <c r="V29" t="e">
        <f>AND(#REF!,"AAAAAFWTmhU=")</f>
        <v>#REF!</v>
      </c>
      <c r="W29" t="e">
        <f>AND(#REF!,"AAAAAFWTmhY=")</f>
        <v>#REF!</v>
      </c>
      <c r="X29" t="e">
        <f>AND(#REF!,"AAAAAFWTmhc=")</f>
        <v>#REF!</v>
      </c>
      <c r="Y29" t="e">
        <f>AND(#REF!,"AAAAAFWTmhg=")</f>
        <v>#REF!</v>
      </c>
      <c r="Z29" t="e">
        <f>AND(#REF!,"AAAAAFWTmhk=")</f>
        <v>#REF!</v>
      </c>
      <c r="AA29" t="e">
        <f>IF(#REF!,"AAAAAFWTmho=",0)</f>
        <v>#REF!</v>
      </c>
      <c r="AB29" t="e">
        <f>AND(#REF!,"AAAAAFWTmhs=")</f>
        <v>#REF!</v>
      </c>
      <c r="AC29" t="e">
        <f>AND(#REF!,"AAAAAFWTmhw=")</f>
        <v>#REF!</v>
      </c>
      <c r="AD29" t="e">
        <f>AND(#REF!,"AAAAAFWTmh0=")</f>
        <v>#REF!</v>
      </c>
      <c r="AE29" t="e">
        <f>AND(#REF!,"AAAAAFWTmh4=")</f>
        <v>#REF!</v>
      </c>
      <c r="AF29" t="e">
        <f>AND(#REF!,"AAAAAFWTmh8=")</f>
        <v>#REF!</v>
      </c>
      <c r="AG29" t="e">
        <f>AND(#REF!,"AAAAAFWTmiA=")</f>
        <v>#REF!</v>
      </c>
      <c r="AH29" t="e">
        <f>AND(#REF!,"AAAAAFWTmiE=")</f>
        <v>#REF!</v>
      </c>
      <c r="AI29" t="e">
        <f>AND(#REF!,"AAAAAFWTmiI=")</f>
        <v>#REF!</v>
      </c>
      <c r="AJ29" t="e">
        <f>IF(#REF!,"AAAAAFWTmiM=",0)</f>
        <v>#REF!</v>
      </c>
      <c r="AK29" t="e">
        <f>AND(#REF!,"AAAAAFWTmiQ=")</f>
        <v>#REF!</v>
      </c>
      <c r="AL29" t="e">
        <f>AND(#REF!,"AAAAAFWTmiU=")</f>
        <v>#REF!</v>
      </c>
      <c r="AM29" t="e">
        <f>AND(#REF!,"AAAAAFWTmiY=")</f>
        <v>#REF!</v>
      </c>
      <c r="AN29" t="e">
        <f>AND(#REF!,"AAAAAFWTmic=")</f>
        <v>#REF!</v>
      </c>
      <c r="AO29" t="e">
        <f>AND(#REF!,"AAAAAFWTmig=")</f>
        <v>#REF!</v>
      </c>
      <c r="AP29" t="e">
        <f>AND(#REF!,"AAAAAFWTmik=")</f>
        <v>#REF!</v>
      </c>
      <c r="AQ29" t="e">
        <f>AND(#REF!,"AAAAAFWTmio=")</f>
        <v>#REF!</v>
      </c>
      <c r="AR29" t="e">
        <f>AND(#REF!,"AAAAAFWTmis=")</f>
        <v>#REF!</v>
      </c>
      <c r="AS29" t="e">
        <f>IF(#REF!,"AAAAAFWTmiw=",0)</f>
        <v>#REF!</v>
      </c>
      <c r="AT29" t="e">
        <f>AND(#REF!,"AAAAAFWTmi0=")</f>
        <v>#REF!</v>
      </c>
      <c r="AU29" t="e">
        <f>AND(#REF!,"AAAAAFWTmi4=")</f>
        <v>#REF!</v>
      </c>
      <c r="AV29" t="e">
        <f>AND(#REF!,"AAAAAFWTmi8=")</f>
        <v>#REF!</v>
      </c>
      <c r="AW29" t="e">
        <f>AND(#REF!,"AAAAAFWTmjA=")</f>
        <v>#REF!</v>
      </c>
      <c r="AX29" t="e">
        <f>AND(#REF!,"AAAAAFWTmjE=")</f>
        <v>#REF!</v>
      </c>
      <c r="AY29" t="e">
        <f>AND(#REF!,"AAAAAFWTmjI=")</f>
        <v>#REF!</v>
      </c>
      <c r="AZ29" t="e">
        <f>AND(#REF!,"AAAAAFWTmjM=")</f>
        <v>#REF!</v>
      </c>
      <c r="BA29" t="e">
        <f>AND(#REF!,"AAAAAFWTmjQ=")</f>
        <v>#REF!</v>
      </c>
      <c r="BB29" t="e">
        <f>IF(#REF!,"AAAAAFWTmjU=",0)</f>
        <v>#REF!</v>
      </c>
      <c r="BC29" t="e">
        <f>AND(#REF!,"AAAAAFWTmjY=")</f>
        <v>#REF!</v>
      </c>
      <c r="BD29" t="e">
        <f>AND(#REF!,"AAAAAFWTmjc=")</f>
        <v>#REF!</v>
      </c>
      <c r="BE29" t="e">
        <f>AND(#REF!,"AAAAAFWTmjg=")</f>
        <v>#REF!</v>
      </c>
      <c r="BF29" t="e">
        <f>AND(#REF!,"AAAAAFWTmjk=")</f>
        <v>#REF!</v>
      </c>
      <c r="BG29" t="e">
        <f>AND(#REF!,"AAAAAFWTmjo=")</f>
        <v>#REF!</v>
      </c>
      <c r="BH29" t="e">
        <f>AND(#REF!,"AAAAAFWTmjs=")</f>
        <v>#REF!</v>
      </c>
      <c r="BI29" t="e">
        <f>AND(#REF!,"AAAAAFWTmjw=")</f>
        <v>#REF!</v>
      </c>
      <c r="BJ29" t="e">
        <f>AND(#REF!,"AAAAAFWTmj0=")</f>
        <v>#REF!</v>
      </c>
      <c r="BK29" t="e">
        <f>IF(#REF!,"AAAAAFWTmj4=",0)</f>
        <v>#REF!</v>
      </c>
      <c r="BL29" t="e">
        <f>AND(#REF!,"AAAAAFWTmj8=")</f>
        <v>#REF!</v>
      </c>
      <c r="BM29" t="e">
        <f>AND(#REF!,"AAAAAFWTmkA=")</f>
        <v>#REF!</v>
      </c>
      <c r="BN29" t="e">
        <f>AND(#REF!,"AAAAAFWTmkE=")</f>
        <v>#REF!</v>
      </c>
      <c r="BO29" t="e">
        <f>AND(#REF!,"AAAAAFWTmkI=")</f>
        <v>#REF!</v>
      </c>
      <c r="BP29" t="e">
        <f>AND(#REF!,"AAAAAFWTmkM=")</f>
        <v>#REF!</v>
      </c>
      <c r="BQ29" t="e">
        <f>AND(#REF!,"AAAAAFWTmkQ=")</f>
        <v>#REF!</v>
      </c>
      <c r="BR29" t="e">
        <f>AND(#REF!,"AAAAAFWTmkU=")</f>
        <v>#REF!</v>
      </c>
      <c r="BS29" t="e">
        <f>AND(#REF!,"AAAAAFWTmkY=")</f>
        <v>#REF!</v>
      </c>
      <c r="BT29" t="e">
        <f>IF(#REF!,"AAAAAFWTmkc=",0)</f>
        <v>#REF!</v>
      </c>
      <c r="BU29" t="e">
        <f>AND(#REF!,"AAAAAFWTmkg=")</f>
        <v>#REF!</v>
      </c>
      <c r="BV29" t="e">
        <f>AND(#REF!,"AAAAAFWTmkk=")</f>
        <v>#REF!</v>
      </c>
      <c r="BW29" t="e">
        <f>AND(#REF!,"AAAAAFWTmko=")</f>
        <v>#REF!</v>
      </c>
      <c r="BX29" t="e">
        <f>AND(#REF!,"AAAAAFWTmks=")</f>
        <v>#REF!</v>
      </c>
      <c r="BY29" t="e">
        <f>AND(#REF!,"AAAAAFWTmkw=")</f>
        <v>#REF!</v>
      </c>
      <c r="BZ29" t="e">
        <f>AND(#REF!,"AAAAAFWTmk0=")</f>
        <v>#REF!</v>
      </c>
      <c r="CA29" t="e">
        <f>AND(#REF!,"AAAAAFWTmk4=")</f>
        <v>#REF!</v>
      </c>
      <c r="CB29" t="e">
        <f>AND(#REF!,"AAAAAFWTmk8=")</f>
        <v>#REF!</v>
      </c>
      <c r="CC29" t="e">
        <f>IF(#REF!,"AAAAAFWTmlA=",0)</f>
        <v>#REF!</v>
      </c>
      <c r="CD29" t="e">
        <f>AND(#REF!,"AAAAAFWTmlE=")</f>
        <v>#REF!</v>
      </c>
      <c r="CE29" t="e">
        <f>AND(#REF!,"AAAAAFWTmlI=")</f>
        <v>#REF!</v>
      </c>
      <c r="CF29" t="e">
        <f>AND(#REF!,"AAAAAFWTmlM=")</f>
        <v>#REF!</v>
      </c>
      <c r="CG29" t="e">
        <f>AND(#REF!,"AAAAAFWTmlQ=")</f>
        <v>#REF!</v>
      </c>
      <c r="CH29" t="e">
        <f>AND(#REF!,"AAAAAFWTmlU=")</f>
        <v>#REF!</v>
      </c>
      <c r="CI29" t="e">
        <f>AND(#REF!,"AAAAAFWTmlY=")</f>
        <v>#REF!</v>
      </c>
      <c r="CJ29" t="e">
        <f>AND(#REF!,"AAAAAFWTmlc=")</f>
        <v>#REF!</v>
      </c>
      <c r="CK29" t="e">
        <f>AND(#REF!,"AAAAAFWTmlg=")</f>
        <v>#REF!</v>
      </c>
      <c r="CL29" t="e">
        <f>IF(#REF!,"AAAAAFWTmlk=",0)</f>
        <v>#REF!</v>
      </c>
      <c r="CM29" t="e">
        <f>AND(#REF!,"AAAAAFWTmlo=")</f>
        <v>#REF!</v>
      </c>
      <c r="CN29" t="e">
        <f>AND(#REF!,"AAAAAFWTmls=")</f>
        <v>#REF!</v>
      </c>
      <c r="CO29" t="e">
        <f>AND(#REF!,"AAAAAFWTmlw=")</f>
        <v>#REF!</v>
      </c>
      <c r="CP29" t="e">
        <f>AND(#REF!,"AAAAAFWTml0=")</f>
        <v>#REF!</v>
      </c>
      <c r="CQ29" t="e">
        <f>AND(#REF!,"AAAAAFWTml4=")</f>
        <v>#REF!</v>
      </c>
      <c r="CR29" t="e">
        <f>AND(#REF!,"AAAAAFWTml8=")</f>
        <v>#REF!</v>
      </c>
      <c r="CS29" t="e">
        <f>AND(#REF!,"AAAAAFWTmmA=")</f>
        <v>#REF!</v>
      </c>
      <c r="CT29" t="e">
        <f>AND(#REF!,"AAAAAFWTmmE=")</f>
        <v>#REF!</v>
      </c>
      <c r="CU29" t="e">
        <f>IF(#REF!,"AAAAAFWTmmI=",0)</f>
        <v>#REF!</v>
      </c>
      <c r="CV29" t="e">
        <f>AND(#REF!,"AAAAAFWTmmM=")</f>
        <v>#REF!</v>
      </c>
      <c r="CW29" t="e">
        <f>AND(#REF!,"AAAAAFWTmmQ=")</f>
        <v>#REF!</v>
      </c>
      <c r="CX29" t="e">
        <f>AND(#REF!,"AAAAAFWTmmU=")</f>
        <v>#REF!</v>
      </c>
      <c r="CY29" t="e">
        <f>AND(#REF!,"AAAAAFWTmmY=")</f>
        <v>#REF!</v>
      </c>
      <c r="CZ29" t="e">
        <f>AND(#REF!,"AAAAAFWTmmc=")</f>
        <v>#REF!</v>
      </c>
      <c r="DA29" t="e">
        <f>AND(#REF!,"AAAAAFWTmmg=")</f>
        <v>#REF!</v>
      </c>
      <c r="DB29" t="e">
        <f>AND(#REF!,"AAAAAFWTmmk=")</f>
        <v>#REF!</v>
      </c>
      <c r="DC29" t="e">
        <f>AND(#REF!,"AAAAAFWTmmo=")</f>
        <v>#REF!</v>
      </c>
      <c r="DD29" t="e">
        <f>IF(#REF!,"AAAAAFWTmms=",0)</f>
        <v>#REF!</v>
      </c>
      <c r="DE29" t="e">
        <f>AND(#REF!,"AAAAAFWTmmw=")</f>
        <v>#REF!</v>
      </c>
      <c r="DF29" t="e">
        <f>AND(#REF!,"AAAAAFWTmm0=")</f>
        <v>#REF!</v>
      </c>
      <c r="DG29" t="e">
        <f>AND(#REF!,"AAAAAFWTmm4=")</f>
        <v>#REF!</v>
      </c>
      <c r="DH29" t="e">
        <f>AND(#REF!,"AAAAAFWTmm8=")</f>
        <v>#REF!</v>
      </c>
      <c r="DI29" t="e">
        <f>AND(#REF!,"AAAAAFWTmnA=")</f>
        <v>#REF!</v>
      </c>
      <c r="DJ29" t="e">
        <f>AND(#REF!,"AAAAAFWTmnE=")</f>
        <v>#REF!</v>
      </c>
      <c r="DK29" t="e">
        <f>AND(#REF!,"AAAAAFWTmnI=")</f>
        <v>#REF!</v>
      </c>
      <c r="DL29" t="e">
        <f>AND(#REF!,"AAAAAFWTmnM=")</f>
        <v>#REF!</v>
      </c>
      <c r="DM29" t="e">
        <f>IF(#REF!,"AAAAAFWTmnQ=",0)</f>
        <v>#REF!</v>
      </c>
      <c r="DN29" t="e">
        <f>AND(#REF!,"AAAAAFWTmnU=")</f>
        <v>#REF!</v>
      </c>
      <c r="DO29" t="e">
        <f>AND(#REF!,"AAAAAFWTmnY=")</f>
        <v>#REF!</v>
      </c>
      <c r="DP29" t="e">
        <f>AND(#REF!,"AAAAAFWTmnc=")</f>
        <v>#REF!</v>
      </c>
      <c r="DQ29" t="e">
        <f>AND(#REF!,"AAAAAFWTmng=")</f>
        <v>#REF!</v>
      </c>
      <c r="DR29" t="e">
        <f>AND(#REF!,"AAAAAFWTmnk=")</f>
        <v>#REF!</v>
      </c>
      <c r="DS29" t="e">
        <f>AND(#REF!,"AAAAAFWTmno=")</f>
        <v>#REF!</v>
      </c>
      <c r="DT29" t="e">
        <f>AND(#REF!,"AAAAAFWTmns=")</f>
        <v>#REF!</v>
      </c>
      <c r="DU29" t="e">
        <f>AND(#REF!,"AAAAAFWTmnw=")</f>
        <v>#REF!</v>
      </c>
      <c r="DV29" t="e">
        <f>IF(#REF!,"AAAAAFWTmn0=",0)</f>
        <v>#REF!</v>
      </c>
      <c r="DW29" t="e">
        <f>AND(#REF!,"AAAAAFWTmn4=")</f>
        <v>#REF!</v>
      </c>
      <c r="DX29" t="e">
        <f>AND(#REF!,"AAAAAFWTmn8=")</f>
        <v>#REF!</v>
      </c>
      <c r="DY29" t="e">
        <f>AND(#REF!,"AAAAAFWTmoA=")</f>
        <v>#REF!</v>
      </c>
      <c r="DZ29" t="e">
        <f>AND(#REF!,"AAAAAFWTmoE=")</f>
        <v>#REF!</v>
      </c>
      <c r="EA29" t="e">
        <f>AND(#REF!,"AAAAAFWTmoI=")</f>
        <v>#REF!</v>
      </c>
      <c r="EB29" t="e">
        <f>AND(#REF!,"AAAAAFWTmoM=")</f>
        <v>#REF!</v>
      </c>
      <c r="EC29" t="e">
        <f>AND(#REF!,"AAAAAFWTmoQ=")</f>
        <v>#REF!</v>
      </c>
      <c r="ED29" t="e">
        <f>AND(#REF!,"AAAAAFWTmoU=")</f>
        <v>#REF!</v>
      </c>
      <c r="EE29" t="e">
        <f>IF(#REF!,"AAAAAFWTmoY=",0)</f>
        <v>#REF!</v>
      </c>
      <c r="EF29" t="e">
        <f>AND(#REF!,"AAAAAFWTmoc=")</f>
        <v>#REF!</v>
      </c>
      <c r="EG29" t="e">
        <f>AND(#REF!,"AAAAAFWTmog=")</f>
        <v>#REF!</v>
      </c>
      <c r="EH29" t="e">
        <f>AND(#REF!,"AAAAAFWTmok=")</f>
        <v>#REF!</v>
      </c>
      <c r="EI29" t="e">
        <f>AND(#REF!,"AAAAAFWTmoo=")</f>
        <v>#REF!</v>
      </c>
      <c r="EJ29" t="e">
        <f>AND(#REF!,"AAAAAFWTmos=")</f>
        <v>#REF!</v>
      </c>
      <c r="EK29" t="e">
        <f>AND(#REF!,"AAAAAFWTmow=")</f>
        <v>#REF!</v>
      </c>
      <c r="EL29" t="e">
        <f>AND(#REF!,"AAAAAFWTmo0=")</f>
        <v>#REF!</v>
      </c>
      <c r="EM29" t="e">
        <f>AND(#REF!,"AAAAAFWTmo4=")</f>
        <v>#REF!</v>
      </c>
      <c r="EN29" t="e">
        <f>IF(#REF!,"AAAAAFWTmo8=",0)</f>
        <v>#REF!</v>
      </c>
      <c r="EO29" t="e">
        <f>AND(#REF!,"AAAAAFWTmpA=")</f>
        <v>#REF!</v>
      </c>
      <c r="EP29" t="e">
        <f>AND(#REF!,"AAAAAFWTmpE=")</f>
        <v>#REF!</v>
      </c>
      <c r="EQ29" t="e">
        <f>AND(#REF!,"AAAAAFWTmpI=")</f>
        <v>#REF!</v>
      </c>
      <c r="ER29" t="e">
        <f>AND(#REF!,"AAAAAFWTmpM=")</f>
        <v>#REF!</v>
      </c>
      <c r="ES29" t="e">
        <f>AND(#REF!,"AAAAAFWTmpQ=")</f>
        <v>#REF!</v>
      </c>
      <c r="ET29" t="e">
        <f>AND(#REF!,"AAAAAFWTmpU=")</f>
        <v>#REF!</v>
      </c>
      <c r="EU29" t="e">
        <f>AND(#REF!,"AAAAAFWTmpY=")</f>
        <v>#REF!</v>
      </c>
      <c r="EV29" t="e">
        <f>AND(#REF!,"AAAAAFWTmpc=")</f>
        <v>#REF!</v>
      </c>
      <c r="EW29" t="e">
        <f>IF(#REF!,"AAAAAFWTmpg=",0)</f>
        <v>#REF!</v>
      </c>
      <c r="EX29" t="e">
        <f>AND(#REF!,"AAAAAFWTmpk=")</f>
        <v>#REF!</v>
      </c>
      <c r="EY29" t="e">
        <f>AND(#REF!,"AAAAAFWTmpo=")</f>
        <v>#REF!</v>
      </c>
      <c r="EZ29" t="e">
        <f>AND(#REF!,"AAAAAFWTmps=")</f>
        <v>#REF!</v>
      </c>
      <c r="FA29" t="e">
        <f>AND(#REF!,"AAAAAFWTmpw=")</f>
        <v>#REF!</v>
      </c>
      <c r="FB29" t="e">
        <f>AND(#REF!,"AAAAAFWTmp0=")</f>
        <v>#REF!</v>
      </c>
      <c r="FC29" t="e">
        <f>AND(#REF!,"AAAAAFWTmp4=")</f>
        <v>#REF!</v>
      </c>
      <c r="FD29" t="e">
        <f>AND(#REF!,"AAAAAFWTmp8=")</f>
        <v>#REF!</v>
      </c>
      <c r="FE29" t="e">
        <f>AND(#REF!,"AAAAAFWTmqA=")</f>
        <v>#REF!</v>
      </c>
      <c r="FF29" t="e">
        <f>IF(#REF!,"AAAAAFWTmqE=",0)</f>
        <v>#REF!</v>
      </c>
      <c r="FG29" t="e">
        <f>AND(#REF!,"AAAAAFWTmqI=")</f>
        <v>#REF!</v>
      </c>
      <c r="FH29" t="e">
        <f>AND(#REF!,"AAAAAFWTmqM=")</f>
        <v>#REF!</v>
      </c>
      <c r="FI29" t="e">
        <f>AND(#REF!,"AAAAAFWTmqQ=")</f>
        <v>#REF!</v>
      </c>
      <c r="FJ29" t="e">
        <f>AND(#REF!,"AAAAAFWTmqU=")</f>
        <v>#REF!</v>
      </c>
      <c r="FK29" t="e">
        <f>AND(#REF!,"AAAAAFWTmqY=")</f>
        <v>#REF!</v>
      </c>
      <c r="FL29" t="e">
        <f>AND(#REF!,"AAAAAFWTmqc=")</f>
        <v>#REF!</v>
      </c>
      <c r="FM29" t="e">
        <f>AND(#REF!,"AAAAAFWTmqg=")</f>
        <v>#REF!</v>
      </c>
      <c r="FN29" t="e">
        <f>AND(#REF!,"AAAAAFWTmqk=")</f>
        <v>#REF!</v>
      </c>
      <c r="FO29" t="e">
        <f>IF(#REF!,"AAAAAFWTmqo=",0)</f>
        <v>#REF!</v>
      </c>
      <c r="FP29" t="e">
        <f>AND(#REF!,"AAAAAFWTmqs=")</f>
        <v>#REF!</v>
      </c>
      <c r="FQ29" t="e">
        <f>AND(#REF!,"AAAAAFWTmqw=")</f>
        <v>#REF!</v>
      </c>
      <c r="FR29" t="e">
        <f>AND(#REF!,"AAAAAFWTmq0=")</f>
        <v>#REF!</v>
      </c>
      <c r="FS29" t="e">
        <f>AND(#REF!,"AAAAAFWTmq4=")</f>
        <v>#REF!</v>
      </c>
      <c r="FT29" t="e">
        <f>AND(#REF!,"AAAAAFWTmq8=")</f>
        <v>#REF!</v>
      </c>
      <c r="FU29" t="e">
        <f>AND(#REF!,"AAAAAFWTmrA=")</f>
        <v>#REF!</v>
      </c>
      <c r="FV29" t="e">
        <f>AND(#REF!,"AAAAAFWTmrE=")</f>
        <v>#REF!</v>
      </c>
      <c r="FW29" t="e">
        <f>AND(#REF!,"AAAAAFWTmrI=")</f>
        <v>#REF!</v>
      </c>
      <c r="FX29" t="e">
        <f>IF(#REF!,"AAAAAFWTmrM=",0)</f>
        <v>#REF!</v>
      </c>
      <c r="FY29" t="e">
        <f>AND(#REF!,"AAAAAFWTmrQ=")</f>
        <v>#REF!</v>
      </c>
      <c r="FZ29" t="e">
        <f>AND(#REF!,"AAAAAFWTmrU=")</f>
        <v>#REF!</v>
      </c>
      <c r="GA29" t="e">
        <f>AND(#REF!,"AAAAAFWTmrY=")</f>
        <v>#REF!</v>
      </c>
      <c r="GB29" t="e">
        <f>AND(#REF!,"AAAAAFWTmrc=")</f>
        <v>#REF!</v>
      </c>
      <c r="GC29" t="e">
        <f>AND(#REF!,"AAAAAFWTmrg=")</f>
        <v>#REF!</v>
      </c>
      <c r="GD29" t="e">
        <f>AND(#REF!,"AAAAAFWTmrk=")</f>
        <v>#REF!</v>
      </c>
      <c r="GE29" t="e">
        <f>AND(#REF!,"AAAAAFWTmro=")</f>
        <v>#REF!</v>
      </c>
      <c r="GF29" t="e">
        <f>AND(#REF!,"AAAAAFWTmrs=")</f>
        <v>#REF!</v>
      </c>
      <c r="GG29" t="e">
        <f>IF(#REF!,"AAAAAFWTmrw=",0)</f>
        <v>#REF!</v>
      </c>
      <c r="GH29" t="e">
        <f>AND(#REF!,"AAAAAFWTmr0=")</f>
        <v>#REF!</v>
      </c>
      <c r="GI29" t="e">
        <f>AND(#REF!,"AAAAAFWTmr4=")</f>
        <v>#REF!</v>
      </c>
      <c r="GJ29" t="e">
        <f>AND(#REF!,"AAAAAFWTmr8=")</f>
        <v>#REF!</v>
      </c>
      <c r="GK29" t="e">
        <f>AND(#REF!,"AAAAAFWTmsA=")</f>
        <v>#REF!</v>
      </c>
      <c r="GL29" t="e">
        <f>AND(#REF!,"AAAAAFWTmsE=")</f>
        <v>#REF!</v>
      </c>
      <c r="GM29" t="e">
        <f>AND(#REF!,"AAAAAFWTmsI=")</f>
        <v>#REF!</v>
      </c>
      <c r="GN29" t="e">
        <f>AND(#REF!,"AAAAAFWTmsM=")</f>
        <v>#REF!</v>
      </c>
      <c r="GO29" t="e">
        <f>AND(#REF!,"AAAAAFWTmsQ=")</f>
        <v>#REF!</v>
      </c>
      <c r="GP29" t="e">
        <f>IF(#REF!,"AAAAAFWTmsU=",0)</f>
        <v>#REF!</v>
      </c>
      <c r="GQ29" t="e">
        <f>AND(#REF!,"AAAAAFWTmsY=")</f>
        <v>#REF!</v>
      </c>
      <c r="GR29" t="e">
        <f>AND(#REF!,"AAAAAFWTmsc=")</f>
        <v>#REF!</v>
      </c>
      <c r="GS29" t="e">
        <f>AND(#REF!,"AAAAAFWTmsg=")</f>
        <v>#REF!</v>
      </c>
      <c r="GT29" t="e">
        <f>AND(#REF!,"AAAAAFWTmsk=")</f>
        <v>#REF!</v>
      </c>
      <c r="GU29" t="e">
        <f>AND(#REF!,"AAAAAFWTmso=")</f>
        <v>#REF!</v>
      </c>
      <c r="GV29" t="e">
        <f>AND(#REF!,"AAAAAFWTmss=")</f>
        <v>#REF!</v>
      </c>
      <c r="GW29" t="e">
        <f>AND(#REF!,"AAAAAFWTmsw=")</f>
        <v>#REF!</v>
      </c>
      <c r="GX29" t="e">
        <f>AND(#REF!,"AAAAAFWTms0=")</f>
        <v>#REF!</v>
      </c>
      <c r="GY29" t="e">
        <f>IF(#REF!,"AAAAAFWTms4=",0)</f>
        <v>#REF!</v>
      </c>
      <c r="GZ29" t="e">
        <f>AND(#REF!,"AAAAAFWTms8=")</f>
        <v>#REF!</v>
      </c>
      <c r="HA29" t="e">
        <f>AND(#REF!,"AAAAAFWTmtA=")</f>
        <v>#REF!</v>
      </c>
      <c r="HB29" t="e">
        <f>AND(#REF!,"AAAAAFWTmtE=")</f>
        <v>#REF!</v>
      </c>
      <c r="HC29" t="e">
        <f>AND(#REF!,"AAAAAFWTmtI=")</f>
        <v>#REF!</v>
      </c>
      <c r="HD29" t="e">
        <f>AND(#REF!,"AAAAAFWTmtM=")</f>
        <v>#REF!</v>
      </c>
      <c r="HE29" t="e">
        <f>AND(#REF!,"AAAAAFWTmtQ=")</f>
        <v>#REF!</v>
      </c>
      <c r="HF29" t="e">
        <f>AND(#REF!,"AAAAAFWTmtU=")</f>
        <v>#REF!</v>
      </c>
      <c r="HG29" t="e">
        <f>AND(#REF!,"AAAAAFWTmtY=")</f>
        <v>#REF!</v>
      </c>
      <c r="HH29" t="e">
        <f>IF(#REF!,"AAAAAFWTmtc=",0)</f>
        <v>#REF!</v>
      </c>
      <c r="HI29" t="e">
        <f>AND(#REF!,"AAAAAFWTmtg=")</f>
        <v>#REF!</v>
      </c>
      <c r="HJ29" t="e">
        <f>AND(#REF!,"AAAAAFWTmtk=")</f>
        <v>#REF!</v>
      </c>
      <c r="HK29" t="e">
        <f>AND(#REF!,"AAAAAFWTmto=")</f>
        <v>#REF!</v>
      </c>
      <c r="HL29" t="e">
        <f>AND(#REF!,"AAAAAFWTmts=")</f>
        <v>#REF!</v>
      </c>
      <c r="HM29" t="e">
        <f>AND(#REF!,"AAAAAFWTmtw=")</f>
        <v>#REF!</v>
      </c>
      <c r="HN29" t="e">
        <f>AND(#REF!,"AAAAAFWTmt0=")</f>
        <v>#REF!</v>
      </c>
      <c r="HO29" t="e">
        <f>AND(#REF!,"AAAAAFWTmt4=")</f>
        <v>#REF!</v>
      </c>
      <c r="HP29" t="e">
        <f>AND(#REF!,"AAAAAFWTmt8=")</f>
        <v>#REF!</v>
      </c>
      <c r="HQ29" t="e">
        <f>IF(#REF!,"AAAAAFWTmuA=",0)</f>
        <v>#REF!</v>
      </c>
      <c r="HR29" t="e">
        <f>AND(#REF!,"AAAAAFWTmuE=")</f>
        <v>#REF!</v>
      </c>
      <c r="HS29" t="e">
        <f>AND(#REF!,"AAAAAFWTmuI=")</f>
        <v>#REF!</v>
      </c>
      <c r="HT29" t="e">
        <f>AND(#REF!,"AAAAAFWTmuM=")</f>
        <v>#REF!</v>
      </c>
      <c r="HU29" t="e">
        <f>AND(#REF!,"AAAAAFWTmuQ=")</f>
        <v>#REF!</v>
      </c>
      <c r="HV29" t="e">
        <f>AND(#REF!,"AAAAAFWTmuU=")</f>
        <v>#REF!</v>
      </c>
      <c r="HW29" t="e">
        <f>AND(#REF!,"AAAAAFWTmuY=")</f>
        <v>#REF!</v>
      </c>
      <c r="HX29" t="e">
        <f>AND(#REF!,"AAAAAFWTmuc=")</f>
        <v>#REF!</v>
      </c>
      <c r="HY29" t="e">
        <f>AND(#REF!,"AAAAAFWTmug=")</f>
        <v>#REF!</v>
      </c>
      <c r="HZ29" t="e">
        <f>IF(#REF!,"AAAAAFWTmuk=",0)</f>
        <v>#REF!</v>
      </c>
      <c r="IA29" t="e">
        <f>AND(#REF!,"AAAAAFWTmuo=")</f>
        <v>#REF!</v>
      </c>
      <c r="IB29" t="e">
        <f>AND(#REF!,"AAAAAFWTmus=")</f>
        <v>#REF!</v>
      </c>
      <c r="IC29" t="e">
        <f>AND(#REF!,"AAAAAFWTmuw=")</f>
        <v>#REF!</v>
      </c>
      <c r="ID29" t="e">
        <f>AND(#REF!,"AAAAAFWTmu0=")</f>
        <v>#REF!</v>
      </c>
      <c r="IE29" t="e">
        <f>AND(#REF!,"AAAAAFWTmu4=")</f>
        <v>#REF!</v>
      </c>
      <c r="IF29" t="e">
        <f>AND(#REF!,"AAAAAFWTmu8=")</f>
        <v>#REF!</v>
      </c>
      <c r="IG29" t="e">
        <f>AND(#REF!,"AAAAAFWTmvA=")</f>
        <v>#REF!</v>
      </c>
      <c r="IH29" t="e">
        <f>AND(#REF!,"AAAAAFWTmvE=")</f>
        <v>#REF!</v>
      </c>
      <c r="II29" t="e">
        <f>IF(#REF!,"AAAAAFWTmvI=",0)</f>
        <v>#REF!</v>
      </c>
      <c r="IJ29" t="e">
        <f>AND(#REF!,"AAAAAFWTmvM=")</f>
        <v>#REF!</v>
      </c>
      <c r="IK29" t="e">
        <f>AND(#REF!,"AAAAAFWTmvQ=")</f>
        <v>#REF!</v>
      </c>
      <c r="IL29" t="e">
        <f>AND(#REF!,"AAAAAFWTmvU=")</f>
        <v>#REF!</v>
      </c>
      <c r="IM29" t="e">
        <f>AND(#REF!,"AAAAAFWTmvY=")</f>
        <v>#REF!</v>
      </c>
      <c r="IN29" t="e">
        <f>AND(#REF!,"AAAAAFWTmvc=")</f>
        <v>#REF!</v>
      </c>
      <c r="IO29" t="e">
        <f>AND(#REF!,"AAAAAFWTmvg=")</f>
        <v>#REF!</v>
      </c>
      <c r="IP29" t="e">
        <f>AND(#REF!,"AAAAAFWTmvk=")</f>
        <v>#REF!</v>
      </c>
      <c r="IQ29" t="e">
        <f>AND(#REF!,"AAAAAFWTmvo=")</f>
        <v>#REF!</v>
      </c>
      <c r="IR29" t="e">
        <f>IF(#REF!,"AAAAAFWTmvs=",0)</f>
        <v>#REF!</v>
      </c>
      <c r="IS29" t="e">
        <f>AND(#REF!,"AAAAAFWTmvw=")</f>
        <v>#REF!</v>
      </c>
      <c r="IT29" t="e">
        <f>AND(#REF!,"AAAAAFWTmv0=")</f>
        <v>#REF!</v>
      </c>
      <c r="IU29" t="e">
        <f>AND(#REF!,"AAAAAFWTmv4=")</f>
        <v>#REF!</v>
      </c>
      <c r="IV29" t="e">
        <f>AND(#REF!,"AAAAAFWTmv8=")</f>
        <v>#REF!</v>
      </c>
    </row>
    <row r="30" spans="1:256" x14ac:dyDescent="0.2">
      <c r="A30" t="e">
        <f>AND(#REF!,"AAAAAG3+9QA=")</f>
        <v>#REF!</v>
      </c>
      <c r="B30" t="e">
        <f>AND(#REF!,"AAAAAG3+9QE=")</f>
        <v>#REF!</v>
      </c>
      <c r="C30" t="e">
        <f>AND(#REF!,"AAAAAG3+9QI=")</f>
        <v>#REF!</v>
      </c>
      <c r="D30" t="e">
        <f>AND(#REF!,"AAAAAG3+9QM=")</f>
        <v>#REF!</v>
      </c>
      <c r="E30" t="e">
        <f>IF(#REF!,"AAAAAG3+9QQ=",0)</f>
        <v>#REF!</v>
      </c>
      <c r="F30" t="e">
        <f>AND(#REF!,"AAAAAG3+9QU=")</f>
        <v>#REF!</v>
      </c>
      <c r="G30" t="e">
        <f>AND(#REF!,"AAAAAG3+9QY=")</f>
        <v>#REF!</v>
      </c>
      <c r="H30" t="e">
        <f>AND(#REF!,"AAAAAG3+9Qc=")</f>
        <v>#REF!</v>
      </c>
      <c r="I30" t="e">
        <f>AND(#REF!,"AAAAAG3+9Qg=")</f>
        <v>#REF!</v>
      </c>
      <c r="J30" t="e">
        <f>AND(#REF!,"AAAAAG3+9Qk=")</f>
        <v>#REF!</v>
      </c>
      <c r="K30" t="e">
        <f>AND(#REF!,"AAAAAG3+9Qo=")</f>
        <v>#REF!</v>
      </c>
      <c r="L30" t="e">
        <f>AND(#REF!,"AAAAAG3+9Qs=")</f>
        <v>#REF!</v>
      </c>
      <c r="M30" t="e">
        <f>AND(#REF!,"AAAAAG3+9Qw=")</f>
        <v>#REF!</v>
      </c>
      <c r="N30" t="e">
        <f>IF(#REF!,"AAAAAG3+9Q0=",0)</f>
        <v>#REF!</v>
      </c>
      <c r="O30" t="e">
        <f>AND(#REF!,"AAAAAG3+9Q4=")</f>
        <v>#REF!</v>
      </c>
      <c r="P30" t="e">
        <f>AND(#REF!,"AAAAAG3+9Q8=")</f>
        <v>#REF!</v>
      </c>
      <c r="Q30" t="e">
        <f>AND(#REF!,"AAAAAG3+9RA=")</f>
        <v>#REF!</v>
      </c>
      <c r="R30" t="e">
        <f>AND(#REF!,"AAAAAG3+9RE=")</f>
        <v>#REF!</v>
      </c>
      <c r="S30" t="e">
        <f>AND(#REF!,"AAAAAG3+9RI=")</f>
        <v>#REF!</v>
      </c>
      <c r="T30" t="e">
        <f>AND(#REF!,"AAAAAG3+9RM=")</f>
        <v>#REF!</v>
      </c>
      <c r="U30" t="e">
        <f>AND(#REF!,"AAAAAG3+9RQ=")</f>
        <v>#REF!</v>
      </c>
      <c r="V30" t="e">
        <f>AND(#REF!,"AAAAAG3+9RU=")</f>
        <v>#REF!</v>
      </c>
      <c r="W30" t="e">
        <f>IF(#REF!,"AAAAAG3+9RY=",0)</f>
        <v>#REF!</v>
      </c>
      <c r="X30" t="e">
        <f>AND(#REF!,"AAAAAG3+9Rc=")</f>
        <v>#REF!</v>
      </c>
      <c r="Y30" t="e">
        <f>AND(#REF!,"AAAAAG3+9Rg=")</f>
        <v>#REF!</v>
      </c>
      <c r="Z30" t="e">
        <f>AND(#REF!,"AAAAAG3+9Rk=")</f>
        <v>#REF!</v>
      </c>
      <c r="AA30" t="e">
        <f>AND(#REF!,"AAAAAG3+9Ro=")</f>
        <v>#REF!</v>
      </c>
      <c r="AB30" t="e">
        <f>AND(#REF!,"AAAAAG3+9Rs=")</f>
        <v>#REF!</v>
      </c>
      <c r="AC30" t="e">
        <f>AND(#REF!,"AAAAAG3+9Rw=")</f>
        <v>#REF!</v>
      </c>
      <c r="AD30" t="e">
        <f>AND(#REF!,"AAAAAG3+9R0=")</f>
        <v>#REF!</v>
      </c>
      <c r="AE30" t="e">
        <f>AND(#REF!,"AAAAAG3+9R4=")</f>
        <v>#REF!</v>
      </c>
      <c r="AF30" t="e">
        <f>IF(#REF!,"AAAAAG3+9R8=",0)</f>
        <v>#REF!</v>
      </c>
      <c r="AG30" t="e">
        <f>AND(#REF!,"AAAAAG3+9SA=")</f>
        <v>#REF!</v>
      </c>
      <c r="AH30" t="e">
        <f>AND(#REF!,"AAAAAG3+9SE=")</f>
        <v>#REF!</v>
      </c>
      <c r="AI30" t="e">
        <f>AND(#REF!,"AAAAAG3+9SI=")</f>
        <v>#REF!</v>
      </c>
      <c r="AJ30" t="e">
        <f>AND(#REF!,"AAAAAG3+9SM=")</f>
        <v>#REF!</v>
      </c>
      <c r="AK30" t="e">
        <f>AND(#REF!,"AAAAAG3+9SQ=")</f>
        <v>#REF!</v>
      </c>
      <c r="AL30" t="e">
        <f>AND(#REF!,"AAAAAG3+9SU=")</f>
        <v>#REF!</v>
      </c>
      <c r="AM30" t="e">
        <f>AND(#REF!,"AAAAAG3+9SY=")</f>
        <v>#REF!</v>
      </c>
      <c r="AN30" t="e">
        <f>AND(#REF!,"AAAAAG3+9Sc=")</f>
        <v>#REF!</v>
      </c>
      <c r="AO30" t="e">
        <f>IF(#REF!,"AAAAAG3+9Sg=",0)</f>
        <v>#REF!</v>
      </c>
      <c r="AP30" t="e">
        <f>AND(#REF!,"AAAAAG3+9Sk=")</f>
        <v>#REF!</v>
      </c>
      <c r="AQ30" t="e">
        <f>AND(#REF!,"AAAAAG3+9So=")</f>
        <v>#REF!</v>
      </c>
      <c r="AR30" t="e">
        <f>AND(#REF!,"AAAAAG3+9Ss=")</f>
        <v>#REF!</v>
      </c>
      <c r="AS30" t="e">
        <f>AND(#REF!,"AAAAAG3+9Sw=")</f>
        <v>#REF!</v>
      </c>
      <c r="AT30" t="e">
        <f>AND(#REF!,"AAAAAG3+9S0=")</f>
        <v>#REF!</v>
      </c>
      <c r="AU30" t="e">
        <f>AND(#REF!,"AAAAAG3+9S4=")</f>
        <v>#REF!</v>
      </c>
      <c r="AV30" t="e">
        <f>AND(#REF!,"AAAAAG3+9S8=")</f>
        <v>#REF!</v>
      </c>
      <c r="AW30" t="e">
        <f>AND(#REF!,"AAAAAG3+9TA=")</f>
        <v>#REF!</v>
      </c>
      <c r="AX30" t="e">
        <f>IF(#REF!,"AAAAAG3+9TE=",0)</f>
        <v>#REF!</v>
      </c>
      <c r="AY30" t="e">
        <f>AND(#REF!,"AAAAAG3+9TI=")</f>
        <v>#REF!</v>
      </c>
      <c r="AZ30" t="e">
        <f>AND(#REF!,"AAAAAG3+9TM=")</f>
        <v>#REF!</v>
      </c>
      <c r="BA30" t="e">
        <f>AND(#REF!,"AAAAAG3+9TQ=")</f>
        <v>#REF!</v>
      </c>
      <c r="BB30" t="e">
        <f>AND(#REF!,"AAAAAG3+9TU=")</f>
        <v>#REF!</v>
      </c>
      <c r="BC30" t="e">
        <f>AND(#REF!,"AAAAAG3+9TY=")</f>
        <v>#REF!</v>
      </c>
      <c r="BD30" t="e">
        <f>AND(#REF!,"AAAAAG3+9Tc=")</f>
        <v>#REF!</v>
      </c>
      <c r="BE30" t="e">
        <f>AND(#REF!,"AAAAAG3+9Tg=")</f>
        <v>#REF!</v>
      </c>
      <c r="BF30" t="e">
        <f>AND(#REF!,"AAAAAG3+9Tk=")</f>
        <v>#REF!</v>
      </c>
      <c r="BG30" t="e">
        <f>IF(#REF!,"AAAAAG3+9To=",0)</f>
        <v>#REF!</v>
      </c>
      <c r="BH30" t="e">
        <f>AND(#REF!,"AAAAAG3+9Ts=")</f>
        <v>#REF!</v>
      </c>
      <c r="BI30" t="e">
        <f>AND(#REF!,"AAAAAG3+9Tw=")</f>
        <v>#REF!</v>
      </c>
      <c r="BJ30" t="e">
        <f>AND(#REF!,"AAAAAG3+9T0=")</f>
        <v>#REF!</v>
      </c>
      <c r="BK30" t="e">
        <f>AND(#REF!,"AAAAAG3+9T4=")</f>
        <v>#REF!</v>
      </c>
      <c r="BL30" t="e">
        <f>AND(#REF!,"AAAAAG3+9T8=")</f>
        <v>#REF!</v>
      </c>
      <c r="BM30" t="e">
        <f>AND(#REF!,"AAAAAG3+9UA=")</f>
        <v>#REF!</v>
      </c>
      <c r="BN30" t="e">
        <f>AND(#REF!,"AAAAAG3+9UE=")</f>
        <v>#REF!</v>
      </c>
      <c r="BO30" t="e">
        <f>AND(#REF!,"AAAAAG3+9UI=")</f>
        <v>#REF!</v>
      </c>
      <c r="BP30" t="e">
        <f>IF(#REF!,"AAAAAG3+9UM=",0)</f>
        <v>#REF!</v>
      </c>
      <c r="BQ30" t="e">
        <f>AND(#REF!,"AAAAAG3+9UQ=")</f>
        <v>#REF!</v>
      </c>
      <c r="BR30" t="e">
        <f>AND(#REF!,"AAAAAG3+9UU=")</f>
        <v>#REF!</v>
      </c>
      <c r="BS30" t="e">
        <f>AND(#REF!,"AAAAAG3+9UY=")</f>
        <v>#REF!</v>
      </c>
      <c r="BT30" t="e">
        <f>AND(#REF!,"AAAAAG3+9Uc=")</f>
        <v>#REF!</v>
      </c>
      <c r="BU30" t="e">
        <f>AND(#REF!,"AAAAAG3+9Ug=")</f>
        <v>#REF!</v>
      </c>
      <c r="BV30" t="e">
        <f>AND(#REF!,"AAAAAG3+9Uk=")</f>
        <v>#REF!</v>
      </c>
      <c r="BW30" t="e">
        <f>AND(#REF!,"AAAAAG3+9Uo=")</f>
        <v>#REF!</v>
      </c>
      <c r="BX30" t="e">
        <f>AND(#REF!,"AAAAAG3+9Us=")</f>
        <v>#REF!</v>
      </c>
      <c r="BY30" t="e">
        <f>IF(#REF!,"AAAAAG3+9Uw=",0)</f>
        <v>#REF!</v>
      </c>
      <c r="BZ30" t="e">
        <f>AND(#REF!,"AAAAAG3+9U0=")</f>
        <v>#REF!</v>
      </c>
      <c r="CA30" t="e">
        <f>AND(#REF!,"AAAAAG3+9U4=")</f>
        <v>#REF!</v>
      </c>
      <c r="CB30" t="e">
        <f>AND(#REF!,"AAAAAG3+9U8=")</f>
        <v>#REF!</v>
      </c>
      <c r="CC30" t="e">
        <f>AND(#REF!,"AAAAAG3+9VA=")</f>
        <v>#REF!</v>
      </c>
      <c r="CD30" t="e">
        <f>AND(#REF!,"AAAAAG3+9VE=")</f>
        <v>#REF!</v>
      </c>
      <c r="CE30" t="e">
        <f>AND(#REF!,"AAAAAG3+9VI=")</f>
        <v>#REF!</v>
      </c>
      <c r="CF30" t="e">
        <f>AND(#REF!,"AAAAAG3+9VM=")</f>
        <v>#REF!</v>
      </c>
      <c r="CG30" t="e">
        <f>AND(#REF!,"AAAAAG3+9VQ=")</f>
        <v>#REF!</v>
      </c>
      <c r="CH30" t="e">
        <f>IF(#REF!,"AAAAAG3+9VU=",0)</f>
        <v>#REF!</v>
      </c>
      <c r="CI30" t="e">
        <f>AND(#REF!,"AAAAAG3+9VY=")</f>
        <v>#REF!</v>
      </c>
      <c r="CJ30" t="e">
        <f>AND(#REF!,"AAAAAG3+9Vc=")</f>
        <v>#REF!</v>
      </c>
      <c r="CK30" t="e">
        <f>AND(#REF!,"AAAAAG3+9Vg=")</f>
        <v>#REF!</v>
      </c>
      <c r="CL30" t="e">
        <f>AND(#REF!,"AAAAAG3+9Vk=")</f>
        <v>#REF!</v>
      </c>
      <c r="CM30" t="e">
        <f>AND(#REF!,"AAAAAG3+9Vo=")</f>
        <v>#REF!</v>
      </c>
      <c r="CN30" t="e">
        <f>AND(#REF!,"AAAAAG3+9Vs=")</f>
        <v>#REF!</v>
      </c>
      <c r="CO30" t="e">
        <f>AND(#REF!,"AAAAAG3+9Vw=")</f>
        <v>#REF!</v>
      </c>
      <c r="CP30" t="e">
        <f>AND(#REF!,"AAAAAG3+9V0=")</f>
        <v>#REF!</v>
      </c>
      <c r="CQ30" t="e">
        <f>IF(#REF!,"AAAAAG3+9V4=",0)</f>
        <v>#REF!</v>
      </c>
      <c r="CR30" t="e">
        <f>AND(#REF!,"AAAAAG3+9V8=")</f>
        <v>#REF!</v>
      </c>
      <c r="CS30" t="e">
        <f>AND(#REF!,"AAAAAG3+9WA=")</f>
        <v>#REF!</v>
      </c>
      <c r="CT30" t="e">
        <f>AND(#REF!,"AAAAAG3+9WE=")</f>
        <v>#REF!</v>
      </c>
      <c r="CU30" t="e">
        <f>AND(#REF!,"AAAAAG3+9WI=")</f>
        <v>#REF!</v>
      </c>
      <c r="CV30" t="e">
        <f>AND(#REF!,"AAAAAG3+9WM=")</f>
        <v>#REF!</v>
      </c>
      <c r="CW30" t="e">
        <f>AND(#REF!,"AAAAAG3+9WQ=")</f>
        <v>#REF!</v>
      </c>
      <c r="CX30" t="e">
        <f>AND(#REF!,"AAAAAG3+9WU=")</f>
        <v>#REF!</v>
      </c>
      <c r="CY30" t="e">
        <f>AND(#REF!,"AAAAAG3+9WY=")</f>
        <v>#REF!</v>
      </c>
      <c r="CZ30" t="e">
        <f>IF(#REF!,"AAAAAG3+9Wc=",0)</f>
        <v>#REF!</v>
      </c>
      <c r="DA30" t="e">
        <f>AND(#REF!,"AAAAAG3+9Wg=")</f>
        <v>#REF!</v>
      </c>
      <c r="DB30" t="e">
        <f>AND(#REF!,"AAAAAG3+9Wk=")</f>
        <v>#REF!</v>
      </c>
      <c r="DC30" t="e">
        <f>AND(#REF!,"AAAAAG3+9Wo=")</f>
        <v>#REF!</v>
      </c>
      <c r="DD30" t="e">
        <f>AND(#REF!,"AAAAAG3+9Ws=")</f>
        <v>#REF!</v>
      </c>
      <c r="DE30" t="e">
        <f>AND(#REF!,"AAAAAG3+9Ww=")</f>
        <v>#REF!</v>
      </c>
      <c r="DF30" t="e">
        <f>AND(#REF!,"AAAAAG3+9W0=")</f>
        <v>#REF!</v>
      </c>
      <c r="DG30" t="e">
        <f>AND(#REF!,"AAAAAG3+9W4=")</f>
        <v>#REF!</v>
      </c>
      <c r="DH30" t="e">
        <f>AND(#REF!,"AAAAAG3+9W8=")</f>
        <v>#REF!</v>
      </c>
      <c r="DI30" t="e">
        <f>IF(#REF!,"AAAAAG3+9XA=",0)</f>
        <v>#REF!</v>
      </c>
      <c r="DJ30" t="e">
        <f>AND(#REF!,"AAAAAG3+9XE=")</f>
        <v>#REF!</v>
      </c>
      <c r="DK30" t="e">
        <f>AND(#REF!,"AAAAAG3+9XI=")</f>
        <v>#REF!</v>
      </c>
      <c r="DL30" t="e">
        <f>AND(#REF!,"AAAAAG3+9XM=")</f>
        <v>#REF!</v>
      </c>
      <c r="DM30" t="e">
        <f>AND(#REF!,"AAAAAG3+9XQ=")</f>
        <v>#REF!</v>
      </c>
      <c r="DN30" t="e">
        <f>AND(#REF!,"AAAAAG3+9XU=")</f>
        <v>#REF!</v>
      </c>
      <c r="DO30" t="e">
        <f>AND(#REF!,"AAAAAG3+9XY=")</f>
        <v>#REF!</v>
      </c>
      <c r="DP30" t="e">
        <f>AND(#REF!,"AAAAAG3+9Xc=")</f>
        <v>#REF!</v>
      </c>
      <c r="DQ30" t="e">
        <f>AND(#REF!,"AAAAAG3+9Xg=")</f>
        <v>#REF!</v>
      </c>
      <c r="DR30" t="e">
        <f>IF(#REF!,"AAAAAG3+9Xk=",0)</f>
        <v>#REF!</v>
      </c>
      <c r="DS30" t="e">
        <f>AND(#REF!,"AAAAAG3+9Xo=")</f>
        <v>#REF!</v>
      </c>
      <c r="DT30" t="e">
        <f>AND(#REF!,"AAAAAG3+9Xs=")</f>
        <v>#REF!</v>
      </c>
      <c r="DU30" t="e">
        <f>AND(#REF!,"AAAAAG3+9Xw=")</f>
        <v>#REF!</v>
      </c>
      <c r="DV30" t="e">
        <f>AND(#REF!,"AAAAAG3+9X0=")</f>
        <v>#REF!</v>
      </c>
      <c r="DW30" t="e">
        <f>AND(#REF!,"AAAAAG3+9X4=")</f>
        <v>#REF!</v>
      </c>
      <c r="DX30" t="e">
        <f>AND(#REF!,"AAAAAG3+9X8=")</f>
        <v>#REF!</v>
      </c>
      <c r="DY30" t="e">
        <f>AND(#REF!,"AAAAAG3+9YA=")</f>
        <v>#REF!</v>
      </c>
      <c r="DZ30" t="e">
        <f>AND(#REF!,"AAAAAG3+9YE=")</f>
        <v>#REF!</v>
      </c>
      <c r="EA30" t="e">
        <f>IF(#REF!,"AAAAAG3+9YI=",0)</f>
        <v>#REF!</v>
      </c>
      <c r="EB30" t="e">
        <f>AND(#REF!,"AAAAAG3+9YM=")</f>
        <v>#REF!</v>
      </c>
      <c r="EC30" t="e">
        <f>AND(#REF!,"AAAAAG3+9YQ=")</f>
        <v>#REF!</v>
      </c>
      <c r="ED30" t="e">
        <f>AND(#REF!,"AAAAAG3+9YU=")</f>
        <v>#REF!</v>
      </c>
      <c r="EE30" t="e">
        <f>AND(#REF!,"AAAAAG3+9YY=")</f>
        <v>#REF!</v>
      </c>
      <c r="EF30" t="e">
        <f>AND(#REF!,"AAAAAG3+9Yc=")</f>
        <v>#REF!</v>
      </c>
      <c r="EG30" t="e">
        <f>AND(#REF!,"AAAAAG3+9Yg=")</f>
        <v>#REF!</v>
      </c>
      <c r="EH30" t="e">
        <f>AND(#REF!,"AAAAAG3+9Yk=")</f>
        <v>#REF!</v>
      </c>
      <c r="EI30" t="e">
        <f>AND(#REF!,"AAAAAG3+9Yo=")</f>
        <v>#REF!</v>
      </c>
      <c r="EJ30" t="e">
        <f>IF(#REF!,"AAAAAG3+9Ys=",0)</f>
        <v>#REF!</v>
      </c>
      <c r="EK30" t="e">
        <f>AND(#REF!,"AAAAAG3+9Yw=")</f>
        <v>#REF!</v>
      </c>
      <c r="EL30" t="e">
        <f>AND(#REF!,"AAAAAG3+9Y0=")</f>
        <v>#REF!</v>
      </c>
      <c r="EM30" t="e">
        <f>AND(#REF!,"AAAAAG3+9Y4=")</f>
        <v>#REF!</v>
      </c>
      <c r="EN30" t="e">
        <f>AND(#REF!,"AAAAAG3+9Y8=")</f>
        <v>#REF!</v>
      </c>
      <c r="EO30" t="e">
        <f>AND(#REF!,"AAAAAG3+9ZA=")</f>
        <v>#REF!</v>
      </c>
      <c r="EP30" t="e">
        <f>AND(#REF!,"AAAAAG3+9ZE=")</f>
        <v>#REF!</v>
      </c>
      <c r="EQ30" t="e">
        <f>AND(#REF!,"AAAAAG3+9ZI=")</f>
        <v>#REF!</v>
      </c>
      <c r="ER30" t="e">
        <f>AND(#REF!,"AAAAAG3+9ZM=")</f>
        <v>#REF!</v>
      </c>
      <c r="ES30" t="e">
        <f>IF(#REF!,"AAAAAG3+9ZQ=",0)</f>
        <v>#REF!</v>
      </c>
      <c r="ET30" t="e">
        <f>AND(#REF!,"AAAAAG3+9ZU=")</f>
        <v>#REF!</v>
      </c>
      <c r="EU30" t="e">
        <f>AND(#REF!,"AAAAAG3+9ZY=")</f>
        <v>#REF!</v>
      </c>
      <c r="EV30" t="e">
        <f>AND(#REF!,"AAAAAG3+9Zc=")</f>
        <v>#REF!</v>
      </c>
      <c r="EW30" t="e">
        <f>AND(#REF!,"AAAAAG3+9Zg=")</f>
        <v>#REF!</v>
      </c>
      <c r="EX30" t="e">
        <f>AND(#REF!,"AAAAAG3+9Zk=")</f>
        <v>#REF!</v>
      </c>
      <c r="EY30" t="e">
        <f>AND(#REF!,"AAAAAG3+9Zo=")</f>
        <v>#REF!</v>
      </c>
      <c r="EZ30" t="e">
        <f>AND(#REF!,"AAAAAG3+9Zs=")</f>
        <v>#REF!</v>
      </c>
      <c r="FA30" t="e">
        <f>AND(#REF!,"AAAAAG3+9Zw=")</f>
        <v>#REF!</v>
      </c>
      <c r="FB30" t="e">
        <f>IF(#REF!,"AAAAAG3+9Z0=",0)</f>
        <v>#REF!</v>
      </c>
      <c r="FC30" t="e">
        <f>AND(#REF!,"AAAAAG3+9Z4=")</f>
        <v>#REF!</v>
      </c>
      <c r="FD30" t="e">
        <f>AND(#REF!,"AAAAAG3+9Z8=")</f>
        <v>#REF!</v>
      </c>
      <c r="FE30" t="e">
        <f>AND(#REF!,"AAAAAG3+9aA=")</f>
        <v>#REF!</v>
      </c>
      <c r="FF30" t="e">
        <f>AND(#REF!,"AAAAAG3+9aE=")</f>
        <v>#REF!</v>
      </c>
      <c r="FG30" t="e">
        <f>AND(#REF!,"AAAAAG3+9aI=")</f>
        <v>#REF!</v>
      </c>
      <c r="FH30" t="e">
        <f>AND(#REF!,"AAAAAG3+9aM=")</f>
        <v>#REF!</v>
      </c>
      <c r="FI30" t="e">
        <f>AND(#REF!,"AAAAAG3+9aQ=")</f>
        <v>#REF!</v>
      </c>
      <c r="FJ30" t="e">
        <f>AND(#REF!,"AAAAAG3+9aU=")</f>
        <v>#REF!</v>
      </c>
      <c r="FK30" t="e">
        <f>IF(#REF!,"AAAAAG3+9aY=",0)</f>
        <v>#REF!</v>
      </c>
      <c r="FL30" t="e">
        <f>AND(#REF!,"AAAAAG3+9ac=")</f>
        <v>#REF!</v>
      </c>
      <c r="FM30" t="e">
        <f>AND(#REF!,"AAAAAG3+9ag=")</f>
        <v>#REF!</v>
      </c>
      <c r="FN30" t="e">
        <f>AND(#REF!,"AAAAAG3+9ak=")</f>
        <v>#REF!</v>
      </c>
      <c r="FO30" t="e">
        <f>AND(#REF!,"AAAAAG3+9ao=")</f>
        <v>#REF!</v>
      </c>
      <c r="FP30" t="e">
        <f>AND(#REF!,"AAAAAG3+9as=")</f>
        <v>#REF!</v>
      </c>
      <c r="FQ30" t="e">
        <f>AND(#REF!,"AAAAAG3+9aw=")</f>
        <v>#REF!</v>
      </c>
      <c r="FR30" t="e">
        <f>AND(#REF!,"AAAAAG3+9a0=")</f>
        <v>#REF!</v>
      </c>
      <c r="FS30" t="e">
        <f>AND(#REF!,"AAAAAG3+9a4=")</f>
        <v>#REF!</v>
      </c>
      <c r="FT30" t="e">
        <f>IF(#REF!,"AAAAAG3+9a8=",0)</f>
        <v>#REF!</v>
      </c>
      <c r="FU30" t="e">
        <f>AND(#REF!,"AAAAAG3+9bA=")</f>
        <v>#REF!</v>
      </c>
      <c r="FV30" t="e">
        <f>AND(#REF!,"AAAAAG3+9bE=")</f>
        <v>#REF!</v>
      </c>
      <c r="FW30" t="e">
        <f>AND(#REF!,"AAAAAG3+9bI=")</f>
        <v>#REF!</v>
      </c>
      <c r="FX30" t="e">
        <f>AND(#REF!,"AAAAAG3+9bM=")</f>
        <v>#REF!</v>
      </c>
      <c r="FY30" t="e">
        <f>AND(#REF!,"AAAAAG3+9bQ=")</f>
        <v>#REF!</v>
      </c>
      <c r="FZ30" t="e">
        <f>AND(#REF!,"AAAAAG3+9bU=")</f>
        <v>#REF!</v>
      </c>
      <c r="GA30" t="e">
        <f>AND(#REF!,"AAAAAG3+9bY=")</f>
        <v>#REF!</v>
      </c>
      <c r="GB30" t="e">
        <f>AND(#REF!,"AAAAAG3+9bc=")</f>
        <v>#REF!</v>
      </c>
      <c r="GC30" t="e">
        <f>IF(#REF!,"AAAAAG3+9bg=",0)</f>
        <v>#REF!</v>
      </c>
      <c r="GD30" t="e">
        <f>AND(#REF!,"AAAAAG3+9bk=")</f>
        <v>#REF!</v>
      </c>
      <c r="GE30" t="e">
        <f>AND(#REF!,"AAAAAG3+9bo=")</f>
        <v>#REF!</v>
      </c>
      <c r="GF30" t="e">
        <f>AND(#REF!,"AAAAAG3+9bs=")</f>
        <v>#REF!</v>
      </c>
      <c r="GG30" t="e">
        <f>AND(#REF!,"AAAAAG3+9bw=")</f>
        <v>#REF!</v>
      </c>
      <c r="GH30" t="e">
        <f>AND(#REF!,"AAAAAG3+9b0=")</f>
        <v>#REF!</v>
      </c>
      <c r="GI30" t="e">
        <f>AND(#REF!,"AAAAAG3+9b4=")</f>
        <v>#REF!</v>
      </c>
      <c r="GJ30" t="e">
        <f>AND(#REF!,"AAAAAG3+9b8=")</f>
        <v>#REF!</v>
      </c>
      <c r="GK30" t="e">
        <f>AND(#REF!,"AAAAAG3+9cA=")</f>
        <v>#REF!</v>
      </c>
      <c r="GL30" t="e">
        <f>IF(#REF!,"AAAAAG3+9cE=",0)</f>
        <v>#REF!</v>
      </c>
      <c r="GM30" t="e">
        <f>AND(#REF!,"AAAAAG3+9cI=")</f>
        <v>#REF!</v>
      </c>
      <c r="GN30" t="e">
        <f>AND(#REF!,"AAAAAG3+9cM=")</f>
        <v>#REF!</v>
      </c>
      <c r="GO30" t="e">
        <f>AND(#REF!,"AAAAAG3+9cQ=")</f>
        <v>#REF!</v>
      </c>
      <c r="GP30" t="e">
        <f>AND(#REF!,"AAAAAG3+9cU=")</f>
        <v>#REF!</v>
      </c>
      <c r="GQ30" t="e">
        <f>AND(#REF!,"AAAAAG3+9cY=")</f>
        <v>#REF!</v>
      </c>
      <c r="GR30" t="e">
        <f>AND(#REF!,"AAAAAG3+9cc=")</f>
        <v>#REF!</v>
      </c>
      <c r="GS30" t="e">
        <f>AND(#REF!,"AAAAAG3+9cg=")</f>
        <v>#REF!</v>
      </c>
      <c r="GT30" t="e">
        <f>AND(#REF!,"AAAAAG3+9ck=")</f>
        <v>#REF!</v>
      </c>
      <c r="GU30" t="e">
        <f>IF(#REF!,"AAAAAG3+9co=",0)</f>
        <v>#REF!</v>
      </c>
      <c r="GV30" t="e">
        <f>AND(#REF!,"AAAAAG3+9cs=")</f>
        <v>#REF!</v>
      </c>
      <c r="GW30" t="e">
        <f>AND(#REF!,"AAAAAG3+9cw=")</f>
        <v>#REF!</v>
      </c>
      <c r="GX30" t="e">
        <f>AND(#REF!,"AAAAAG3+9c0=")</f>
        <v>#REF!</v>
      </c>
      <c r="GY30" t="e">
        <f>AND(#REF!,"AAAAAG3+9c4=")</f>
        <v>#REF!</v>
      </c>
      <c r="GZ30" t="e">
        <f>AND(#REF!,"AAAAAG3+9c8=")</f>
        <v>#REF!</v>
      </c>
      <c r="HA30" t="e">
        <f>AND(#REF!,"AAAAAG3+9dA=")</f>
        <v>#REF!</v>
      </c>
      <c r="HB30" t="e">
        <f>AND(#REF!,"AAAAAG3+9dE=")</f>
        <v>#REF!</v>
      </c>
      <c r="HC30" t="e">
        <f>AND(#REF!,"AAAAAG3+9dI=")</f>
        <v>#REF!</v>
      </c>
      <c r="HD30" t="e">
        <f>IF(#REF!,"AAAAAG3+9dM=",0)</f>
        <v>#REF!</v>
      </c>
      <c r="HE30" t="e">
        <f>AND(#REF!,"AAAAAG3+9dQ=")</f>
        <v>#REF!</v>
      </c>
      <c r="HF30" t="e">
        <f>AND(#REF!,"AAAAAG3+9dU=")</f>
        <v>#REF!</v>
      </c>
      <c r="HG30" t="e">
        <f>AND(#REF!,"AAAAAG3+9dY=")</f>
        <v>#REF!</v>
      </c>
      <c r="HH30" t="e">
        <f>AND(#REF!,"AAAAAG3+9dc=")</f>
        <v>#REF!</v>
      </c>
      <c r="HI30" t="e">
        <f>AND(#REF!,"AAAAAG3+9dg=")</f>
        <v>#REF!</v>
      </c>
      <c r="HJ30" t="e">
        <f>AND(#REF!,"AAAAAG3+9dk=")</f>
        <v>#REF!</v>
      </c>
      <c r="HK30" t="e">
        <f>AND(#REF!,"AAAAAG3+9do=")</f>
        <v>#REF!</v>
      </c>
      <c r="HL30" t="e">
        <f>AND(#REF!,"AAAAAG3+9ds=")</f>
        <v>#REF!</v>
      </c>
      <c r="HM30" t="e">
        <f>IF(#REF!,"AAAAAG3+9dw=",0)</f>
        <v>#REF!</v>
      </c>
      <c r="HN30" t="e">
        <f>AND(#REF!,"AAAAAG3+9d0=")</f>
        <v>#REF!</v>
      </c>
      <c r="HO30" t="e">
        <f>AND(#REF!,"AAAAAG3+9d4=")</f>
        <v>#REF!</v>
      </c>
      <c r="HP30" t="e">
        <f>AND(#REF!,"AAAAAG3+9d8=")</f>
        <v>#REF!</v>
      </c>
      <c r="HQ30" t="e">
        <f>AND(#REF!,"AAAAAG3+9eA=")</f>
        <v>#REF!</v>
      </c>
      <c r="HR30" t="e">
        <f>AND(#REF!,"AAAAAG3+9eE=")</f>
        <v>#REF!</v>
      </c>
      <c r="HS30" t="e">
        <f>AND(#REF!,"AAAAAG3+9eI=")</f>
        <v>#REF!</v>
      </c>
      <c r="HT30" t="e">
        <f>AND(#REF!,"AAAAAG3+9eM=")</f>
        <v>#REF!</v>
      </c>
      <c r="HU30" t="e">
        <f>AND(#REF!,"AAAAAG3+9eQ=")</f>
        <v>#REF!</v>
      </c>
      <c r="HV30" t="e">
        <f>IF(#REF!,"AAAAAG3+9eU=",0)</f>
        <v>#REF!</v>
      </c>
      <c r="HW30" t="e">
        <f>AND(#REF!,"AAAAAG3+9eY=")</f>
        <v>#REF!</v>
      </c>
      <c r="HX30" t="e">
        <f>AND(#REF!,"AAAAAG3+9ec=")</f>
        <v>#REF!</v>
      </c>
      <c r="HY30" t="e">
        <f>AND(#REF!,"AAAAAG3+9eg=")</f>
        <v>#REF!</v>
      </c>
      <c r="HZ30" t="e">
        <f>AND(#REF!,"AAAAAG3+9ek=")</f>
        <v>#REF!</v>
      </c>
      <c r="IA30" t="e">
        <f>AND(#REF!,"AAAAAG3+9eo=")</f>
        <v>#REF!</v>
      </c>
      <c r="IB30" t="e">
        <f>AND(#REF!,"AAAAAG3+9es=")</f>
        <v>#REF!</v>
      </c>
      <c r="IC30" t="e">
        <f>AND(#REF!,"AAAAAG3+9ew=")</f>
        <v>#REF!</v>
      </c>
      <c r="ID30" t="e">
        <f>AND(#REF!,"AAAAAG3+9e0=")</f>
        <v>#REF!</v>
      </c>
      <c r="IE30" t="e">
        <f>IF(#REF!,"AAAAAG3+9e4=",0)</f>
        <v>#REF!</v>
      </c>
      <c r="IF30" t="e">
        <f>AND(#REF!,"AAAAAG3+9e8=")</f>
        <v>#REF!</v>
      </c>
      <c r="IG30" t="e">
        <f>AND(#REF!,"AAAAAG3+9fA=")</f>
        <v>#REF!</v>
      </c>
      <c r="IH30" t="e">
        <f>AND(#REF!,"AAAAAG3+9fE=")</f>
        <v>#REF!</v>
      </c>
      <c r="II30" t="e">
        <f>AND(#REF!,"AAAAAG3+9fI=")</f>
        <v>#REF!</v>
      </c>
      <c r="IJ30" t="e">
        <f>AND(#REF!,"AAAAAG3+9fM=")</f>
        <v>#REF!</v>
      </c>
      <c r="IK30" t="e">
        <f>AND(#REF!,"AAAAAG3+9fQ=")</f>
        <v>#REF!</v>
      </c>
      <c r="IL30" t="e">
        <f>AND(#REF!,"AAAAAG3+9fU=")</f>
        <v>#REF!</v>
      </c>
      <c r="IM30" t="e">
        <f>AND(#REF!,"AAAAAG3+9fY=")</f>
        <v>#REF!</v>
      </c>
      <c r="IN30" t="e">
        <f>IF(#REF!,"AAAAAG3+9fc=",0)</f>
        <v>#REF!</v>
      </c>
      <c r="IO30" t="e">
        <f>AND(#REF!,"AAAAAG3+9fg=")</f>
        <v>#REF!</v>
      </c>
      <c r="IP30" t="e">
        <f>AND(#REF!,"AAAAAG3+9fk=")</f>
        <v>#REF!</v>
      </c>
      <c r="IQ30" t="e">
        <f>AND(#REF!,"AAAAAG3+9fo=")</f>
        <v>#REF!</v>
      </c>
      <c r="IR30" t="e">
        <f>AND(#REF!,"AAAAAG3+9fs=")</f>
        <v>#REF!</v>
      </c>
      <c r="IS30" t="e">
        <f>AND(#REF!,"AAAAAG3+9fw=")</f>
        <v>#REF!</v>
      </c>
      <c r="IT30" t="e">
        <f>AND(#REF!,"AAAAAG3+9f0=")</f>
        <v>#REF!</v>
      </c>
      <c r="IU30" t="e">
        <f>AND(#REF!,"AAAAAG3+9f4=")</f>
        <v>#REF!</v>
      </c>
      <c r="IV30" t="e">
        <f>AND(#REF!,"AAAAAG3+9f8=")</f>
        <v>#REF!</v>
      </c>
    </row>
    <row r="31" spans="1:256" x14ac:dyDescent="0.2">
      <c r="A31" t="e">
        <f>IF(#REF!,"AAAAAFj+9wA=",0)</f>
        <v>#REF!</v>
      </c>
      <c r="B31" t="e">
        <f>AND(#REF!,"AAAAAFj+9wE=")</f>
        <v>#REF!</v>
      </c>
      <c r="C31" t="e">
        <f>AND(#REF!,"AAAAAFj+9wI=")</f>
        <v>#REF!</v>
      </c>
      <c r="D31" t="e">
        <f>AND(#REF!,"AAAAAFj+9wM=")</f>
        <v>#REF!</v>
      </c>
      <c r="E31" t="e">
        <f>AND(#REF!,"AAAAAFj+9wQ=")</f>
        <v>#REF!</v>
      </c>
      <c r="F31" t="e">
        <f>AND(#REF!,"AAAAAFj+9wU=")</f>
        <v>#REF!</v>
      </c>
      <c r="G31" t="e">
        <f>AND(#REF!,"AAAAAFj+9wY=")</f>
        <v>#REF!</v>
      </c>
      <c r="H31" t="e">
        <f>AND(#REF!,"AAAAAFj+9wc=")</f>
        <v>#REF!</v>
      </c>
      <c r="I31" t="e">
        <f>AND(#REF!,"AAAAAFj+9wg=")</f>
        <v>#REF!</v>
      </c>
      <c r="J31" t="e">
        <f>IF(#REF!,"AAAAAFj+9wk=",0)</f>
        <v>#REF!</v>
      </c>
      <c r="K31" t="e">
        <f>AND(#REF!,"AAAAAFj+9wo=")</f>
        <v>#REF!</v>
      </c>
      <c r="L31" t="e">
        <f>AND(#REF!,"AAAAAFj+9ws=")</f>
        <v>#REF!</v>
      </c>
      <c r="M31" t="e">
        <f>AND(#REF!,"AAAAAFj+9ww=")</f>
        <v>#REF!</v>
      </c>
      <c r="N31" t="e">
        <f>AND(#REF!,"AAAAAFj+9w0=")</f>
        <v>#REF!</v>
      </c>
      <c r="O31" t="e">
        <f>AND(#REF!,"AAAAAFj+9w4=")</f>
        <v>#REF!</v>
      </c>
      <c r="P31" t="e">
        <f>AND(#REF!,"AAAAAFj+9w8=")</f>
        <v>#REF!</v>
      </c>
      <c r="Q31" t="e">
        <f>AND(#REF!,"AAAAAFj+9xA=")</f>
        <v>#REF!</v>
      </c>
      <c r="R31" t="e">
        <f>AND(#REF!,"AAAAAFj+9xE=")</f>
        <v>#REF!</v>
      </c>
      <c r="S31" t="e">
        <f>IF(#REF!,"AAAAAFj+9xI=",0)</f>
        <v>#REF!</v>
      </c>
      <c r="T31" t="e">
        <f>AND(#REF!,"AAAAAFj+9xM=")</f>
        <v>#REF!</v>
      </c>
      <c r="U31" t="e">
        <f>AND(#REF!,"AAAAAFj+9xQ=")</f>
        <v>#REF!</v>
      </c>
      <c r="V31" t="e">
        <f>AND(#REF!,"AAAAAFj+9xU=")</f>
        <v>#REF!</v>
      </c>
      <c r="W31" t="e">
        <f>AND(#REF!,"AAAAAFj+9xY=")</f>
        <v>#REF!</v>
      </c>
      <c r="X31" t="e">
        <f>AND(#REF!,"AAAAAFj+9xc=")</f>
        <v>#REF!</v>
      </c>
      <c r="Y31" t="e">
        <f>AND(#REF!,"AAAAAFj+9xg=")</f>
        <v>#REF!</v>
      </c>
      <c r="Z31" t="e">
        <f>AND(#REF!,"AAAAAFj+9xk=")</f>
        <v>#REF!</v>
      </c>
      <c r="AA31" t="e">
        <f>AND(#REF!,"AAAAAFj+9xo=")</f>
        <v>#REF!</v>
      </c>
      <c r="AB31" t="e">
        <f>IF(#REF!,"AAAAAFj+9xs=",0)</f>
        <v>#REF!</v>
      </c>
      <c r="AC31" t="e">
        <f>AND(#REF!,"AAAAAFj+9xw=")</f>
        <v>#REF!</v>
      </c>
      <c r="AD31" t="e">
        <f>AND(#REF!,"AAAAAFj+9x0=")</f>
        <v>#REF!</v>
      </c>
      <c r="AE31" t="e">
        <f>AND(#REF!,"AAAAAFj+9x4=")</f>
        <v>#REF!</v>
      </c>
      <c r="AF31" t="e">
        <f>AND(#REF!,"AAAAAFj+9x8=")</f>
        <v>#REF!</v>
      </c>
      <c r="AG31" t="e">
        <f>AND(#REF!,"AAAAAFj+9yA=")</f>
        <v>#REF!</v>
      </c>
      <c r="AH31" t="e">
        <f>AND(#REF!,"AAAAAFj+9yE=")</f>
        <v>#REF!</v>
      </c>
      <c r="AI31" t="e">
        <f>AND(#REF!,"AAAAAFj+9yI=")</f>
        <v>#REF!</v>
      </c>
      <c r="AJ31" t="e">
        <f>AND(#REF!,"AAAAAFj+9yM=")</f>
        <v>#REF!</v>
      </c>
      <c r="AK31" t="e">
        <f>IF(#REF!,"AAAAAFj+9yQ=",0)</f>
        <v>#REF!</v>
      </c>
      <c r="AL31" t="e">
        <f>AND(#REF!,"AAAAAFj+9yU=")</f>
        <v>#REF!</v>
      </c>
      <c r="AM31" t="e">
        <f>AND(#REF!,"AAAAAFj+9yY=")</f>
        <v>#REF!</v>
      </c>
      <c r="AN31" t="e">
        <f>AND(#REF!,"AAAAAFj+9yc=")</f>
        <v>#REF!</v>
      </c>
      <c r="AO31" t="e">
        <f>AND(#REF!,"AAAAAFj+9yg=")</f>
        <v>#REF!</v>
      </c>
      <c r="AP31" t="e">
        <f>AND(#REF!,"AAAAAFj+9yk=")</f>
        <v>#REF!</v>
      </c>
      <c r="AQ31" t="e">
        <f>AND(#REF!,"AAAAAFj+9yo=")</f>
        <v>#REF!</v>
      </c>
      <c r="AR31" t="e">
        <f>AND(#REF!,"AAAAAFj+9ys=")</f>
        <v>#REF!</v>
      </c>
      <c r="AS31" t="e">
        <f>AND(#REF!,"AAAAAFj+9yw=")</f>
        <v>#REF!</v>
      </c>
      <c r="AT31" t="e">
        <f>IF(#REF!,"AAAAAFj+9y0=",0)</f>
        <v>#REF!</v>
      </c>
      <c r="AU31" t="e">
        <f>AND(#REF!,"AAAAAFj+9y4=")</f>
        <v>#REF!</v>
      </c>
      <c r="AV31" t="e">
        <f>AND(#REF!,"AAAAAFj+9y8=")</f>
        <v>#REF!</v>
      </c>
      <c r="AW31" t="e">
        <f>AND(#REF!,"AAAAAFj+9zA=")</f>
        <v>#REF!</v>
      </c>
      <c r="AX31" t="e">
        <f>AND(#REF!,"AAAAAFj+9zE=")</f>
        <v>#REF!</v>
      </c>
      <c r="AY31" t="e">
        <f>AND(#REF!,"AAAAAFj+9zI=")</f>
        <v>#REF!</v>
      </c>
      <c r="AZ31" t="e">
        <f>AND(#REF!,"AAAAAFj+9zM=")</f>
        <v>#REF!</v>
      </c>
      <c r="BA31" t="e">
        <f>AND(#REF!,"AAAAAFj+9zQ=")</f>
        <v>#REF!</v>
      </c>
      <c r="BB31" t="e">
        <f>AND(#REF!,"AAAAAFj+9zU=")</f>
        <v>#REF!</v>
      </c>
      <c r="BC31" t="e">
        <f>IF(#REF!,"AAAAAFj+9zY=",0)</f>
        <v>#REF!</v>
      </c>
      <c r="BD31" t="e">
        <f>AND(#REF!,"AAAAAFj+9zc=")</f>
        <v>#REF!</v>
      </c>
      <c r="BE31" t="e">
        <f>AND(#REF!,"AAAAAFj+9zg=")</f>
        <v>#REF!</v>
      </c>
      <c r="BF31" t="e">
        <f>AND(#REF!,"AAAAAFj+9zk=")</f>
        <v>#REF!</v>
      </c>
      <c r="BG31" t="e">
        <f>AND(#REF!,"AAAAAFj+9zo=")</f>
        <v>#REF!</v>
      </c>
      <c r="BH31" t="e">
        <f>AND(#REF!,"AAAAAFj+9zs=")</f>
        <v>#REF!</v>
      </c>
      <c r="BI31" t="e">
        <f>AND(#REF!,"AAAAAFj+9zw=")</f>
        <v>#REF!</v>
      </c>
      <c r="BJ31" t="e">
        <f>AND(#REF!,"AAAAAFj+9z0=")</f>
        <v>#REF!</v>
      </c>
      <c r="BK31" t="e">
        <f>AND(#REF!,"AAAAAFj+9z4=")</f>
        <v>#REF!</v>
      </c>
      <c r="BL31" t="e">
        <f>IF(#REF!,"AAAAAFj+9z8=",0)</f>
        <v>#REF!</v>
      </c>
      <c r="BM31" t="e">
        <f>AND(#REF!,"AAAAAFj+90A=")</f>
        <v>#REF!</v>
      </c>
      <c r="BN31" t="e">
        <f>AND(#REF!,"AAAAAFj+90E=")</f>
        <v>#REF!</v>
      </c>
      <c r="BO31" t="e">
        <f>AND(#REF!,"AAAAAFj+90I=")</f>
        <v>#REF!</v>
      </c>
      <c r="BP31" t="e">
        <f>AND(#REF!,"AAAAAFj+90M=")</f>
        <v>#REF!</v>
      </c>
      <c r="BQ31" t="e">
        <f>AND(#REF!,"AAAAAFj+90Q=")</f>
        <v>#REF!</v>
      </c>
      <c r="BR31" t="e">
        <f>AND(#REF!,"AAAAAFj+90U=")</f>
        <v>#REF!</v>
      </c>
      <c r="BS31" t="e">
        <f>AND(#REF!,"AAAAAFj+90Y=")</f>
        <v>#REF!</v>
      </c>
      <c r="BT31" t="e">
        <f>AND(#REF!,"AAAAAFj+90c=")</f>
        <v>#REF!</v>
      </c>
      <c r="BU31" t="e">
        <f>IF(#REF!,"AAAAAFj+90g=",0)</f>
        <v>#REF!</v>
      </c>
      <c r="BV31" t="e">
        <f>AND(#REF!,"AAAAAFj+90k=")</f>
        <v>#REF!</v>
      </c>
      <c r="BW31" t="e">
        <f>AND(#REF!,"AAAAAFj+90o=")</f>
        <v>#REF!</v>
      </c>
      <c r="BX31" t="e">
        <f>AND(#REF!,"AAAAAFj+90s=")</f>
        <v>#REF!</v>
      </c>
      <c r="BY31" t="e">
        <f>AND(#REF!,"AAAAAFj+90w=")</f>
        <v>#REF!</v>
      </c>
      <c r="BZ31" t="e">
        <f>AND(#REF!,"AAAAAFj+900=")</f>
        <v>#REF!</v>
      </c>
      <c r="CA31" t="e">
        <f>AND(#REF!,"AAAAAFj+904=")</f>
        <v>#REF!</v>
      </c>
      <c r="CB31" t="e">
        <f>AND(#REF!,"AAAAAFj+908=")</f>
        <v>#REF!</v>
      </c>
      <c r="CC31" t="e">
        <f>AND(#REF!,"AAAAAFj+91A=")</f>
        <v>#REF!</v>
      </c>
      <c r="CD31" t="e">
        <f>IF(#REF!,"AAAAAFj+91E=",0)</f>
        <v>#REF!</v>
      </c>
      <c r="CE31" t="e">
        <f>AND(#REF!,"AAAAAFj+91I=")</f>
        <v>#REF!</v>
      </c>
      <c r="CF31" t="e">
        <f>AND(#REF!,"AAAAAFj+91M=")</f>
        <v>#REF!</v>
      </c>
      <c r="CG31" t="e">
        <f>AND(#REF!,"AAAAAFj+91Q=")</f>
        <v>#REF!</v>
      </c>
      <c r="CH31" t="e">
        <f>AND(#REF!,"AAAAAFj+91U=")</f>
        <v>#REF!</v>
      </c>
      <c r="CI31" t="e">
        <f>AND(#REF!,"AAAAAFj+91Y=")</f>
        <v>#REF!</v>
      </c>
      <c r="CJ31" t="e">
        <f>AND(#REF!,"AAAAAFj+91c=")</f>
        <v>#REF!</v>
      </c>
      <c r="CK31" t="e">
        <f>AND(#REF!,"AAAAAFj+91g=")</f>
        <v>#REF!</v>
      </c>
      <c r="CL31" t="e">
        <f>AND(#REF!,"AAAAAFj+91k=")</f>
        <v>#REF!</v>
      </c>
      <c r="CM31" t="e">
        <f>IF(#REF!,"AAAAAFj+91o=",0)</f>
        <v>#REF!</v>
      </c>
      <c r="CN31" t="e">
        <f>AND(#REF!,"AAAAAFj+91s=")</f>
        <v>#REF!</v>
      </c>
      <c r="CO31" t="e">
        <f>AND(#REF!,"AAAAAFj+91w=")</f>
        <v>#REF!</v>
      </c>
      <c r="CP31" t="e">
        <f>AND(#REF!,"AAAAAFj+910=")</f>
        <v>#REF!</v>
      </c>
      <c r="CQ31" t="e">
        <f>AND(#REF!,"AAAAAFj+914=")</f>
        <v>#REF!</v>
      </c>
      <c r="CR31" t="e">
        <f>AND(#REF!,"AAAAAFj+918=")</f>
        <v>#REF!</v>
      </c>
      <c r="CS31" t="e">
        <f>AND(#REF!,"AAAAAFj+92A=")</f>
        <v>#REF!</v>
      </c>
      <c r="CT31" t="e">
        <f>AND(#REF!,"AAAAAFj+92E=")</f>
        <v>#REF!</v>
      </c>
      <c r="CU31" t="e">
        <f>AND(#REF!,"AAAAAFj+92I=")</f>
        <v>#REF!</v>
      </c>
      <c r="CV31" t="e">
        <f>IF(#REF!,"AAAAAFj+92M=",0)</f>
        <v>#REF!</v>
      </c>
      <c r="CW31" t="e">
        <f>AND(#REF!,"AAAAAFj+92Q=")</f>
        <v>#REF!</v>
      </c>
      <c r="CX31" t="e">
        <f>AND(#REF!,"AAAAAFj+92U=")</f>
        <v>#REF!</v>
      </c>
      <c r="CY31" t="e">
        <f>AND(#REF!,"AAAAAFj+92Y=")</f>
        <v>#REF!</v>
      </c>
      <c r="CZ31" t="e">
        <f>AND(#REF!,"AAAAAFj+92c=")</f>
        <v>#REF!</v>
      </c>
      <c r="DA31" t="e">
        <f>AND(#REF!,"AAAAAFj+92g=")</f>
        <v>#REF!</v>
      </c>
      <c r="DB31" t="e">
        <f>AND(#REF!,"AAAAAFj+92k=")</f>
        <v>#REF!</v>
      </c>
      <c r="DC31" t="e">
        <f>AND(#REF!,"AAAAAFj+92o=")</f>
        <v>#REF!</v>
      </c>
      <c r="DD31" t="e">
        <f>AND(#REF!,"AAAAAFj+92s=")</f>
        <v>#REF!</v>
      </c>
      <c r="DE31" t="e">
        <f>IF(#REF!,"AAAAAFj+92w=",0)</f>
        <v>#REF!</v>
      </c>
      <c r="DF31" t="e">
        <f>AND(#REF!,"AAAAAFj+920=")</f>
        <v>#REF!</v>
      </c>
      <c r="DG31" t="e">
        <f>AND(#REF!,"AAAAAFj+924=")</f>
        <v>#REF!</v>
      </c>
      <c r="DH31" t="e">
        <f>AND(#REF!,"AAAAAFj+928=")</f>
        <v>#REF!</v>
      </c>
      <c r="DI31" t="e">
        <f>AND(#REF!,"AAAAAFj+93A=")</f>
        <v>#REF!</v>
      </c>
      <c r="DJ31" t="e">
        <f>AND(#REF!,"AAAAAFj+93E=")</f>
        <v>#REF!</v>
      </c>
      <c r="DK31" t="e">
        <f>AND(#REF!,"AAAAAFj+93I=")</f>
        <v>#REF!</v>
      </c>
      <c r="DL31" t="e">
        <f>AND(#REF!,"AAAAAFj+93M=")</f>
        <v>#REF!</v>
      </c>
      <c r="DM31" t="e">
        <f>AND(#REF!,"AAAAAFj+93Q=")</f>
        <v>#REF!</v>
      </c>
      <c r="DN31" t="e">
        <f>IF(#REF!,"AAAAAFj+93U=",0)</f>
        <v>#REF!</v>
      </c>
      <c r="DO31" t="e">
        <f>AND(#REF!,"AAAAAFj+93Y=")</f>
        <v>#REF!</v>
      </c>
      <c r="DP31" t="e">
        <f>AND(#REF!,"AAAAAFj+93c=")</f>
        <v>#REF!</v>
      </c>
      <c r="DQ31" t="e">
        <f>AND(#REF!,"AAAAAFj+93g=")</f>
        <v>#REF!</v>
      </c>
      <c r="DR31" t="e">
        <f>AND(#REF!,"AAAAAFj+93k=")</f>
        <v>#REF!</v>
      </c>
      <c r="DS31" t="e">
        <f>AND(#REF!,"AAAAAFj+93o=")</f>
        <v>#REF!</v>
      </c>
      <c r="DT31" t="e">
        <f>AND(#REF!,"AAAAAFj+93s=")</f>
        <v>#REF!</v>
      </c>
      <c r="DU31" t="e">
        <f>AND(#REF!,"AAAAAFj+93w=")</f>
        <v>#REF!</v>
      </c>
      <c r="DV31" t="e">
        <f>AND(#REF!,"AAAAAFj+930=")</f>
        <v>#REF!</v>
      </c>
      <c r="DW31" t="e">
        <f>IF(#REF!,"AAAAAFj+934=",0)</f>
        <v>#REF!</v>
      </c>
      <c r="DX31" t="e">
        <f>AND(#REF!,"AAAAAFj+938=")</f>
        <v>#REF!</v>
      </c>
      <c r="DY31" t="e">
        <f>AND(#REF!,"AAAAAFj+94A=")</f>
        <v>#REF!</v>
      </c>
      <c r="DZ31" t="e">
        <f>AND(#REF!,"AAAAAFj+94E=")</f>
        <v>#REF!</v>
      </c>
      <c r="EA31" t="e">
        <f>AND(#REF!,"AAAAAFj+94I=")</f>
        <v>#REF!</v>
      </c>
      <c r="EB31" t="e">
        <f>AND(#REF!,"AAAAAFj+94M=")</f>
        <v>#REF!</v>
      </c>
      <c r="EC31" t="e">
        <f>AND(#REF!,"AAAAAFj+94Q=")</f>
        <v>#REF!</v>
      </c>
      <c r="ED31" t="e">
        <f>AND(#REF!,"AAAAAFj+94U=")</f>
        <v>#REF!</v>
      </c>
      <c r="EE31" t="e">
        <f>AND(#REF!,"AAAAAFj+94Y=")</f>
        <v>#REF!</v>
      </c>
      <c r="EF31" t="e">
        <f>IF(#REF!,"AAAAAFj+94c=",0)</f>
        <v>#REF!</v>
      </c>
      <c r="EG31" t="e">
        <f>AND(#REF!,"AAAAAFj+94g=")</f>
        <v>#REF!</v>
      </c>
      <c r="EH31" t="e">
        <f>AND(#REF!,"AAAAAFj+94k=")</f>
        <v>#REF!</v>
      </c>
      <c r="EI31" t="e">
        <f>AND(#REF!,"AAAAAFj+94o=")</f>
        <v>#REF!</v>
      </c>
      <c r="EJ31" t="e">
        <f>AND(#REF!,"AAAAAFj+94s=")</f>
        <v>#REF!</v>
      </c>
      <c r="EK31" t="e">
        <f>AND(#REF!,"AAAAAFj+94w=")</f>
        <v>#REF!</v>
      </c>
      <c r="EL31" t="e">
        <f>AND(#REF!,"AAAAAFj+940=")</f>
        <v>#REF!</v>
      </c>
      <c r="EM31" t="e">
        <f>AND(#REF!,"AAAAAFj+944=")</f>
        <v>#REF!</v>
      </c>
      <c r="EN31" t="e">
        <f>AND(#REF!,"AAAAAFj+948=")</f>
        <v>#REF!</v>
      </c>
      <c r="EO31" t="e">
        <f>IF(#REF!,"AAAAAFj+95A=",0)</f>
        <v>#REF!</v>
      </c>
      <c r="EP31" t="e">
        <f>AND(#REF!,"AAAAAFj+95E=")</f>
        <v>#REF!</v>
      </c>
      <c r="EQ31" t="e">
        <f>AND(#REF!,"AAAAAFj+95I=")</f>
        <v>#REF!</v>
      </c>
      <c r="ER31" t="e">
        <f>AND(#REF!,"AAAAAFj+95M=")</f>
        <v>#REF!</v>
      </c>
      <c r="ES31" t="e">
        <f>AND(#REF!,"AAAAAFj+95Q=")</f>
        <v>#REF!</v>
      </c>
      <c r="ET31" t="e">
        <f>AND(#REF!,"AAAAAFj+95U=")</f>
        <v>#REF!</v>
      </c>
      <c r="EU31" t="e">
        <f>AND(#REF!,"AAAAAFj+95Y=")</f>
        <v>#REF!</v>
      </c>
      <c r="EV31" t="e">
        <f>AND(#REF!,"AAAAAFj+95c=")</f>
        <v>#REF!</v>
      </c>
      <c r="EW31" t="e">
        <f>AND(#REF!,"AAAAAFj+95g=")</f>
        <v>#REF!</v>
      </c>
      <c r="EX31" t="e">
        <f>IF(#REF!,"AAAAAFj+95k=",0)</f>
        <v>#REF!</v>
      </c>
      <c r="EY31" t="e">
        <f>AND(#REF!,"AAAAAFj+95o=")</f>
        <v>#REF!</v>
      </c>
      <c r="EZ31" t="e">
        <f>AND(#REF!,"AAAAAFj+95s=")</f>
        <v>#REF!</v>
      </c>
      <c r="FA31" t="e">
        <f>AND(#REF!,"AAAAAFj+95w=")</f>
        <v>#REF!</v>
      </c>
      <c r="FB31" t="e">
        <f>AND(#REF!,"AAAAAFj+950=")</f>
        <v>#REF!</v>
      </c>
      <c r="FC31" t="e">
        <f>AND(#REF!,"AAAAAFj+954=")</f>
        <v>#REF!</v>
      </c>
      <c r="FD31" t="e">
        <f>AND(#REF!,"AAAAAFj+958=")</f>
        <v>#REF!</v>
      </c>
      <c r="FE31" t="e">
        <f>AND(#REF!,"AAAAAFj+96A=")</f>
        <v>#REF!</v>
      </c>
      <c r="FF31" t="e">
        <f>AND(#REF!,"AAAAAFj+96E=")</f>
        <v>#REF!</v>
      </c>
      <c r="FG31" t="e">
        <f>IF(#REF!,"AAAAAFj+96I=",0)</f>
        <v>#REF!</v>
      </c>
      <c r="FH31" t="e">
        <f>AND(#REF!,"AAAAAFj+96M=")</f>
        <v>#REF!</v>
      </c>
      <c r="FI31" t="e">
        <f>AND(#REF!,"AAAAAFj+96Q=")</f>
        <v>#REF!</v>
      </c>
      <c r="FJ31" t="e">
        <f>AND(#REF!,"AAAAAFj+96U=")</f>
        <v>#REF!</v>
      </c>
      <c r="FK31" t="e">
        <f>AND(#REF!,"AAAAAFj+96Y=")</f>
        <v>#REF!</v>
      </c>
      <c r="FL31" t="e">
        <f>AND(#REF!,"AAAAAFj+96c=")</f>
        <v>#REF!</v>
      </c>
      <c r="FM31" t="e">
        <f>AND(#REF!,"AAAAAFj+96g=")</f>
        <v>#REF!</v>
      </c>
      <c r="FN31" t="e">
        <f>AND(#REF!,"AAAAAFj+96k=")</f>
        <v>#REF!</v>
      </c>
      <c r="FO31" t="e">
        <f>AND(#REF!,"AAAAAFj+96o=")</f>
        <v>#REF!</v>
      </c>
      <c r="FP31" t="e">
        <f>IF(#REF!,"AAAAAFj+96s=",0)</f>
        <v>#REF!</v>
      </c>
      <c r="FQ31" t="e">
        <f>AND(#REF!,"AAAAAFj+96w=")</f>
        <v>#REF!</v>
      </c>
      <c r="FR31" t="e">
        <f>AND(#REF!,"AAAAAFj+960=")</f>
        <v>#REF!</v>
      </c>
      <c r="FS31" t="e">
        <f>AND(#REF!,"AAAAAFj+964=")</f>
        <v>#REF!</v>
      </c>
      <c r="FT31" t="e">
        <f>AND(#REF!,"AAAAAFj+968=")</f>
        <v>#REF!</v>
      </c>
      <c r="FU31" t="e">
        <f>AND(#REF!,"AAAAAFj+97A=")</f>
        <v>#REF!</v>
      </c>
      <c r="FV31" t="e">
        <f>AND(#REF!,"AAAAAFj+97E=")</f>
        <v>#REF!</v>
      </c>
      <c r="FW31" t="e">
        <f>AND(#REF!,"AAAAAFj+97I=")</f>
        <v>#REF!</v>
      </c>
      <c r="FX31" t="e">
        <f>AND(#REF!,"AAAAAFj+97M=")</f>
        <v>#REF!</v>
      </c>
      <c r="FY31" t="e">
        <f>IF(#REF!,"AAAAAFj+97Q=",0)</f>
        <v>#REF!</v>
      </c>
      <c r="FZ31" t="e">
        <f>AND(#REF!,"AAAAAFj+97U=")</f>
        <v>#REF!</v>
      </c>
      <c r="GA31" t="e">
        <f>AND(#REF!,"AAAAAFj+97Y=")</f>
        <v>#REF!</v>
      </c>
      <c r="GB31" t="e">
        <f>AND(#REF!,"AAAAAFj+97c=")</f>
        <v>#REF!</v>
      </c>
      <c r="GC31" t="e">
        <f>AND(#REF!,"AAAAAFj+97g=")</f>
        <v>#REF!</v>
      </c>
      <c r="GD31" t="e">
        <f>AND(#REF!,"AAAAAFj+97k=")</f>
        <v>#REF!</v>
      </c>
      <c r="GE31" t="e">
        <f>AND(#REF!,"AAAAAFj+97o=")</f>
        <v>#REF!</v>
      </c>
      <c r="GF31" t="e">
        <f>AND(#REF!,"AAAAAFj+97s=")</f>
        <v>#REF!</v>
      </c>
      <c r="GG31" t="e">
        <f>AND(#REF!,"AAAAAFj+97w=")</f>
        <v>#REF!</v>
      </c>
      <c r="GH31" t="e">
        <f>IF(#REF!,"AAAAAFj+970=",0)</f>
        <v>#REF!</v>
      </c>
      <c r="GI31" t="e">
        <f>AND(#REF!,"AAAAAFj+974=")</f>
        <v>#REF!</v>
      </c>
      <c r="GJ31" t="e">
        <f>AND(#REF!,"AAAAAFj+978=")</f>
        <v>#REF!</v>
      </c>
      <c r="GK31" t="e">
        <f>AND(#REF!,"AAAAAFj+98A=")</f>
        <v>#REF!</v>
      </c>
      <c r="GL31" t="e">
        <f>AND(#REF!,"AAAAAFj+98E=")</f>
        <v>#REF!</v>
      </c>
      <c r="GM31" t="e">
        <f>AND(#REF!,"AAAAAFj+98I=")</f>
        <v>#REF!</v>
      </c>
      <c r="GN31" t="e">
        <f>AND(#REF!,"AAAAAFj+98M=")</f>
        <v>#REF!</v>
      </c>
      <c r="GO31" t="e">
        <f>AND(#REF!,"AAAAAFj+98Q=")</f>
        <v>#REF!</v>
      </c>
      <c r="GP31" t="e">
        <f>AND(#REF!,"AAAAAFj+98U=")</f>
        <v>#REF!</v>
      </c>
      <c r="GQ31" t="e">
        <f>IF(#REF!,"AAAAAFj+98Y=",0)</f>
        <v>#REF!</v>
      </c>
      <c r="GR31" t="e">
        <f>AND(#REF!,"AAAAAFj+98c=")</f>
        <v>#REF!</v>
      </c>
      <c r="GS31" t="e">
        <f>AND(#REF!,"AAAAAFj+98g=")</f>
        <v>#REF!</v>
      </c>
      <c r="GT31" t="e">
        <f>AND(#REF!,"AAAAAFj+98k=")</f>
        <v>#REF!</v>
      </c>
      <c r="GU31" t="e">
        <f>AND(#REF!,"AAAAAFj+98o=")</f>
        <v>#REF!</v>
      </c>
      <c r="GV31" t="e">
        <f>AND(#REF!,"AAAAAFj+98s=")</f>
        <v>#REF!</v>
      </c>
      <c r="GW31" t="e">
        <f>AND(#REF!,"AAAAAFj+98w=")</f>
        <v>#REF!</v>
      </c>
      <c r="GX31" t="e">
        <f>AND(#REF!,"AAAAAFj+980=")</f>
        <v>#REF!</v>
      </c>
      <c r="GY31" t="e">
        <f>AND(#REF!,"AAAAAFj+984=")</f>
        <v>#REF!</v>
      </c>
      <c r="GZ31" t="e">
        <f>IF(#REF!,"AAAAAFj+988=",0)</f>
        <v>#REF!</v>
      </c>
      <c r="HA31" t="e">
        <f>AND(#REF!,"AAAAAFj+99A=")</f>
        <v>#REF!</v>
      </c>
      <c r="HB31" t="e">
        <f>AND(#REF!,"AAAAAFj+99E=")</f>
        <v>#REF!</v>
      </c>
      <c r="HC31" t="e">
        <f>AND(#REF!,"AAAAAFj+99I=")</f>
        <v>#REF!</v>
      </c>
      <c r="HD31" t="e">
        <f>AND(#REF!,"AAAAAFj+99M=")</f>
        <v>#REF!</v>
      </c>
      <c r="HE31" t="e">
        <f>AND(#REF!,"AAAAAFj+99Q=")</f>
        <v>#REF!</v>
      </c>
      <c r="HF31" t="e">
        <f>AND(#REF!,"AAAAAFj+99U=")</f>
        <v>#REF!</v>
      </c>
      <c r="HG31" t="e">
        <f>AND(#REF!,"AAAAAFj+99Y=")</f>
        <v>#REF!</v>
      </c>
      <c r="HH31" t="e">
        <f>AND(#REF!,"AAAAAFj+99c=")</f>
        <v>#REF!</v>
      </c>
      <c r="HI31" t="e">
        <f>IF(#REF!,"AAAAAFj+99g=",0)</f>
        <v>#REF!</v>
      </c>
      <c r="HJ31" t="e">
        <f>AND(#REF!,"AAAAAFj+99k=")</f>
        <v>#REF!</v>
      </c>
      <c r="HK31" t="e">
        <f>AND(#REF!,"AAAAAFj+99o=")</f>
        <v>#REF!</v>
      </c>
      <c r="HL31" t="e">
        <f>AND(#REF!,"AAAAAFj+99s=")</f>
        <v>#REF!</v>
      </c>
      <c r="HM31" t="e">
        <f>AND(#REF!,"AAAAAFj+99w=")</f>
        <v>#REF!</v>
      </c>
      <c r="HN31" t="e">
        <f>AND(#REF!,"AAAAAFj+990=")</f>
        <v>#REF!</v>
      </c>
      <c r="HO31" t="e">
        <f>AND(#REF!,"AAAAAFj+994=")</f>
        <v>#REF!</v>
      </c>
      <c r="HP31" t="e">
        <f>AND(#REF!,"AAAAAFj+998=")</f>
        <v>#REF!</v>
      </c>
      <c r="HQ31" t="e">
        <f>AND(#REF!,"AAAAAFj+9+A=")</f>
        <v>#REF!</v>
      </c>
      <c r="HR31" t="e">
        <f>IF(#REF!,"AAAAAFj+9+E=",0)</f>
        <v>#REF!</v>
      </c>
      <c r="HS31" t="e">
        <f>AND(#REF!,"AAAAAFj+9+I=")</f>
        <v>#REF!</v>
      </c>
      <c r="HT31" t="e">
        <f>AND(#REF!,"AAAAAFj+9+M=")</f>
        <v>#REF!</v>
      </c>
      <c r="HU31" t="e">
        <f>AND(#REF!,"AAAAAFj+9+Q=")</f>
        <v>#REF!</v>
      </c>
      <c r="HV31" t="e">
        <f>AND(#REF!,"AAAAAFj+9+U=")</f>
        <v>#REF!</v>
      </c>
      <c r="HW31" t="e">
        <f>AND(#REF!,"AAAAAFj+9+Y=")</f>
        <v>#REF!</v>
      </c>
      <c r="HX31" t="e">
        <f>AND(#REF!,"AAAAAFj+9+c=")</f>
        <v>#REF!</v>
      </c>
      <c r="HY31" t="e">
        <f>AND(#REF!,"AAAAAFj+9+g=")</f>
        <v>#REF!</v>
      </c>
      <c r="HZ31" t="e">
        <f>AND(#REF!,"AAAAAFj+9+k=")</f>
        <v>#REF!</v>
      </c>
      <c r="IA31" t="e">
        <f>IF(#REF!,"AAAAAFj+9+o=",0)</f>
        <v>#REF!</v>
      </c>
      <c r="IB31" t="e">
        <f>AND(#REF!,"AAAAAFj+9+s=")</f>
        <v>#REF!</v>
      </c>
      <c r="IC31" t="e">
        <f>AND(#REF!,"AAAAAFj+9+w=")</f>
        <v>#REF!</v>
      </c>
      <c r="ID31" t="e">
        <f>AND(#REF!,"AAAAAFj+9+0=")</f>
        <v>#REF!</v>
      </c>
      <c r="IE31" t="e">
        <f>AND(#REF!,"AAAAAFj+9+4=")</f>
        <v>#REF!</v>
      </c>
      <c r="IF31" t="e">
        <f>AND(#REF!,"AAAAAFj+9+8=")</f>
        <v>#REF!</v>
      </c>
      <c r="IG31" t="e">
        <f>AND(#REF!,"AAAAAFj+9/A=")</f>
        <v>#REF!</v>
      </c>
      <c r="IH31" t="e">
        <f>AND(#REF!,"AAAAAFj+9/E=")</f>
        <v>#REF!</v>
      </c>
      <c r="II31" t="e">
        <f>AND(#REF!,"AAAAAFj+9/I=")</f>
        <v>#REF!</v>
      </c>
      <c r="IJ31" t="e">
        <f>IF(#REF!,"AAAAAFj+9/M=",0)</f>
        <v>#REF!</v>
      </c>
      <c r="IK31" t="e">
        <f>AND(#REF!,"AAAAAFj+9/Q=")</f>
        <v>#REF!</v>
      </c>
      <c r="IL31" t="e">
        <f>AND(#REF!,"AAAAAFj+9/U=")</f>
        <v>#REF!</v>
      </c>
      <c r="IM31" t="e">
        <f>AND(#REF!,"AAAAAFj+9/Y=")</f>
        <v>#REF!</v>
      </c>
      <c r="IN31" t="e">
        <f>AND(#REF!,"AAAAAFj+9/c=")</f>
        <v>#REF!</v>
      </c>
      <c r="IO31" t="e">
        <f>AND(#REF!,"AAAAAFj+9/g=")</f>
        <v>#REF!</v>
      </c>
      <c r="IP31" t="e">
        <f>AND(#REF!,"AAAAAFj+9/k=")</f>
        <v>#REF!</v>
      </c>
      <c r="IQ31" t="e">
        <f>AND(#REF!,"AAAAAFj+9/o=")</f>
        <v>#REF!</v>
      </c>
      <c r="IR31" t="e">
        <f>AND(#REF!,"AAAAAFj+9/s=")</f>
        <v>#REF!</v>
      </c>
      <c r="IS31" t="e">
        <f>IF(#REF!,"AAAAAFj+9/w=",0)</f>
        <v>#REF!</v>
      </c>
      <c r="IT31" t="e">
        <f>AND(#REF!,"AAAAAFj+9/0=")</f>
        <v>#REF!</v>
      </c>
      <c r="IU31" t="e">
        <f>AND(#REF!,"AAAAAFj+9/4=")</f>
        <v>#REF!</v>
      </c>
      <c r="IV31" t="e">
        <f>AND(#REF!,"AAAAAFj+9/8=")</f>
        <v>#REF!</v>
      </c>
    </row>
    <row r="32" spans="1:256" x14ac:dyDescent="0.2">
      <c r="A32" t="e">
        <f>AND(#REF!,"AAAAAH6o/AA=")</f>
        <v>#REF!</v>
      </c>
      <c r="B32" t="e">
        <f>AND(#REF!,"AAAAAH6o/AE=")</f>
        <v>#REF!</v>
      </c>
      <c r="C32" t="e">
        <f>AND(#REF!,"AAAAAH6o/AI=")</f>
        <v>#REF!</v>
      </c>
      <c r="D32" t="e">
        <f>AND(#REF!,"AAAAAH6o/AM=")</f>
        <v>#REF!</v>
      </c>
      <c r="E32" t="e">
        <f>AND(#REF!,"AAAAAH6o/AQ=")</f>
        <v>#REF!</v>
      </c>
      <c r="F32" t="e">
        <f>IF(#REF!,"AAAAAH6o/AU=",0)</f>
        <v>#REF!</v>
      </c>
      <c r="G32" t="e">
        <f>AND(#REF!,"AAAAAH6o/AY=")</f>
        <v>#REF!</v>
      </c>
      <c r="H32" t="e">
        <f>AND(#REF!,"AAAAAH6o/Ac=")</f>
        <v>#REF!</v>
      </c>
      <c r="I32" t="e">
        <f>AND(#REF!,"AAAAAH6o/Ag=")</f>
        <v>#REF!</v>
      </c>
      <c r="J32" t="e">
        <f>AND(#REF!,"AAAAAH6o/Ak=")</f>
        <v>#REF!</v>
      </c>
      <c r="K32" t="e">
        <f>AND(#REF!,"AAAAAH6o/Ao=")</f>
        <v>#REF!</v>
      </c>
      <c r="L32" t="e">
        <f>AND(#REF!,"AAAAAH6o/As=")</f>
        <v>#REF!</v>
      </c>
      <c r="M32" t="e">
        <f>AND(#REF!,"AAAAAH6o/Aw=")</f>
        <v>#REF!</v>
      </c>
      <c r="N32" t="e">
        <f>AND(#REF!,"AAAAAH6o/A0=")</f>
        <v>#REF!</v>
      </c>
      <c r="O32" t="e">
        <f>IF(#REF!,"AAAAAH6o/A4=",0)</f>
        <v>#REF!</v>
      </c>
      <c r="P32" t="e">
        <f>AND(#REF!,"AAAAAH6o/A8=")</f>
        <v>#REF!</v>
      </c>
      <c r="Q32" t="e">
        <f>AND(#REF!,"AAAAAH6o/BA=")</f>
        <v>#REF!</v>
      </c>
      <c r="R32" t="e">
        <f>AND(#REF!,"AAAAAH6o/BE=")</f>
        <v>#REF!</v>
      </c>
      <c r="S32" t="e">
        <f>AND(#REF!,"AAAAAH6o/BI=")</f>
        <v>#REF!</v>
      </c>
      <c r="T32" t="e">
        <f>AND(#REF!,"AAAAAH6o/BM=")</f>
        <v>#REF!</v>
      </c>
      <c r="U32" t="e">
        <f>AND(#REF!,"AAAAAH6o/BQ=")</f>
        <v>#REF!</v>
      </c>
      <c r="V32" t="e">
        <f>AND(#REF!,"AAAAAH6o/BU=")</f>
        <v>#REF!</v>
      </c>
      <c r="W32" t="e">
        <f>AND(#REF!,"AAAAAH6o/BY=")</f>
        <v>#REF!</v>
      </c>
      <c r="X32" t="e">
        <f>IF(#REF!,"AAAAAH6o/Bc=",0)</f>
        <v>#REF!</v>
      </c>
      <c r="Y32" t="e">
        <f>AND(#REF!,"AAAAAH6o/Bg=")</f>
        <v>#REF!</v>
      </c>
      <c r="Z32" t="e">
        <f>AND(#REF!,"AAAAAH6o/Bk=")</f>
        <v>#REF!</v>
      </c>
      <c r="AA32" t="e">
        <f>AND(#REF!,"AAAAAH6o/Bo=")</f>
        <v>#REF!</v>
      </c>
      <c r="AB32" t="e">
        <f>AND(#REF!,"AAAAAH6o/Bs=")</f>
        <v>#REF!</v>
      </c>
      <c r="AC32" t="e">
        <f>AND(#REF!,"AAAAAH6o/Bw=")</f>
        <v>#REF!</v>
      </c>
      <c r="AD32" t="e">
        <f>AND(#REF!,"AAAAAH6o/B0=")</f>
        <v>#REF!</v>
      </c>
      <c r="AE32" t="e">
        <f>AND(#REF!,"AAAAAH6o/B4=")</f>
        <v>#REF!</v>
      </c>
      <c r="AF32" t="e">
        <f>AND(#REF!,"AAAAAH6o/B8=")</f>
        <v>#REF!</v>
      </c>
      <c r="AG32" t="e">
        <f>IF(#REF!,"AAAAAH6o/CA=",0)</f>
        <v>#REF!</v>
      </c>
      <c r="AH32" t="e">
        <f>AND(#REF!,"AAAAAH6o/CE=")</f>
        <v>#REF!</v>
      </c>
      <c r="AI32" t="e">
        <f>AND(#REF!,"AAAAAH6o/CI=")</f>
        <v>#REF!</v>
      </c>
      <c r="AJ32" t="e">
        <f>AND(#REF!,"AAAAAH6o/CM=")</f>
        <v>#REF!</v>
      </c>
      <c r="AK32" t="e">
        <f>AND(#REF!,"AAAAAH6o/CQ=")</f>
        <v>#REF!</v>
      </c>
      <c r="AL32" t="e">
        <f>AND(#REF!,"AAAAAH6o/CU=")</f>
        <v>#REF!</v>
      </c>
      <c r="AM32" t="e">
        <f>AND(#REF!,"AAAAAH6o/CY=")</f>
        <v>#REF!</v>
      </c>
      <c r="AN32" t="e">
        <f>AND(#REF!,"AAAAAH6o/Cc=")</f>
        <v>#REF!</v>
      </c>
      <c r="AO32" t="e">
        <f>AND(#REF!,"AAAAAH6o/Cg=")</f>
        <v>#REF!</v>
      </c>
      <c r="AP32" t="e">
        <f>IF(#REF!,"AAAAAH6o/Ck=",0)</f>
        <v>#REF!</v>
      </c>
      <c r="AQ32" t="e">
        <f>AND(#REF!,"AAAAAH6o/Co=")</f>
        <v>#REF!</v>
      </c>
      <c r="AR32" t="e">
        <f>AND(#REF!,"AAAAAH6o/Cs=")</f>
        <v>#REF!</v>
      </c>
      <c r="AS32" t="e">
        <f>AND(#REF!,"AAAAAH6o/Cw=")</f>
        <v>#REF!</v>
      </c>
      <c r="AT32" t="e">
        <f>AND(#REF!,"AAAAAH6o/C0=")</f>
        <v>#REF!</v>
      </c>
      <c r="AU32" t="e">
        <f>AND(#REF!,"AAAAAH6o/C4=")</f>
        <v>#REF!</v>
      </c>
      <c r="AV32" t="e">
        <f>AND(#REF!,"AAAAAH6o/C8=")</f>
        <v>#REF!</v>
      </c>
      <c r="AW32" t="e">
        <f>AND(#REF!,"AAAAAH6o/DA=")</f>
        <v>#REF!</v>
      </c>
      <c r="AX32" t="e">
        <f>AND(#REF!,"AAAAAH6o/DE=")</f>
        <v>#REF!</v>
      </c>
      <c r="AY32" t="e">
        <f>IF(#REF!,"AAAAAH6o/DI=",0)</f>
        <v>#REF!</v>
      </c>
      <c r="AZ32" t="e">
        <f>AND(#REF!,"AAAAAH6o/DM=")</f>
        <v>#REF!</v>
      </c>
      <c r="BA32" t="e">
        <f>AND(#REF!,"AAAAAH6o/DQ=")</f>
        <v>#REF!</v>
      </c>
      <c r="BB32" t="e">
        <f>AND(#REF!,"AAAAAH6o/DU=")</f>
        <v>#REF!</v>
      </c>
      <c r="BC32" t="e">
        <f>AND(#REF!,"AAAAAH6o/DY=")</f>
        <v>#REF!</v>
      </c>
      <c r="BD32" t="e">
        <f>AND(#REF!,"AAAAAH6o/Dc=")</f>
        <v>#REF!</v>
      </c>
      <c r="BE32" t="e">
        <f>AND(#REF!,"AAAAAH6o/Dg=")</f>
        <v>#REF!</v>
      </c>
      <c r="BF32" t="e">
        <f>AND(#REF!,"AAAAAH6o/Dk=")</f>
        <v>#REF!</v>
      </c>
      <c r="BG32" t="e">
        <f>AND(#REF!,"AAAAAH6o/Do=")</f>
        <v>#REF!</v>
      </c>
      <c r="BH32" t="e">
        <f>IF(#REF!,"AAAAAH6o/Ds=",0)</f>
        <v>#REF!</v>
      </c>
      <c r="BI32" t="e">
        <f>AND(#REF!,"AAAAAH6o/Dw=")</f>
        <v>#REF!</v>
      </c>
      <c r="BJ32" t="e">
        <f>AND(#REF!,"AAAAAH6o/D0=")</f>
        <v>#REF!</v>
      </c>
      <c r="BK32" t="e">
        <f>AND(#REF!,"AAAAAH6o/D4=")</f>
        <v>#REF!</v>
      </c>
      <c r="BL32" t="e">
        <f>AND(#REF!,"AAAAAH6o/D8=")</f>
        <v>#REF!</v>
      </c>
      <c r="BM32" t="e">
        <f>AND(#REF!,"AAAAAH6o/EA=")</f>
        <v>#REF!</v>
      </c>
      <c r="BN32" t="e">
        <f>AND(#REF!,"AAAAAH6o/EE=")</f>
        <v>#REF!</v>
      </c>
      <c r="BO32" t="e">
        <f>AND(#REF!,"AAAAAH6o/EI=")</f>
        <v>#REF!</v>
      </c>
      <c r="BP32" t="e">
        <f>AND(#REF!,"AAAAAH6o/EM=")</f>
        <v>#REF!</v>
      </c>
      <c r="BQ32" t="e">
        <f>IF(#REF!,"AAAAAH6o/EQ=",0)</f>
        <v>#REF!</v>
      </c>
      <c r="BR32" t="e">
        <f>AND(#REF!,"AAAAAH6o/EU=")</f>
        <v>#REF!</v>
      </c>
      <c r="BS32" t="e">
        <f>AND(#REF!,"AAAAAH6o/EY=")</f>
        <v>#REF!</v>
      </c>
      <c r="BT32" t="e">
        <f>AND(#REF!,"AAAAAH6o/Ec=")</f>
        <v>#REF!</v>
      </c>
      <c r="BU32" t="e">
        <f>AND(#REF!,"AAAAAH6o/Eg=")</f>
        <v>#REF!</v>
      </c>
      <c r="BV32" t="e">
        <f>AND(#REF!,"AAAAAH6o/Ek=")</f>
        <v>#REF!</v>
      </c>
      <c r="BW32" t="e">
        <f>AND(#REF!,"AAAAAH6o/Eo=")</f>
        <v>#REF!</v>
      </c>
      <c r="BX32" t="e">
        <f>AND(#REF!,"AAAAAH6o/Es=")</f>
        <v>#REF!</v>
      </c>
      <c r="BY32" t="e">
        <f>AND(#REF!,"AAAAAH6o/Ew=")</f>
        <v>#REF!</v>
      </c>
      <c r="BZ32" t="e">
        <f>IF(#REF!,"AAAAAH6o/E0=",0)</f>
        <v>#REF!</v>
      </c>
      <c r="CA32" t="e">
        <f>AND(#REF!,"AAAAAH6o/E4=")</f>
        <v>#REF!</v>
      </c>
      <c r="CB32" t="e">
        <f>AND(#REF!,"AAAAAH6o/E8=")</f>
        <v>#REF!</v>
      </c>
      <c r="CC32" t="e">
        <f>AND(#REF!,"AAAAAH6o/FA=")</f>
        <v>#REF!</v>
      </c>
      <c r="CD32" t="e">
        <f>AND(#REF!,"AAAAAH6o/FE=")</f>
        <v>#REF!</v>
      </c>
      <c r="CE32" t="e">
        <f>AND(#REF!,"AAAAAH6o/FI=")</f>
        <v>#REF!</v>
      </c>
      <c r="CF32" t="e">
        <f>AND(#REF!,"AAAAAH6o/FM=")</f>
        <v>#REF!</v>
      </c>
      <c r="CG32" t="e">
        <f>AND(#REF!,"AAAAAH6o/FQ=")</f>
        <v>#REF!</v>
      </c>
      <c r="CH32" t="e">
        <f>AND(#REF!,"AAAAAH6o/FU=")</f>
        <v>#REF!</v>
      </c>
      <c r="CI32" t="e">
        <f>IF(#REF!,"AAAAAH6o/FY=",0)</f>
        <v>#REF!</v>
      </c>
      <c r="CJ32" t="e">
        <f>AND(#REF!,"AAAAAH6o/Fc=")</f>
        <v>#REF!</v>
      </c>
      <c r="CK32" t="e">
        <f>AND(#REF!,"AAAAAH6o/Fg=")</f>
        <v>#REF!</v>
      </c>
      <c r="CL32" t="e">
        <f>AND(#REF!,"AAAAAH6o/Fk=")</f>
        <v>#REF!</v>
      </c>
      <c r="CM32" t="e">
        <f>AND(#REF!,"AAAAAH6o/Fo=")</f>
        <v>#REF!</v>
      </c>
      <c r="CN32" t="e">
        <f>AND(#REF!,"AAAAAH6o/Fs=")</f>
        <v>#REF!</v>
      </c>
      <c r="CO32" t="e">
        <f>AND(#REF!,"AAAAAH6o/Fw=")</f>
        <v>#REF!</v>
      </c>
      <c r="CP32" t="e">
        <f>AND(#REF!,"AAAAAH6o/F0=")</f>
        <v>#REF!</v>
      </c>
      <c r="CQ32" t="e">
        <f>AND(#REF!,"AAAAAH6o/F4=")</f>
        <v>#REF!</v>
      </c>
      <c r="CR32" t="e">
        <f>IF(#REF!,"AAAAAH6o/F8=",0)</f>
        <v>#REF!</v>
      </c>
      <c r="CS32" t="e">
        <f>AND(#REF!,"AAAAAH6o/GA=")</f>
        <v>#REF!</v>
      </c>
      <c r="CT32" t="e">
        <f>AND(#REF!,"AAAAAH6o/GE=")</f>
        <v>#REF!</v>
      </c>
      <c r="CU32" t="e">
        <f>AND(#REF!,"AAAAAH6o/GI=")</f>
        <v>#REF!</v>
      </c>
      <c r="CV32" t="e">
        <f>AND(#REF!,"AAAAAH6o/GM=")</f>
        <v>#REF!</v>
      </c>
      <c r="CW32" t="e">
        <f>AND(#REF!,"AAAAAH6o/GQ=")</f>
        <v>#REF!</v>
      </c>
      <c r="CX32" t="e">
        <f>AND(#REF!,"AAAAAH6o/GU=")</f>
        <v>#REF!</v>
      </c>
      <c r="CY32" t="e">
        <f>AND(#REF!,"AAAAAH6o/GY=")</f>
        <v>#REF!</v>
      </c>
      <c r="CZ32" t="e">
        <f>AND(#REF!,"AAAAAH6o/Gc=")</f>
        <v>#REF!</v>
      </c>
      <c r="DA32" t="e">
        <f>IF(#REF!,"AAAAAH6o/Gg=",0)</f>
        <v>#REF!</v>
      </c>
      <c r="DB32" t="e">
        <f>AND(#REF!,"AAAAAH6o/Gk=")</f>
        <v>#REF!</v>
      </c>
      <c r="DC32" t="e">
        <f>AND(#REF!,"AAAAAH6o/Go=")</f>
        <v>#REF!</v>
      </c>
      <c r="DD32" t="e">
        <f>AND(#REF!,"AAAAAH6o/Gs=")</f>
        <v>#REF!</v>
      </c>
      <c r="DE32" t="e">
        <f>AND(#REF!,"AAAAAH6o/Gw=")</f>
        <v>#REF!</v>
      </c>
      <c r="DF32" t="e">
        <f>AND(#REF!,"AAAAAH6o/G0=")</f>
        <v>#REF!</v>
      </c>
      <c r="DG32" t="e">
        <f>AND(#REF!,"AAAAAH6o/G4=")</f>
        <v>#REF!</v>
      </c>
      <c r="DH32" t="e">
        <f>AND(#REF!,"AAAAAH6o/G8=")</f>
        <v>#REF!</v>
      </c>
      <c r="DI32" t="e">
        <f>AND(#REF!,"AAAAAH6o/HA=")</f>
        <v>#REF!</v>
      </c>
      <c r="DJ32" t="e">
        <f>IF(#REF!,"AAAAAH6o/HE=",0)</f>
        <v>#REF!</v>
      </c>
      <c r="DK32" t="e">
        <f>AND(#REF!,"AAAAAH6o/HI=")</f>
        <v>#REF!</v>
      </c>
      <c r="DL32" t="e">
        <f>AND(#REF!,"AAAAAH6o/HM=")</f>
        <v>#REF!</v>
      </c>
      <c r="DM32" t="e">
        <f>AND(#REF!,"AAAAAH6o/HQ=")</f>
        <v>#REF!</v>
      </c>
      <c r="DN32" t="e">
        <f>AND(#REF!,"AAAAAH6o/HU=")</f>
        <v>#REF!</v>
      </c>
      <c r="DO32" t="e">
        <f>AND(#REF!,"AAAAAH6o/HY=")</f>
        <v>#REF!</v>
      </c>
      <c r="DP32" t="e">
        <f>AND(#REF!,"AAAAAH6o/Hc=")</f>
        <v>#REF!</v>
      </c>
      <c r="DQ32" t="e">
        <f>AND(#REF!,"AAAAAH6o/Hg=")</f>
        <v>#REF!</v>
      </c>
      <c r="DR32" t="e">
        <f>AND(#REF!,"AAAAAH6o/Hk=")</f>
        <v>#REF!</v>
      </c>
      <c r="DS32" t="e">
        <f>IF(#REF!,"AAAAAH6o/Ho=",0)</f>
        <v>#REF!</v>
      </c>
      <c r="DT32" t="e">
        <f>AND(#REF!,"AAAAAH6o/Hs=")</f>
        <v>#REF!</v>
      </c>
      <c r="DU32" t="e">
        <f>AND(#REF!,"AAAAAH6o/Hw=")</f>
        <v>#REF!</v>
      </c>
      <c r="DV32" t="e">
        <f>AND(#REF!,"AAAAAH6o/H0=")</f>
        <v>#REF!</v>
      </c>
      <c r="DW32" t="e">
        <f>AND(#REF!,"AAAAAH6o/H4=")</f>
        <v>#REF!</v>
      </c>
      <c r="DX32" t="e">
        <f>AND(#REF!,"AAAAAH6o/H8=")</f>
        <v>#REF!</v>
      </c>
      <c r="DY32" t="e">
        <f>AND(#REF!,"AAAAAH6o/IA=")</f>
        <v>#REF!</v>
      </c>
      <c r="DZ32" t="e">
        <f>AND(#REF!,"AAAAAH6o/IE=")</f>
        <v>#REF!</v>
      </c>
      <c r="EA32" t="e">
        <f>AND(#REF!,"AAAAAH6o/II=")</f>
        <v>#REF!</v>
      </c>
      <c r="EB32" t="e">
        <f>IF(#REF!,"AAAAAH6o/IM=",0)</f>
        <v>#REF!</v>
      </c>
      <c r="EC32" t="e">
        <f>AND(#REF!,"AAAAAH6o/IQ=")</f>
        <v>#REF!</v>
      </c>
      <c r="ED32" t="e">
        <f>AND(#REF!,"AAAAAH6o/IU=")</f>
        <v>#REF!</v>
      </c>
      <c r="EE32" t="e">
        <f>AND(#REF!,"AAAAAH6o/IY=")</f>
        <v>#REF!</v>
      </c>
      <c r="EF32" t="e">
        <f>AND(#REF!,"AAAAAH6o/Ic=")</f>
        <v>#REF!</v>
      </c>
      <c r="EG32" t="e">
        <f>AND(#REF!,"AAAAAH6o/Ig=")</f>
        <v>#REF!</v>
      </c>
      <c r="EH32" t="e">
        <f>AND(#REF!,"AAAAAH6o/Ik=")</f>
        <v>#REF!</v>
      </c>
      <c r="EI32" t="e">
        <f>AND(#REF!,"AAAAAH6o/Io=")</f>
        <v>#REF!</v>
      </c>
      <c r="EJ32" t="e">
        <f>AND(#REF!,"AAAAAH6o/Is=")</f>
        <v>#REF!</v>
      </c>
      <c r="EK32" t="e">
        <f>IF(#REF!,"AAAAAH6o/Iw=",0)</f>
        <v>#REF!</v>
      </c>
      <c r="EL32" t="e">
        <f>AND(#REF!,"AAAAAH6o/I0=")</f>
        <v>#REF!</v>
      </c>
      <c r="EM32" t="e">
        <f>AND(#REF!,"AAAAAH6o/I4=")</f>
        <v>#REF!</v>
      </c>
      <c r="EN32" t="e">
        <f>AND(#REF!,"AAAAAH6o/I8=")</f>
        <v>#REF!</v>
      </c>
      <c r="EO32" t="e">
        <f>AND(#REF!,"AAAAAH6o/JA=")</f>
        <v>#REF!</v>
      </c>
      <c r="EP32" t="e">
        <f>AND(#REF!,"AAAAAH6o/JE=")</f>
        <v>#REF!</v>
      </c>
      <c r="EQ32" t="e">
        <f>AND(#REF!,"AAAAAH6o/JI=")</f>
        <v>#REF!</v>
      </c>
      <c r="ER32" t="e">
        <f>AND(#REF!,"AAAAAH6o/JM=")</f>
        <v>#REF!</v>
      </c>
      <c r="ES32" t="e">
        <f>AND(#REF!,"AAAAAH6o/JQ=")</f>
        <v>#REF!</v>
      </c>
      <c r="ET32" t="e">
        <f>IF(#REF!,"AAAAAH6o/JU=",0)</f>
        <v>#REF!</v>
      </c>
      <c r="EU32" t="e">
        <f>AND(#REF!,"AAAAAH6o/JY=")</f>
        <v>#REF!</v>
      </c>
      <c r="EV32" t="e">
        <f>AND(#REF!,"AAAAAH6o/Jc=")</f>
        <v>#REF!</v>
      </c>
      <c r="EW32" t="e">
        <f>AND(#REF!,"AAAAAH6o/Jg=")</f>
        <v>#REF!</v>
      </c>
      <c r="EX32" t="e">
        <f>AND(#REF!,"AAAAAH6o/Jk=")</f>
        <v>#REF!</v>
      </c>
      <c r="EY32" t="e">
        <f>AND(#REF!,"AAAAAH6o/Jo=")</f>
        <v>#REF!</v>
      </c>
      <c r="EZ32" t="e">
        <f>AND(#REF!,"AAAAAH6o/Js=")</f>
        <v>#REF!</v>
      </c>
      <c r="FA32" t="e">
        <f>AND(#REF!,"AAAAAH6o/Jw=")</f>
        <v>#REF!</v>
      </c>
      <c r="FB32" t="e">
        <f>AND(#REF!,"AAAAAH6o/J0=")</f>
        <v>#REF!</v>
      </c>
      <c r="FC32" t="e">
        <f>IF(#REF!,"AAAAAH6o/J4=",0)</f>
        <v>#REF!</v>
      </c>
      <c r="FD32" t="e">
        <f>AND(#REF!,"AAAAAH6o/J8=")</f>
        <v>#REF!</v>
      </c>
      <c r="FE32" t="e">
        <f>AND(#REF!,"AAAAAH6o/KA=")</f>
        <v>#REF!</v>
      </c>
      <c r="FF32" t="e">
        <f>AND(#REF!,"AAAAAH6o/KE=")</f>
        <v>#REF!</v>
      </c>
      <c r="FG32" t="e">
        <f>AND(#REF!,"AAAAAH6o/KI=")</f>
        <v>#REF!</v>
      </c>
      <c r="FH32" t="e">
        <f>AND(#REF!,"AAAAAH6o/KM=")</f>
        <v>#REF!</v>
      </c>
      <c r="FI32" t="e">
        <f>AND(#REF!,"AAAAAH6o/KQ=")</f>
        <v>#REF!</v>
      </c>
      <c r="FJ32" t="e">
        <f>AND(#REF!,"AAAAAH6o/KU=")</f>
        <v>#REF!</v>
      </c>
      <c r="FK32" t="e">
        <f>AND(#REF!,"AAAAAH6o/KY=")</f>
        <v>#REF!</v>
      </c>
      <c r="FL32" t="e">
        <f>IF(#REF!,"AAAAAH6o/Kc=",0)</f>
        <v>#REF!</v>
      </c>
      <c r="FM32" t="e">
        <f>AND(#REF!,"AAAAAH6o/Kg=")</f>
        <v>#REF!</v>
      </c>
      <c r="FN32" t="e">
        <f>AND(#REF!,"AAAAAH6o/Kk=")</f>
        <v>#REF!</v>
      </c>
      <c r="FO32" t="e">
        <f>AND(#REF!,"AAAAAH6o/Ko=")</f>
        <v>#REF!</v>
      </c>
      <c r="FP32" t="e">
        <f>AND(#REF!,"AAAAAH6o/Ks=")</f>
        <v>#REF!</v>
      </c>
      <c r="FQ32" t="e">
        <f>AND(#REF!,"AAAAAH6o/Kw=")</f>
        <v>#REF!</v>
      </c>
      <c r="FR32" t="e">
        <f>AND(#REF!,"AAAAAH6o/K0=")</f>
        <v>#REF!</v>
      </c>
      <c r="FS32" t="e">
        <f>AND(#REF!,"AAAAAH6o/K4=")</f>
        <v>#REF!</v>
      </c>
      <c r="FT32" t="e">
        <f>AND(#REF!,"AAAAAH6o/K8=")</f>
        <v>#REF!</v>
      </c>
      <c r="FU32" t="e">
        <f>IF(#REF!,"AAAAAH6o/LA=",0)</f>
        <v>#REF!</v>
      </c>
      <c r="FV32" t="e">
        <f>AND(#REF!,"AAAAAH6o/LE=")</f>
        <v>#REF!</v>
      </c>
      <c r="FW32" t="e">
        <f>AND(#REF!,"AAAAAH6o/LI=")</f>
        <v>#REF!</v>
      </c>
      <c r="FX32" t="e">
        <f>AND(#REF!,"AAAAAH6o/LM=")</f>
        <v>#REF!</v>
      </c>
      <c r="FY32" t="e">
        <f>AND(#REF!,"AAAAAH6o/LQ=")</f>
        <v>#REF!</v>
      </c>
      <c r="FZ32" t="e">
        <f>AND(#REF!,"AAAAAH6o/LU=")</f>
        <v>#REF!</v>
      </c>
      <c r="GA32" t="e">
        <f>AND(#REF!,"AAAAAH6o/LY=")</f>
        <v>#REF!</v>
      </c>
      <c r="GB32" t="e">
        <f>AND(#REF!,"AAAAAH6o/Lc=")</f>
        <v>#REF!</v>
      </c>
      <c r="GC32" t="e">
        <f>AND(#REF!,"AAAAAH6o/Lg=")</f>
        <v>#REF!</v>
      </c>
      <c r="GD32" t="e">
        <f>IF(#REF!,"AAAAAH6o/Lk=",0)</f>
        <v>#REF!</v>
      </c>
      <c r="GE32" t="e">
        <f>AND(#REF!,"AAAAAH6o/Lo=")</f>
        <v>#REF!</v>
      </c>
      <c r="GF32" t="e">
        <f>AND(#REF!,"AAAAAH6o/Ls=")</f>
        <v>#REF!</v>
      </c>
      <c r="GG32" t="e">
        <f>AND(#REF!,"AAAAAH6o/Lw=")</f>
        <v>#REF!</v>
      </c>
      <c r="GH32" t="e">
        <f>AND(#REF!,"AAAAAH6o/L0=")</f>
        <v>#REF!</v>
      </c>
      <c r="GI32" t="e">
        <f>AND(#REF!,"AAAAAH6o/L4=")</f>
        <v>#REF!</v>
      </c>
      <c r="GJ32" t="e">
        <f>AND(#REF!,"AAAAAH6o/L8=")</f>
        <v>#REF!</v>
      </c>
      <c r="GK32" t="e">
        <f>AND(#REF!,"AAAAAH6o/MA=")</f>
        <v>#REF!</v>
      </c>
      <c r="GL32" t="e">
        <f>AND(#REF!,"AAAAAH6o/ME=")</f>
        <v>#REF!</v>
      </c>
      <c r="GM32" t="e">
        <f>IF(#REF!,"AAAAAH6o/MI=",0)</f>
        <v>#REF!</v>
      </c>
      <c r="GN32" t="e">
        <f>AND(#REF!,"AAAAAH6o/MM=")</f>
        <v>#REF!</v>
      </c>
      <c r="GO32" t="e">
        <f>AND(#REF!,"AAAAAH6o/MQ=")</f>
        <v>#REF!</v>
      </c>
      <c r="GP32" t="e">
        <f>AND(#REF!,"AAAAAH6o/MU=")</f>
        <v>#REF!</v>
      </c>
      <c r="GQ32" t="e">
        <f>AND(#REF!,"AAAAAH6o/MY=")</f>
        <v>#REF!</v>
      </c>
      <c r="GR32" t="e">
        <f>AND(#REF!,"AAAAAH6o/Mc=")</f>
        <v>#REF!</v>
      </c>
      <c r="GS32" t="e">
        <f>AND(#REF!,"AAAAAH6o/Mg=")</f>
        <v>#REF!</v>
      </c>
      <c r="GT32" t="e">
        <f>AND(#REF!,"AAAAAH6o/Mk=")</f>
        <v>#REF!</v>
      </c>
      <c r="GU32" t="e">
        <f>AND(#REF!,"AAAAAH6o/Mo=")</f>
        <v>#REF!</v>
      </c>
      <c r="GV32" t="e">
        <f>IF(#REF!,"AAAAAH6o/Ms=",0)</f>
        <v>#REF!</v>
      </c>
      <c r="GW32" t="e">
        <f>AND(#REF!,"AAAAAH6o/Mw=")</f>
        <v>#REF!</v>
      </c>
      <c r="GX32" t="e">
        <f>AND(#REF!,"AAAAAH6o/M0=")</f>
        <v>#REF!</v>
      </c>
      <c r="GY32" t="e">
        <f>AND(#REF!,"AAAAAH6o/M4=")</f>
        <v>#REF!</v>
      </c>
      <c r="GZ32" t="e">
        <f>AND(#REF!,"AAAAAH6o/M8=")</f>
        <v>#REF!</v>
      </c>
      <c r="HA32" t="e">
        <f>AND(#REF!,"AAAAAH6o/NA=")</f>
        <v>#REF!</v>
      </c>
      <c r="HB32" t="e">
        <f>AND(#REF!,"AAAAAH6o/NE=")</f>
        <v>#REF!</v>
      </c>
      <c r="HC32" t="e">
        <f>AND(#REF!,"AAAAAH6o/NI=")</f>
        <v>#REF!</v>
      </c>
      <c r="HD32" t="e">
        <f>AND(#REF!,"AAAAAH6o/NM=")</f>
        <v>#REF!</v>
      </c>
      <c r="HE32" t="e">
        <f>IF(#REF!,"AAAAAH6o/NQ=",0)</f>
        <v>#REF!</v>
      </c>
      <c r="HF32" t="e">
        <f>AND(#REF!,"AAAAAH6o/NU=")</f>
        <v>#REF!</v>
      </c>
      <c r="HG32" t="e">
        <f>AND(#REF!,"AAAAAH6o/NY=")</f>
        <v>#REF!</v>
      </c>
      <c r="HH32" t="e">
        <f>AND(#REF!,"AAAAAH6o/Nc=")</f>
        <v>#REF!</v>
      </c>
      <c r="HI32" t="e">
        <f>AND(#REF!,"AAAAAH6o/Ng=")</f>
        <v>#REF!</v>
      </c>
      <c r="HJ32" t="e">
        <f>AND(#REF!,"AAAAAH6o/Nk=")</f>
        <v>#REF!</v>
      </c>
      <c r="HK32" t="e">
        <f>AND(#REF!,"AAAAAH6o/No=")</f>
        <v>#REF!</v>
      </c>
      <c r="HL32" t="e">
        <f>AND(#REF!,"AAAAAH6o/Ns=")</f>
        <v>#REF!</v>
      </c>
      <c r="HM32" t="e">
        <f>AND(#REF!,"AAAAAH6o/Nw=")</f>
        <v>#REF!</v>
      </c>
      <c r="HN32" t="e">
        <f>IF(#REF!,"AAAAAH6o/N0=",0)</f>
        <v>#REF!</v>
      </c>
      <c r="HO32" t="e">
        <f>AND(#REF!,"AAAAAH6o/N4=")</f>
        <v>#REF!</v>
      </c>
      <c r="HP32" t="e">
        <f>AND(#REF!,"AAAAAH6o/N8=")</f>
        <v>#REF!</v>
      </c>
      <c r="HQ32" t="e">
        <f>AND(#REF!,"AAAAAH6o/OA=")</f>
        <v>#REF!</v>
      </c>
      <c r="HR32" t="e">
        <f>AND(#REF!,"AAAAAH6o/OE=")</f>
        <v>#REF!</v>
      </c>
      <c r="HS32" t="e">
        <f>AND(#REF!,"AAAAAH6o/OI=")</f>
        <v>#REF!</v>
      </c>
      <c r="HT32" t="e">
        <f>AND(#REF!,"AAAAAH6o/OM=")</f>
        <v>#REF!</v>
      </c>
      <c r="HU32" t="e">
        <f>AND(#REF!,"AAAAAH6o/OQ=")</f>
        <v>#REF!</v>
      </c>
      <c r="HV32" t="e">
        <f>AND(#REF!,"AAAAAH6o/OU=")</f>
        <v>#REF!</v>
      </c>
      <c r="HW32" t="e">
        <f>IF(#REF!,"AAAAAH6o/OY=",0)</f>
        <v>#REF!</v>
      </c>
      <c r="HX32" t="e">
        <f>AND(#REF!,"AAAAAH6o/Oc=")</f>
        <v>#REF!</v>
      </c>
      <c r="HY32" t="e">
        <f>AND(#REF!,"AAAAAH6o/Og=")</f>
        <v>#REF!</v>
      </c>
      <c r="HZ32" t="e">
        <f>AND(#REF!,"AAAAAH6o/Ok=")</f>
        <v>#REF!</v>
      </c>
      <c r="IA32" t="e">
        <f>AND(#REF!,"AAAAAH6o/Oo=")</f>
        <v>#REF!</v>
      </c>
      <c r="IB32" t="e">
        <f>AND(#REF!,"AAAAAH6o/Os=")</f>
        <v>#REF!</v>
      </c>
      <c r="IC32" t="e">
        <f>AND(#REF!,"AAAAAH6o/Ow=")</f>
        <v>#REF!</v>
      </c>
      <c r="ID32" t="e">
        <f>AND(#REF!,"AAAAAH6o/O0=")</f>
        <v>#REF!</v>
      </c>
      <c r="IE32" t="e">
        <f>AND(#REF!,"AAAAAH6o/O4=")</f>
        <v>#REF!</v>
      </c>
      <c r="IF32" t="e">
        <f>IF(#REF!,"AAAAAH6o/O8=",0)</f>
        <v>#REF!</v>
      </c>
      <c r="IG32" t="e">
        <f>AND(#REF!,"AAAAAH6o/PA=")</f>
        <v>#REF!</v>
      </c>
      <c r="IH32" t="e">
        <f>AND(#REF!,"AAAAAH6o/PE=")</f>
        <v>#REF!</v>
      </c>
      <c r="II32" t="e">
        <f>AND(#REF!,"AAAAAH6o/PI=")</f>
        <v>#REF!</v>
      </c>
      <c r="IJ32" t="e">
        <f>AND(#REF!,"AAAAAH6o/PM=")</f>
        <v>#REF!</v>
      </c>
      <c r="IK32" t="e">
        <f>AND(#REF!,"AAAAAH6o/PQ=")</f>
        <v>#REF!</v>
      </c>
      <c r="IL32" t="e">
        <f>AND(#REF!,"AAAAAH6o/PU=")</f>
        <v>#REF!</v>
      </c>
      <c r="IM32" t="e">
        <f>AND(#REF!,"AAAAAH6o/PY=")</f>
        <v>#REF!</v>
      </c>
      <c r="IN32" t="e">
        <f>AND(#REF!,"AAAAAH6o/Pc=")</f>
        <v>#REF!</v>
      </c>
      <c r="IO32" t="e">
        <f>IF(#REF!,"AAAAAH6o/Pg=",0)</f>
        <v>#REF!</v>
      </c>
      <c r="IP32" t="e">
        <f>AND(#REF!,"AAAAAH6o/Pk=")</f>
        <v>#REF!</v>
      </c>
      <c r="IQ32" t="e">
        <f>AND(#REF!,"AAAAAH6o/Po=")</f>
        <v>#REF!</v>
      </c>
      <c r="IR32" t="e">
        <f>AND(#REF!,"AAAAAH6o/Ps=")</f>
        <v>#REF!</v>
      </c>
      <c r="IS32" t="e">
        <f>AND(#REF!,"AAAAAH6o/Pw=")</f>
        <v>#REF!</v>
      </c>
      <c r="IT32" t="e">
        <f>AND(#REF!,"AAAAAH6o/P0=")</f>
        <v>#REF!</v>
      </c>
      <c r="IU32" t="e">
        <f>AND(#REF!,"AAAAAH6o/P4=")</f>
        <v>#REF!</v>
      </c>
      <c r="IV32" t="e">
        <f>AND(#REF!,"AAAAAH6o/P8=")</f>
        <v>#REF!</v>
      </c>
    </row>
    <row r="33" spans="1:256" x14ac:dyDescent="0.2">
      <c r="A33" t="e">
        <f>AND(#REF!,"AAAAAD5W+gA=")</f>
        <v>#REF!</v>
      </c>
      <c r="B33" t="e">
        <f>IF(#REF!,"AAAAAD5W+gE=",0)</f>
        <v>#REF!</v>
      </c>
      <c r="C33" t="e">
        <f>AND(#REF!,"AAAAAD5W+gI=")</f>
        <v>#REF!</v>
      </c>
      <c r="D33" t="e">
        <f>AND(#REF!,"AAAAAD5W+gM=")</f>
        <v>#REF!</v>
      </c>
      <c r="E33" t="e">
        <f>AND(#REF!,"AAAAAD5W+gQ=")</f>
        <v>#REF!</v>
      </c>
      <c r="F33" t="e">
        <f>AND(#REF!,"AAAAAD5W+gU=")</f>
        <v>#REF!</v>
      </c>
      <c r="G33" t="e">
        <f>AND(#REF!,"AAAAAD5W+gY=")</f>
        <v>#REF!</v>
      </c>
      <c r="H33" t="e">
        <f>AND(#REF!,"AAAAAD5W+gc=")</f>
        <v>#REF!</v>
      </c>
      <c r="I33" t="e">
        <f>AND(#REF!,"AAAAAD5W+gg=")</f>
        <v>#REF!</v>
      </c>
      <c r="J33" t="e">
        <f>AND(#REF!,"AAAAAD5W+gk=")</f>
        <v>#REF!</v>
      </c>
      <c r="K33" t="e">
        <f>IF(#REF!,"AAAAAD5W+go=",0)</f>
        <v>#REF!</v>
      </c>
      <c r="L33" t="e">
        <f>AND(#REF!,"AAAAAD5W+gs=")</f>
        <v>#REF!</v>
      </c>
      <c r="M33" t="e">
        <f>AND(#REF!,"AAAAAD5W+gw=")</f>
        <v>#REF!</v>
      </c>
      <c r="N33" t="e">
        <f>AND(#REF!,"AAAAAD5W+g0=")</f>
        <v>#REF!</v>
      </c>
      <c r="O33" t="e">
        <f>AND(#REF!,"AAAAAD5W+g4=")</f>
        <v>#REF!</v>
      </c>
      <c r="P33" t="e">
        <f>AND(#REF!,"AAAAAD5W+g8=")</f>
        <v>#REF!</v>
      </c>
      <c r="Q33" t="e">
        <f>AND(#REF!,"AAAAAD5W+hA=")</f>
        <v>#REF!</v>
      </c>
      <c r="R33" t="e">
        <f>AND(#REF!,"AAAAAD5W+hE=")</f>
        <v>#REF!</v>
      </c>
      <c r="S33" t="e">
        <f>AND(#REF!,"AAAAAD5W+hI=")</f>
        <v>#REF!</v>
      </c>
      <c r="T33" t="e">
        <f>IF(#REF!,"AAAAAD5W+hM=",0)</f>
        <v>#REF!</v>
      </c>
      <c r="U33" t="e">
        <f>AND(#REF!,"AAAAAD5W+hQ=")</f>
        <v>#REF!</v>
      </c>
      <c r="V33" t="e">
        <f>AND(#REF!,"AAAAAD5W+hU=")</f>
        <v>#REF!</v>
      </c>
      <c r="W33" t="e">
        <f>AND(#REF!,"AAAAAD5W+hY=")</f>
        <v>#REF!</v>
      </c>
      <c r="X33" t="e">
        <f>AND(#REF!,"AAAAAD5W+hc=")</f>
        <v>#REF!</v>
      </c>
      <c r="Y33" t="e">
        <f>AND(#REF!,"AAAAAD5W+hg=")</f>
        <v>#REF!</v>
      </c>
      <c r="Z33" t="e">
        <f>AND(#REF!,"AAAAAD5W+hk=")</f>
        <v>#REF!</v>
      </c>
      <c r="AA33" t="e">
        <f>AND(#REF!,"AAAAAD5W+ho=")</f>
        <v>#REF!</v>
      </c>
      <c r="AB33" t="e">
        <f>AND(#REF!,"AAAAAD5W+hs=")</f>
        <v>#REF!</v>
      </c>
      <c r="AC33" t="e">
        <f>IF(#REF!,"AAAAAD5W+hw=",0)</f>
        <v>#REF!</v>
      </c>
      <c r="AD33" t="e">
        <f>AND(#REF!,"AAAAAD5W+h0=")</f>
        <v>#REF!</v>
      </c>
      <c r="AE33" t="e">
        <f>AND(#REF!,"AAAAAD5W+h4=")</f>
        <v>#REF!</v>
      </c>
      <c r="AF33" t="e">
        <f>AND(#REF!,"AAAAAD5W+h8=")</f>
        <v>#REF!</v>
      </c>
      <c r="AG33" t="e">
        <f>AND(#REF!,"AAAAAD5W+iA=")</f>
        <v>#REF!</v>
      </c>
      <c r="AH33" t="e">
        <f>AND(#REF!,"AAAAAD5W+iE=")</f>
        <v>#REF!</v>
      </c>
      <c r="AI33" t="e">
        <f>AND(#REF!,"AAAAAD5W+iI=")</f>
        <v>#REF!</v>
      </c>
      <c r="AJ33" t="e">
        <f>AND(#REF!,"AAAAAD5W+iM=")</f>
        <v>#REF!</v>
      </c>
      <c r="AK33" t="e">
        <f>AND(#REF!,"AAAAAD5W+iQ=")</f>
        <v>#REF!</v>
      </c>
      <c r="AL33" t="e">
        <f>IF(#REF!,"AAAAAD5W+iU=",0)</f>
        <v>#REF!</v>
      </c>
      <c r="AM33" t="e">
        <f>AND(#REF!,"AAAAAD5W+iY=")</f>
        <v>#REF!</v>
      </c>
      <c r="AN33" t="e">
        <f>AND(#REF!,"AAAAAD5W+ic=")</f>
        <v>#REF!</v>
      </c>
      <c r="AO33" t="e">
        <f>AND(#REF!,"AAAAAD5W+ig=")</f>
        <v>#REF!</v>
      </c>
      <c r="AP33" t="e">
        <f>AND(#REF!,"AAAAAD5W+ik=")</f>
        <v>#REF!</v>
      </c>
      <c r="AQ33" t="e">
        <f>AND(#REF!,"AAAAAD5W+io=")</f>
        <v>#REF!</v>
      </c>
      <c r="AR33" t="e">
        <f>AND(#REF!,"AAAAAD5W+is=")</f>
        <v>#REF!</v>
      </c>
      <c r="AS33" t="e">
        <f>AND(#REF!,"AAAAAD5W+iw=")</f>
        <v>#REF!</v>
      </c>
      <c r="AT33" t="e">
        <f>AND(#REF!,"AAAAAD5W+i0=")</f>
        <v>#REF!</v>
      </c>
      <c r="AU33" t="e">
        <f>IF(#REF!,"AAAAAD5W+i4=",0)</f>
        <v>#REF!</v>
      </c>
      <c r="AV33" t="e">
        <f>AND(#REF!,"AAAAAD5W+i8=")</f>
        <v>#REF!</v>
      </c>
      <c r="AW33" t="e">
        <f>AND(#REF!,"AAAAAD5W+jA=")</f>
        <v>#REF!</v>
      </c>
      <c r="AX33" t="e">
        <f>AND(#REF!,"AAAAAD5W+jE=")</f>
        <v>#REF!</v>
      </c>
      <c r="AY33" t="e">
        <f>AND(#REF!,"AAAAAD5W+jI=")</f>
        <v>#REF!</v>
      </c>
      <c r="AZ33" t="e">
        <f>AND(#REF!,"AAAAAD5W+jM=")</f>
        <v>#REF!</v>
      </c>
      <c r="BA33" t="e">
        <f>AND(#REF!,"AAAAAD5W+jQ=")</f>
        <v>#REF!</v>
      </c>
      <c r="BB33" t="e">
        <f>AND(#REF!,"AAAAAD5W+jU=")</f>
        <v>#REF!</v>
      </c>
      <c r="BC33" t="e">
        <f>AND(#REF!,"AAAAAD5W+jY=")</f>
        <v>#REF!</v>
      </c>
      <c r="BD33" t="e">
        <f>IF(#REF!,"AAAAAD5W+jc=",0)</f>
        <v>#REF!</v>
      </c>
      <c r="BE33" t="e">
        <f>AND(#REF!,"AAAAAD5W+jg=")</f>
        <v>#REF!</v>
      </c>
      <c r="BF33" t="e">
        <f>AND(#REF!,"AAAAAD5W+jk=")</f>
        <v>#REF!</v>
      </c>
      <c r="BG33" t="e">
        <f>AND(#REF!,"AAAAAD5W+jo=")</f>
        <v>#REF!</v>
      </c>
      <c r="BH33" t="e">
        <f>AND(#REF!,"AAAAAD5W+js=")</f>
        <v>#REF!</v>
      </c>
      <c r="BI33" t="e">
        <f>AND(#REF!,"AAAAAD5W+jw=")</f>
        <v>#REF!</v>
      </c>
      <c r="BJ33" t="e">
        <f>AND(#REF!,"AAAAAD5W+j0=")</f>
        <v>#REF!</v>
      </c>
      <c r="BK33" t="e">
        <f>AND(#REF!,"AAAAAD5W+j4=")</f>
        <v>#REF!</v>
      </c>
      <c r="BL33" t="e">
        <f>AND(#REF!,"AAAAAD5W+j8=")</f>
        <v>#REF!</v>
      </c>
      <c r="BM33" t="e">
        <f>IF(#REF!,"AAAAAD5W+kA=",0)</f>
        <v>#REF!</v>
      </c>
      <c r="BN33" t="e">
        <f>AND(#REF!,"AAAAAD5W+kE=")</f>
        <v>#REF!</v>
      </c>
      <c r="BO33" t="e">
        <f>AND(#REF!,"AAAAAD5W+kI=")</f>
        <v>#REF!</v>
      </c>
      <c r="BP33" t="e">
        <f>AND(#REF!,"AAAAAD5W+kM=")</f>
        <v>#REF!</v>
      </c>
      <c r="BQ33" t="e">
        <f>AND(#REF!,"AAAAAD5W+kQ=")</f>
        <v>#REF!</v>
      </c>
      <c r="BR33" t="e">
        <f>AND(#REF!,"AAAAAD5W+kU=")</f>
        <v>#REF!</v>
      </c>
      <c r="BS33" t="e">
        <f>AND(#REF!,"AAAAAD5W+kY=")</f>
        <v>#REF!</v>
      </c>
      <c r="BT33" t="e">
        <f>AND(#REF!,"AAAAAD5W+kc=")</f>
        <v>#REF!</v>
      </c>
      <c r="BU33" t="e">
        <f>AND(#REF!,"AAAAAD5W+kg=")</f>
        <v>#REF!</v>
      </c>
      <c r="BV33" t="e">
        <f>IF(#REF!,"AAAAAD5W+kk=",0)</f>
        <v>#REF!</v>
      </c>
      <c r="BW33" t="e">
        <f>AND(#REF!,"AAAAAD5W+ko=")</f>
        <v>#REF!</v>
      </c>
      <c r="BX33" t="e">
        <f>AND(#REF!,"AAAAAD5W+ks=")</f>
        <v>#REF!</v>
      </c>
      <c r="BY33" t="e">
        <f>AND(#REF!,"AAAAAD5W+kw=")</f>
        <v>#REF!</v>
      </c>
      <c r="BZ33" t="e">
        <f>AND(#REF!,"AAAAAD5W+k0=")</f>
        <v>#REF!</v>
      </c>
      <c r="CA33" t="e">
        <f>AND(#REF!,"AAAAAD5W+k4=")</f>
        <v>#REF!</v>
      </c>
      <c r="CB33" t="e">
        <f>AND(#REF!,"AAAAAD5W+k8=")</f>
        <v>#REF!</v>
      </c>
      <c r="CC33" t="e">
        <f>AND(#REF!,"AAAAAD5W+lA=")</f>
        <v>#REF!</v>
      </c>
      <c r="CD33" t="e">
        <f>AND(#REF!,"AAAAAD5W+lE=")</f>
        <v>#REF!</v>
      </c>
      <c r="CE33" t="e">
        <f>IF(#REF!,"AAAAAD5W+lI=",0)</f>
        <v>#REF!</v>
      </c>
      <c r="CF33" t="e">
        <f>AND(#REF!,"AAAAAD5W+lM=")</f>
        <v>#REF!</v>
      </c>
      <c r="CG33" t="e">
        <f>AND(#REF!,"AAAAAD5W+lQ=")</f>
        <v>#REF!</v>
      </c>
      <c r="CH33" t="e">
        <f>AND(#REF!,"AAAAAD5W+lU=")</f>
        <v>#REF!</v>
      </c>
      <c r="CI33" t="e">
        <f>AND(#REF!,"AAAAAD5W+lY=")</f>
        <v>#REF!</v>
      </c>
      <c r="CJ33" t="e">
        <f>AND(#REF!,"AAAAAD5W+lc=")</f>
        <v>#REF!</v>
      </c>
      <c r="CK33" t="e">
        <f>AND(#REF!,"AAAAAD5W+lg=")</f>
        <v>#REF!</v>
      </c>
      <c r="CL33" t="e">
        <f>AND(#REF!,"AAAAAD5W+lk=")</f>
        <v>#REF!</v>
      </c>
      <c r="CM33" t="e">
        <f>AND(#REF!,"AAAAAD5W+lo=")</f>
        <v>#REF!</v>
      </c>
      <c r="CN33" t="e">
        <f>IF(#REF!,"AAAAAD5W+ls=",0)</f>
        <v>#REF!</v>
      </c>
      <c r="CO33" t="e">
        <f>AND(#REF!,"AAAAAD5W+lw=")</f>
        <v>#REF!</v>
      </c>
      <c r="CP33" t="e">
        <f>AND(#REF!,"AAAAAD5W+l0=")</f>
        <v>#REF!</v>
      </c>
      <c r="CQ33" t="e">
        <f>AND(#REF!,"AAAAAD5W+l4=")</f>
        <v>#REF!</v>
      </c>
      <c r="CR33" t="e">
        <f>AND(#REF!,"AAAAAD5W+l8=")</f>
        <v>#REF!</v>
      </c>
      <c r="CS33" t="e">
        <f>AND(#REF!,"AAAAAD5W+mA=")</f>
        <v>#REF!</v>
      </c>
      <c r="CT33" t="e">
        <f>AND(#REF!,"AAAAAD5W+mE=")</f>
        <v>#REF!</v>
      </c>
      <c r="CU33" t="e">
        <f>AND(#REF!,"AAAAAD5W+mI=")</f>
        <v>#REF!</v>
      </c>
      <c r="CV33" t="e">
        <f>AND(#REF!,"AAAAAD5W+mM=")</f>
        <v>#REF!</v>
      </c>
      <c r="CW33" t="e">
        <f>IF(#REF!,"AAAAAD5W+mQ=",0)</f>
        <v>#REF!</v>
      </c>
      <c r="CX33" t="e">
        <f>AND(#REF!,"AAAAAD5W+mU=")</f>
        <v>#REF!</v>
      </c>
      <c r="CY33" t="e">
        <f>AND(#REF!,"AAAAAD5W+mY=")</f>
        <v>#REF!</v>
      </c>
      <c r="CZ33" t="e">
        <f>AND(#REF!,"AAAAAD5W+mc=")</f>
        <v>#REF!</v>
      </c>
      <c r="DA33" t="e">
        <f>AND(#REF!,"AAAAAD5W+mg=")</f>
        <v>#REF!</v>
      </c>
      <c r="DB33" t="e">
        <f>AND(#REF!,"AAAAAD5W+mk=")</f>
        <v>#REF!</v>
      </c>
      <c r="DC33" t="e">
        <f>AND(#REF!,"AAAAAD5W+mo=")</f>
        <v>#REF!</v>
      </c>
      <c r="DD33" t="e">
        <f>AND(#REF!,"AAAAAD5W+ms=")</f>
        <v>#REF!</v>
      </c>
      <c r="DE33" t="e">
        <f>AND(#REF!,"AAAAAD5W+mw=")</f>
        <v>#REF!</v>
      </c>
      <c r="DF33" t="e">
        <f>IF(#REF!,"AAAAAD5W+m0=",0)</f>
        <v>#REF!</v>
      </c>
      <c r="DG33" t="e">
        <f>AND(#REF!,"AAAAAD5W+m4=")</f>
        <v>#REF!</v>
      </c>
      <c r="DH33" t="e">
        <f>AND(#REF!,"AAAAAD5W+m8=")</f>
        <v>#REF!</v>
      </c>
      <c r="DI33" t="e">
        <f>AND(#REF!,"AAAAAD5W+nA=")</f>
        <v>#REF!</v>
      </c>
      <c r="DJ33" t="e">
        <f>AND(#REF!,"AAAAAD5W+nE=")</f>
        <v>#REF!</v>
      </c>
      <c r="DK33" t="e">
        <f>AND(#REF!,"AAAAAD5W+nI=")</f>
        <v>#REF!</v>
      </c>
      <c r="DL33" t="e">
        <f>AND(#REF!,"AAAAAD5W+nM=")</f>
        <v>#REF!</v>
      </c>
      <c r="DM33" t="e">
        <f>AND(#REF!,"AAAAAD5W+nQ=")</f>
        <v>#REF!</v>
      </c>
      <c r="DN33" t="e">
        <f>AND(#REF!,"AAAAAD5W+nU=")</f>
        <v>#REF!</v>
      </c>
      <c r="DO33" t="e">
        <f>IF(#REF!,"AAAAAD5W+nY=",0)</f>
        <v>#REF!</v>
      </c>
      <c r="DP33" t="e">
        <f>AND(#REF!,"AAAAAD5W+nc=")</f>
        <v>#REF!</v>
      </c>
      <c r="DQ33" t="e">
        <f>AND(#REF!,"AAAAAD5W+ng=")</f>
        <v>#REF!</v>
      </c>
      <c r="DR33" t="e">
        <f>AND(#REF!,"AAAAAD5W+nk=")</f>
        <v>#REF!</v>
      </c>
      <c r="DS33" t="e">
        <f>AND(#REF!,"AAAAAD5W+no=")</f>
        <v>#REF!</v>
      </c>
      <c r="DT33" t="e">
        <f>AND(#REF!,"AAAAAD5W+ns=")</f>
        <v>#REF!</v>
      </c>
      <c r="DU33" t="e">
        <f>AND(#REF!,"AAAAAD5W+nw=")</f>
        <v>#REF!</v>
      </c>
      <c r="DV33" t="e">
        <f>AND(#REF!,"AAAAAD5W+n0=")</f>
        <v>#REF!</v>
      </c>
      <c r="DW33" t="e">
        <f>AND(#REF!,"AAAAAD5W+n4=")</f>
        <v>#REF!</v>
      </c>
      <c r="DX33" t="e">
        <f>IF(#REF!,"AAAAAD5W+n8=",0)</f>
        <v>#REF!</v>
      </c>
      <c r="DY33" t="e">
        <f>AND(#REF!,"AAAAAD5W+oA=")</f>
        <v>#REF!</v>
      </c>
      <c r="DZ33" t="e">
        <f>AND(#REF!,"AAAAAD5W+oE=")</f>
        <v>#REF!</v>
      </c>
      <c r="EA33" t="e">
        <f>AND(#REF!,"AAAAAD5W+oI=")</f>
        <v>#REF!</v>
      </c>
      <c r="EB33" t="e">
        <f>AND(#REF!,"AAAAAD5W+oM=")</f>
        <v>#REF!</v>
      </c>
      <c r="EC33" t="e">
        <f>AND(#REF!,"AAAAAD5W+oQ=")</f>
        <v>#REF!</v>
      </c>
      <c r="ED33" t="e">
        <f>AND(#REF!,"AAAAAD5W+oU=")</f>
        <v>#REF!</v>
      </c>
      <c r="EE33" t="e">
        <f>AND(#REF!,"AAAAAD5W+oY=")</f>
        <v>#REF!</v>
      </c>
      <c r="EF33" t="e">
        <f>AND(#REF!,"AAAAAD5W+oc=")</f>
        <v>#REF!</v>
      </c>
      <c r="EG33" t="e">
        <f>IF(#REF!,"AAAAAD5W+og=",0)</f>
        <v>#REF!</v>
      </c>
      <c r="EH33" t="e">
        <f>AND(#REF!,"AAAAAD5W+ok=")</f>
        <v>#REF!</v>
      </c>
      <c r="EI33" t="e">
        <f>AND(#REF!,"AAAAAD5W+oo=")</f>
        <v>#REF!</v>
      </c>
      <c r="EJ33" t="e">
        <f>AND(#REF!,"AAAAAD5W+os=")</f>
        <v>#REF!</v>
      </c>
      <c r="EK33" t="e">
        <f>AND(#REF!,"AAAAAD5W+ow=")</f>
        <v>#REF!</v>
      </c>
      <c r="EL33" t="e">
        <f>AND(#REF!,"AAAAAD5W+o0=")</f>
        <v>#REF!</v>
      </c>
      <c r="EM33" t="e">
        <f>AND(#REF!,"AAAAAD5W+o4=")</f>
        <v>#REF!</v>
      </c>
      <c r="EN33" t="e">
        <f>AND(#REF!,"AAAAAD5W+o8=")</f>
        <v>#REF!</v>
      </c>
      <c r="EO33" t="e">
        <f>AND(#REF!,"AAAAAD5W+pA=")</f>
        <v>#REF!</v>
      </c>
      <c r="EP33" t="e">
        <f>IF(#REF!,"AAAAAD5W+pE=",0)</f>
        <v>#REF!</v>
      </c>
      <c r="EQ33" t="e">
        <f>AND(#REF!,"AAAAAD5W+pI=")</f>
        <v>#REF!</v>
      </c>
      <c r="ER33" t="e">
        <f>AND(#REF!,"AAAAAD5W+pM=")</f>
        <v>#REF!</v>
      </c>
      <c r="ES33" t="e">
        <f>AND(#REF!,"AAAAAD5W+pQ=")</f>
        <v>#REF!</v>
      </c>
      <c r="ET33" t="e">
        <f>AND(#REF!,"AAAAAD5W+pU=")</f>
        <v>#REF!</v>
      </c>
      <c r="EU33" t="e">
        <f>AND(#REF!,"AAAAAD5W+pY=")</f>
        <v>#REF!</v>
      </c>
      <c r="EV33" t="e">
        <f>AND(#REF!,"AAAAAD5W+pc=")</f>
        <v>#REF!</v>
      </c>
      <c r="EW33" t="e">
        <f>AND(#REF!,"AAAAAD5W+pg=")</f>
        <v>#REF!</v>
      </c>
      <c r="EX33" t="e">
        <f>AND(#REF!,"AAAAAD5W+pk=")</f>
        <v>#REF!</v>
      </c>
      <c r="EY33" t="e">
        <f>IF(#REF!,"AAAAAD5W+po=",0)</f>
        <v>#REF!</v>
      </c>
      <c r="EZ33" t="e">
        <f>AND(#REF!,"AAAAAD5W+ps=")</f>
        <v>#REF!</v>
      </c>
      <c r="FA33" t="e">
        <f>AND(#REF!,"AAAAAD5W+pw=")</f>
        <v>#REF!</v>
      </c>
      <c r="FB33" t="e">
        <f>AND(#REF!,"AAAAAD5W+p0=")</f>
        <v>#REF!</v>
      </c>
      <c r="FC33" t="e">
        <f>AND(#REF!,"AAAAAD5W+p4=")</f>
        <v>#REF!</v>
      </c>
      <c r="FD33" t="e">
        <f>AND(#REF!,"AAAAAD5W+p8=")</f>
        <v>#REF!</v>
      </c>
      <c r="FE33" t="e">
        <f>AND(#REF!,"AAAAAD5W+qA=")</f>
        <v>#REF!</v>
      </c>
      <c r="FF33" t="e">
        <f>AND(#REF!,"AAAAAD5W+qE=")</f>
        <v>#REF!</v>
      </c>
      <c r="FG33" t="e">
        <f>AND(#REF!,"AAAAAD5W+qI=")</f>
        <v>#REF!</v>
      </c>
      <c r="FH33" t="e">
        <f>IF(#REF!,"AAAAAD5W+qM=",0)</f>
        <v>#REF!</v>
      </c>
      <c r="FI33" t="e">
        <f>AND(#REF!,"AAAAAD5W+qQ=")</f>
        <v>#REF!</v>
      </c>
      <c r="FJ33" t="e">
        <f>AND(#REF!,"AAAAAD5W+qU=")</f>
        <v>#REF!</v>
      </c>
      <c r="FK33" t="e">
        <f>AND(#REF!,"AAAAAD5W+qY=")</f>
        <v>#REF!</v>
      </c>
      <c r="FL33" t="e">
        <f>AND(#REF!,"AAAAAD5W+qc=")</f>
        <v>#REF!</v>
      </c>
      <c r="FM33" t="e">
        <f>AND(#REF!,"AAAAAD5W+qg=")</f>
        <v>#REF!</v>
      </c>
      <c r="FN33" t="e">
        <f>AND(#REF!,"AAAAAD5W+qk=")</f>
        <v>#REF!</v>
      </c>
      <c r="FO33" t="e">
        <f>AND(#REF!,"AAAAAD5W+qo=")</f>
        <v>#REF!</v>
      </c>
      <c r="FP33" t="e">
        <f>AND(#REF!,"AAAAAD5W+qs=")</f>
        <v>#REF!</v>
      </c>
      <c r="FQ33" t="e">
        <f>IF(#REF!,"AAAAAD5W+qw=",0)</f>
        <v>#REF!</v>
      </c>
      <c r="FR33" t="e">
        <f>AND(#REF!,"AAAAAD5W+q0=")</f>
        <v>#REF!</v>
      </c>
      <c r="FS33" t="e">
        <f>AND(#REF!,"AAAAAD5W+q4=")</f>
        <v>#REF!</v>
      </c>
      <c r="FT33" t="e">
        <f>AND(#REF!,"AAAAAD5W+q8=")</f>
        <v>#REF!</v>
      </c>
      <c r="FU33" t="e">
        <f>AND(#REF!,"AAAAAD5W+rA=")</f>
        <v>#REF!</v>
      </c>
      <c r="FV33" t="e">
        <f>AND(#REF!,"AAAAAD5W+rE=")</f>
        <v>#REF!</v>
      </c>
      <c r="FW33" t="e">
        <f>AND(#REF!,"AAAAAD5W+rI=")</f>
        <v>#REF!</v>
      </c>
      <c r="FX33" t="e">
        <f>AND(#REF!,"AAAAAD5W+rM=")</f>
        <v>#REF!</v>
      </c>
      <c r="FY33" t="e">
        <f>AND(#REF!,"AAAAAD5W+rQ=")</f>
        <v>#REF!</v>
      </c>
      <c r="FZ33" t="e">
        <f>IF(#REF!,"AAAAAD5W+rU=",0)</f>
        <v>#REF!</v>
      </c>
      <c r="GA33" t="e">
        <f>AND(#REF!,"AAAAAD5W+rY=")</f>
        <v>#REF!</v>
      </c>
      <c r="GB33" t="e">
        <f>AND(#REF!,"AAAAAD5W+rc=")</f>
        <v>#REF!</v>
      </c>
      <c r="GC33" t="e">
        <f>AND(#REF!,"AAAAAD5W+rg=")</f>
        <v>#REF!</v>
      </c>
      <c r="GD33" t="e">
        <f>AND(#REF!,"AAAAAD5W+rk=")</f>
        <v>#REF!</v>
      </c>
      <c r="GE33" t="e">
        <f>AND(#REF!,"AAAAAD5W+ro=")</f>
        <v>#REF!</v>
      </c>
      <c r="GF33" t="e">
        <f>AND(#REF!,"AAAAAD5W+rs=")</f>
        <v>#REF!</v>
      </c>
      <c r="GG33" t="e">
        <f>AND(#REF!,"AAAAAD5W+rw=")</f>
        <v>#REF!</v>
      </c>
      <c r="GH33" t="e">
        <f>AND(#REF!,"AAAAAD5W+r0=")</f>
        <v>#REF!</v>
      </c>
      <c r="GI33" t="e">
        <f>IF(#REF!,"AAAAAD5W+r4=",0)</f>
        <v>#REF!</v>
      </c>
      <c r="GJ33" t="e">
        <f>AND(#REF!,"AAAAAD5W+r8=")</f>
        <v>#REF!</v>
      </c>
      <c r="GK33" t="e">
        <f>AND(#REF!,"AAAAAD5W+sA=")</f>
        <v>#REF!</v>
      </c>
      <c r="GL33" t="e">
        <f>AND(#REF!,"AAAAAD5W+sE=")</f>
        <v>#REF!</v>
      </c>
      <c r="GM33" t="e">
        <f>AND(#REF!,"AAAAAD5W+sI=")</f>
        <v>#REF!</v>
      </c>
      <c r="GN33" t="e">
        <f>AND(#REF!,"AAAAAD5W+sM=")</f>
        <v>#REF!</v>
      </c>
      <c r="GO33" t="e">
        <f>AND(#REF!,"AAAAAD5W+sQ=")</f>
        <v>#REF!</v>
      </c>
      <c r="GP33" t="e">
        <f>AND(#REF!,"AAAAAD5W+sU=")</f>
        <v>#REF!</v>
      </c>
      <c r="GQ33" t="e">
        <f>AND(#REF!,"AAAAAD5W+sY=")</f>
        <v>#REF!</v>
      </c>
      <c r="GR33" t="e">
        <f>IF(#REF!,"AAAAAD5W+sc=",0)</f>
        <v>#REF!</v>
      </c>
      <c r="GS33" t="e">
        <f>AND(#REF!,"AAAAAD5W+sg=")</f>
        <v>#REF!</v>
      </c>
      <c r="GT33" t="e">
        <f>AND(#REF!,"AAAAAD5W+sk=")</f>
        <v>#REF!</v>
      </c>
      <c r="GU33" t="e">
        <f>AND(#REF!,"AAAAAD5W+so=")</f>
        <v>#REF!</v>
      </c>
      <c r="GV33" t="e">
        <f>AND(#REF!,"AAAAAD5W+ss=")</f>
        <v>#REF!</v>
      </c>
      <c r="GW33" t="e">
        <f>AND(#REF!,"AAAAAD5W+sw=")</f>
        <v>#REF!</v>
      </c>
      <c r="GX33" t="e">
        <f>AND(#REF!,"AAAAAD5W+s0=")</f>
        <v>#REF!</v>
      </c>
      <c r="GY33" t="e">
        <f>AND(#REF!,"AAAAAD5W+s4=")</f>
        <v>#REF!</v>
      </c>
      <c r="GZ33" t="e">
        <f>AND(#REF!,"AAAAAD5W+s8=")</f>
        <v>#REF!</v>
      </c>
      <c r="HA33" t="e">
        <f>IF(#REF!,"AAAAAD5W+tA=",0)</f>
        <v>#REF!</v>
      </c>
      <c r="HB33" t="e">
        <f>AND(#REF!,"AAAAAD5W+tE=")</f>
        <v>#REF!</v>
      </c>
      <c r="HC33" t="e">
        <f>AND(#REF!,"AAAAAD5W+tI=")</f>
        <v>#REF!</v>
      </c>
      <c r="HD33" t="e">
        <f>AND(#REF!,"AAAAAD5W+tM=")</f>
        <v>#REF!</v>
      </c>
      <c r="HE33" t="e">
        <f>AND(#REF!,"AAAAAD5W+tQ=")</f>
        <v>#REF!</v>
      </c>
      <c r="HF33" t="e">
        <f>AND(#REF!,"AAAAAD5W+tU=")</f>
        <v>#REF!</v>
      </c>
      <c r="HG33" t="e">
        <f>AND(#REF!,"AAAAAD5W+tY=")</f>
        <v>#REF!</v>
      </c>
      <c r="HH33" t="e">
        <f>AND(#REF!,"AAAAAD5W+tc=")</f>
        <v>#REF!</v>
      </c>
      <c r="HI33" t="e">
        <f>AND(#REF!,"AAAAAD5W+tg=")</f>
        <v>#REF!</v>
      </c>
      <c r="HJ33" t="e">
        <f>IF(#REF!,"AAAAAD5W+tk=",0)</f>
        <v>#REF!</v>
      </c>
      <c r="HK33" t="e">
        <f>AND(#REF!,"AAAAAD5W+to=")</f>
        <v>#REF!</v>
      </c>
      <c r="HL33" t="e">
        <f>AND(#REF!,"AAAAAD5W+ts=")</f>
        <v>#REF!</v>
      </c>
      <c r="HM33" t="e">
        <f>AND(#REF!,"AAAAAD5W+tw=")</f>
        <v>#REF!</v>
      </c>
      <c r="HN33" t="e">
        <f>AND(#REF!,"AAAAAD5W+t0=")</f>
        <v>#REF!</v>
      </c>
      <c r="HO33" t="e">
        <f>AND(#REF!,"AAAAAD5W+t4=")</f>
        <v>#REF!</v>
      </c>
      <c r="HP33" t="e">
        <f>AND(#REF!,"AAAAAD5W+t8=")</f>
        <v>#REF!</v>
      </c>
      <c r="HQ33" t="e">
        <f>AND(#REF!,"AAAAAD5W+uA=")</f>
        <v>#REF!</v>
      </c>
      <c r="HR33" t="e">
        <f>AND(#REF!,"AAAAAD5W+uE=")</f>
        <v>#REF!</v>
      </c>
      <c r="HS33" t="e">
        <f>IF(#REF!,"AAAAAD5W+uI=",0)</f>
        <v>#REF!</v>
      </c>
      <c r="HT33" t="e">
        <f>AND(#REF!,"AAAAAD5W+uM=")</f>
        <v>#REF!</v>
      </c>
      <c r="HU33" t="e">
        <f>AND(#REF!,"AAAAAD5W+uQ=")</f>
        <v>#REF!</v>
      </c>
      <c r="HV33" t="e">
        <f>AND(#REF!,"AAAAAD5W+uU=")</f>
        <v>#REF!</v>
      </c>
      <c r="HW33" t="e">
        <f>AND(#REF!,"AAAAAD5W+uY=")</f>
        <v>#REF!</v>
      </c>
      <c r="HX33" t="e">
        <f>AND(#REF!,"AAAAAD5W+uc=")</f>
        <v>#REF!</v>
      </c>
      <c r="HY33" t="e">
        <f>AND(#REF!,"AAAAAD5W+ug=")</f>
        <v>#REF!</v>
      </c>
      <c r="HZ33" t="e">
        <f>AND(#REF!,"AAAAAD5W+uk=")</f>
        <v>#REF!</v>
      </c>
      <c r="IA33" t="e">
        <f>AND(#REF!,"AAAAAD5W+uo=")</f>
        <v>#REF!</v>
      </c>
      <c r="IB33" t="e">
        <f>IF(#REF!,"AAAAAD5W+us=",0)</f>
        <v>#REF!</v>
      </c>
      <c r="IC33" t="e">
        <f>AND(#REF!,"AAAAAD5W+uw=")</f>
        <v>#REF!</v>
      </c>
      <c r="ID33" t="e">
        <f>AND(#REF!,"AAAAAD5W+u0=")</f>
        <v>#REF!</v>
      </c>
      <c r="IE33" t="e">
        <f>AND(#REF!,"AAAAAD5W+u4=")</f>
        <v>#REF!</v>
      </c>
      <c r="IF33" t="e">
        <f>AND(#REF!,"AAAAAD5W+u8=")</f>
        <v>#REF!</v>
      </c>
      <c r="IG33" t="e">
        <f>AND(#REF!,"AAAAAD5W+vA=")</f>
        <v>#REF!</v>
      </c>
      <c r="IH33" t="e">
        <f>AND(#REF!,"AAAAAD5W+vE=")</f>
        <v>#REF!</v>
      </c>
      <c r="II33" t="e">
        <f>AND(#REF!,"AAAAAD5W+vI=")</f>
        <v>#REF!</v>
      </c>
      <c r="IJ33" t="e">
        <f>AND(#REF!,"AAAAAD5W+vM=")</f>
        <v>#REF!</v>
      </c>
      <c r="IK33" t="e">
        <f>IF(#REF!,"AAAAAD5W+vQ=",0)</f>
        <v>#REF!</v>
      </c>
      <c r="IL33" t="e">
        <f>AND(#REF!,"AAAAAD5W+vU=")</f>
        <v>#REF!</v>
      </c>
      <c r="IM33" t="e">
        <f>AND(#REF!,"AAAAAD5W+vY=")</f>
        <v>#REF!</v>
      </c>
      <c r="IN33" t="e">
        <f>AND(#REF!,"AAAAAD5W+vc=")</f>
        <v>#REF!</v>
      </c>
      <c r="IO33" t="e">
        <f>AND(#REF!,"AAAAAD5W+vg=")</f>
        <v>#REF!</v>
      </c>
      <c r="IP33" t="e">
        <f>AND(#REF!,"AAAAAD5W+vk=")</f>
        <v>#REF!</v>
      </c>
      <c r="IQ33" t="e">
        <f>AND(#REF!,"AAAAAD5W+vo=")</f>
        <v>#REF!</v>
      </c>
      <c r="IR33" t="e">
        <f>AND(#REF!,"AAAAAD5W+vs=")</f>
        <v>#REF!</v>
      </c>
      <c r="IS33" t="e">
        <f>AND(#REF!,"AAAAAD5W+vw=")</f>
        <v>#REF!</v>
      </c>
      <c r="IT33" t="e">
        <f>IF(#REF!,"AAAAAD5W+v0=",0)</f>
        <v>#REF!</v>
      </c>
      <c r="IU33" t="e">
        <f>AND(#REF!,"AAAAAD5W+v4=")</f>
        <v>#REF!</v>
      </c>
      <c r="IV33" t="e">
        <f>AND(#REF!,"AAAAAD5W+v8=")</f>
        <v>#REF!</v>
      </c>
    </row>
    <row r="34" spans="1:256" x14ac:dyDescent="0.2">
      <c r="A34" t="e">
        <f>AND(#REF!,"AAAAAD67rwA=")</f>
        <v>#REF!</v>
      </c>
      <c r="B34" t="e">
        <f>AND(#REF!,"AAAAAD67rwE=")</f>
        <v>#REF!</v>
      </c>
      <c r="C34" t="e">
        <f>AND(#REF!,"AAAAAD67rwI=")</f>
        <v>#REF!</v>
      </c>
      <c r="D34" t="e">
        <f>AND(#REF!,"AAAAAD67rwM=")</f>
        <v>#REF!</v>
      </c>
      <c r="E34" t="e">
        <f>AND(#REF!,"AAAAAD67rwQ=")</f>
        <v>#REF!</v>
      </c>
      <c r="F34" t="e">
        <f>AND(#REF!,"AAAAAD67rwU=")</f>
        <v>#REF!</v>
      </c>
      <c r="G34" t="e">
        <f>IF(#REF!,"AAAAAD67rwY=",0)</f>
        <v>#REF!</v>
      </c>
      <c r="H34" t="e">
        <f>AND(#REF!,"AAAAAD67rwc=")</f>
        <v>#REF!</v>
      </c>
      <c r="I34" t="e">
        <f>AND(#REF!,"AAAAAD67rwg=")</f>
        <v>#REF!</v>
      </c>
      <c r="J34" t="e">
        <f>AND(#REF!,"AAAAAD67rwk=")</f>
        <v>#REF!</v>
      </c>
      <c r="K34" t="e">
        <f>AND(#REF!,"AAAAAD67rwo=")</f>
        <v>#REF!</v>
      </c>
      <c r="L34" t="e">
        <f>AND(#REF!,"AAAAAD67rws=")</f>
        <v>#REF!</v>
      </c>
      <c r="M34" t="e">
        <f>AND(#REF!,"AAAAAD67rww=")</f>
        <v>#REF!</v>
      </c>
      <c r="N34" t="e">
        <f>AND(#REF!,"AAAAAD67rw0=")</f>
        <v>#REF!</v>
      </c>
      <c r="O34" t="e">
        <f>AND(#REF!,"AAAAAD67rw4=")</f>
        <v>#REF!</v>
      </c>
      <c r="P34" t="e">
        <f>IF(#REF!,"AAAAAD67rw8=",0)</f>
        <v>#REF!</v>
      </c>
      <c r="Q34" t="e">
        <f>AND(#REF!,"AAAAAD67rxA=")</f>
        <v>#REF!</v>
      </c>
      <c r="R34" t="e">
        <f>AND(#REF!,"AAAAAD67rxE=")</f>
        <v>#REF!</v>
      </c>
      <c r="S34" t="e">
        <f>AND(#REF!,"AAAAAD67rxI=")</f>
        <v>#REF!</v>
      </c>
      <c r="T34" t="e">
        <f>AND(#REF!,"AAAAAD67rxM=")</f>
        <v>#REF!</v>
      </c>
      <c r="U34" t="e">
        <f>AND(#REF!,"AAAAAD67rxQ=")</f>
        <v>#REF!</v>
      </c>
      <c r="V34" t="e">
        <f>AND(#REF!,"AAAAAD67rxU=")</f>
        <v>#REF!</v>
      </c>
      <c r="W34" t="e">
        <f>AND(#REF!,"AAAAAD67rxY=")</f>
        <v>#REF!</v>
      </c>
      <c r="X34" t="e">
        <f>AND(#REF!,"AAAAAD67rxc=")</f>
        <v>#REF!</v>
      </c>
      <c r="Y34" t="e">
        <f>IF(#REF!,"AAAAAD67rxg=",0)</f>
        <v>#REF!</v>
      </c>
      <c r="Z34" t="e">
        <f>AND(#REF!,"AAAAAD67rxk=")</f>
        <v>#REF!</v>
      </c>
      <c r="AA34" t="e">
        <f>AND(#REF!,"AAAAAD67rxo=")</f>
        <v>#REF!</v>
      </c>
      <c r="AB34" t="e">
        <f>AND(#REF!,"AAAAAD67rxs=")</f>
        <v>#REF!</v>
      </c>
      <c r="AC34" t="e">
        <f>AND(#REF!,"AAAAAD67rxw=")</f>
        <v>#REF!</v>
      </c>
      <c r="AD34" t="e">
        <f>AND(#REF!,"AAAAAD67rx0=")</f>
        <v>#REF!</v>
      </c>
      <c r="AE34" t="e">
        <f>AND(#REF!,"AAAAAD67rx4=")</f>
        <v>#REF!</v>
      </c>
      <c r="AF34" t="e">
        <f>AND(#REF!,"AAAAAD67rx8=")</f>
        <v>#REF!</v>
      </c>
      <c r="AG34" t="e">
        <f>AND(#REF!,"AAAAAD67ryA=")</f>
        <v>#REF!</v>
      </c>
      <c r="AH34" t="e">
        <f>IF(#REF!,"AAAAAD67ryE=",0)</f>
        <v>#REF!</v>
      </c>
      <c r="AI34" t="e">
        <f>AND(#REF!,"AAAAAD67ryI=")</f>
        <v>#REF!</v>
      </c>
      <c r="AJ34" t="e">
        <f>AND(#REF!,"AAAAAD67ryM=")</f>
        <v>#REF!</v>
      </c>
      <c r="AK34" t="e">
        <f>AND(#REF!,"AAAAAD67ryQ=")</f>
        <v>#REF!</v>
      </c>
      <c r="AL34" t="e">
        <f>AND(#REF!,"AAAAAD67ryU=")</f>
        <v>#REF!</v>
      </c>
      <c r="AM34" t="e">
        <f>AND(#REF!,"AAAAAD67ryY=")</f>
        <v>#REF!</v>
      </c>
      <c r="AN34" t="e">
        <f>AND(#REF!,"AAAAAD67ryc=")</f>
        <v>#REF!</v>
      </c>
      <c r="AO34" t="e">
        <f>AND(#REF!,"AAAAAD67ryg=")</f>
        <v>#REF!</v>
      </c>
      <c r="AP34" t="e">
        <f>AND(#REF!,"AAAAAD67ryk=")</f>
        <v>#REF!</v>
      </c>
      <c r="AQ34" t="e">
        <f>IF(#REF!,"AAAAAD67ryo=",0)</f>
        <v>#REF!</v>
      </c>
      <c r="AR34" t="e">
        <f>AND(#REF!,"AAAAAD67rys=")</f>
        <v>#REF!</v>
      </c>
      <c r="AS34" t="e">
        <f>AND(#REF!,"AAAAAD67ryw=")</f>
        <v>#REF!</v>
      </c>
      <c r="AT34" t="e">
        <f>AND(#REF!,"AAAAAD67ry0=")</f>
        <v>#REF!</v>
      </c>
      <c r="AU34" t="e">
        <f>AND(#REF!,"AAAAAD67ry4=")</f>
        <v>#REF!</v>
      </c>
      <c r="AV34" t="e">
        <f>AND(#REF!,"AAAAAD67ry8=")</f>
        <v>#REF!</v>
      </c>
      <c r="AW34" t="e">
        <f>AND(#REF!,"AAAAAD67rzA=")</f>
        <v>#REF!</v>
      </c>
      <c r="AX34" t="e">
        <f>AND(#REF!,"AAAAAD67rzE=")</f>
        <v>#REF!</v>
      </c>
      <c r="AY34" t="e">
        <f>AND(#REF!,"AAAAAD67rzI=")</f>
        <v>#REF!</v>
      </c>
      <c r="AZ34" t="e">
        <f>IF(#REF!,"AAAAAD67rzM=",0)</f>
        <v>#REF!</v>
      </c>
      <c r="BA34" t="e">
        <f>AND(#REF!,"AAAAAD67rzQ=")</f>
        <v>#REF!</v>
      </c>
      <c r="BB34" t="e">
        <f>AND(#REF!,"AAAAAD67rzU=")</f>
        <v>#REF!</v>
      </c>
      <c r="BC34" t="e">
        <f>AND(#REF!,"AAAAAD67rzY=")</f>
        <v>#REF!</v>
      </c>
      <c r="BD34" t="e">
        <f>AND(#REF!,"AAAAAD67rzc=")</f>
        <v>#REF!</v>
      </c>
      <c r="BE34" t="e">
        <f>AND(#REF!,"AAAAAD67rzg=")</f>
        <v>#REF!</v>
      </c>
      <c r="BF34" t="e">
        <f>AND(#REF!,"AAAAAD67rzk=")</f>
        <v>#REF!</v>
      </c>
      <c r="BG34" t="e">
        <f>AND(#REF!,"AAAAAD67rzo=")</f>
        <v>#REF!</v>
      </c>
      <c r="BH34" t="e">
        <f>AND(#REF!,"AAAAAD67rzs=")</f>
        <v>#REF!</v>
      </c>
      <c r="BI34" t="e">
        <f>IF(#REF!,"AAAAAD67rzw=",0)</f>
        <v>#REF!</v>
      </c>
      <c r="BJ34" t="e">
        <f>AND(#REF!,"AAAAAD67rz0=")</f>
        <v>#REF!</v>
      </c>
      <c r="BK34" t="e">
        <f>AND(#REF!,"AAAAAD67rz4=")</f>
        <v>#REF!</v>
      </c>
      <c r="BL34" t="e">
        <f>AND(#REF!,"AAAAAD67rz8=")</f>
        <v>#REF!</v>
      </c>
      <c r="BM34" t="e">
        <f>AND(#REF!,"AAAAAD67r0A=")</f>
        <v>#REF!</v>
      </c>
      <c r="BN34" t="e">
        <f>AND(#REF!,"AAAAAD67r0E=")</f>
        <v>#REF!</v>
      </c>
      <c r="BO34" t="e">
        <f>AND(#REF!,"AAAAAD67r0I=")</f>
        <v>#REF!</v>
      </c>
      <c r="BP34" t="e">
        <f>AND(#REF!,"AAAAAD67r0M=")</f>
        <v>#REF!</v>
      </c>
      <c r="BQ34" t="e">
        <f>AND(#REF!,"AAAAAD67r0Q=")</f>
        <v>#REF!</v>
      </c>
      <c r="BR34" t="e">
        <f>IF(#REF!,"AAAAAD67r0U=",0)</f>
        <v>#REF!</v>
      </c>
      <c r="BS34" t="e">
        <f>AND(#REF!,"AAAAAD67r0Y=")</f>
        <v>#REF!</v>
      </c>
      <c r="BT34" t="e">
        <f>AND(#REF!,"AAAAAD67r0c=")</f>
        <v>#REF!</v>
      </c>
      <c r="BU34" t="e">
        <f>AND(#REF!,"AAAAAD67r0g=")</f>
        <v>#REF!</v>
      </c>
      <c r="BV34" t="e">
        <f>AND(#REF!,"AAAAAD67r0k=")</f>
        <v>#REF!</v>
      </c>
      <c r="BW34" t="e">
        <f>AND(#REF!,"AAAAAD67r0o=")</f>
        <v>#REF!</v>
      </c>
      <c r="BX34" t="e">
        <f>AND(#REF!,"AAAAAD67r0s=")</f>
        <v>#REF!</v>
      </c>
      <c r="BY34" t="e">
        <f>AND(#REF!,"AAAAAD67r0w=")</f>
        <v>#REF!</v>
      </c>
      <c r="BZ34" t="e">
        <f>AND(#REF!,"AAAAAD67r00=")</f>
        <v>#REF!</v>
      </c>
      <c r="CA34" t="e">
        <f>IF(#REF!,"AAAAAD67r04=",0)</f>
        <v>#REF!</v>
      </c>
      <c r="CB34" t="e">
        <f>AND(#REF!,"AAAAAD67r08=")</f>
        <v>#REF!</v>
      </c>
      <c r="CC34" t="e">
        <f>AND(#REF!,"AAAAAD67r1A=")</f>
        <v>#REF!</v>
      </c>
      <c r="CD34" t="e">
        <f>AND(#REF!,"AAAAAD67r1E=")</f>
        <v>#REF!</v>
      </c>
      <c r="CE34" t="e">
        <f>AND(#REF!,"AAAAAD67r1I=")</f>
        <v>#REF!</v>
      </c>
      <c r="CF34" t="e">
        <f>AND(#REF!,"AAAAAD67r1M=")</f>
        <v>#REF!</v>
      </c>
      <c r="CG34" t="e">
        <f>AND(#REF!,"AAAAAD67r1Q=")</f>
        <v>#REF!</v>
      </c>
      <c r="CH34" t="e">
        <f>AND(#REF!,"AAAAAD67r1U=")</f>
        <v>#REF!</v>
      </c>
      <c r="CI34" t="e">
        <f>AND(#REF!,"AAAAAD67r1Y=")</f>
        <v>#REF!</v>
      </c>
      <c r="CJ34" t="e">
        <f>IF(#REF!,"AAAAAD67r1c=",0)</f>
        <v>#REF!</v>
      </c>
      <c r="CK34" t="e">
        <f>AND(#REF!,"AAAAAD67r1g=")</f>
        <v>#REF!</v>
      </c>
      <c r="CL34" t="e">
        <f>AND(#REF!,"AAAAAD67r1k=")</f>
        <v>#REF!</v>
      </c>
      <c r="CM34" t="e">
        <f>AND(#REF!,"AAAAAD67r1o=")</f>
        <v>#REF!</v>
      </c>
      <c r="CN34" t="e">
        <f>AND(#REF!,"AAAAAD67r1s=")</f>
        <v>#REF!</v>
      </c>
      <c r="CO34" t="e">
        <f>AND(#REF!,"AAAAAD67r1w=")</f>
        <v>#REF!</v>
      </c>
      <c r="CP34" t="e">
        <f>AND(#REF!,"AAAAAD67r10=")</f>
        <v>#REF!</v>
      </c>
      <c r="CQ34" t="e">
        <f>AND(#REF!,"AAAAAD67r14=")</f>
        <v>#REF!</v>
      </c>
      <c r="CR34" t="e">
        <f>AND(#REF!,"AAAAAD67r18=")</f>
        <v>#REF!</v>
      </c>
      <c r="CS34" t="e">
        <f>IF(#REF!,"AAAAAD67r2A=",0)</f>
        <v>#REF!</v>
      </c>
      <c r="CT34" t="e">
        <f>AND(#REF!,"AAAAAD67r2E=")</f>
        <v>#REF!</v>
      </c>
      <c r="CU34" t="e">
        <f>AND(#REF!,"AAAAAD67r2I=")</f>
        <v>#REF!</v>
      </c>
      <c r="CV34" t="e">
        <f>AND(#REF!,"AAAAAD67r2M=")</f>
        <v>#REF!</v>
      </c>
      <c r="CW34" t="e">
        <f>AND(#REF!,"AAAAAD67r2Q=")</f>
        <v>#REF!</v>
      </c>
      <c r="CX34" t="e">
        <f>AND(#REF!,"AAAAAD67r2U=")</f>
        <v>#REF!</v>
      </c>
      <c r="CY34" t="e">
        <f>AND(#REF!,"AAAAAD67r2Y=")</f>
        <v>#REF!</v>
      </c>
      <c r="CZ34" t="e">
        <f>AND(#REF!,"AAAAAD67r2c=")</f>
        <v>#REF!</v>
      </c>
      <c r="DA34" t="e">
        <f>AND(#REF!,"AAAAAD67r2g=")</f>
        <v>#REF!</v>
      </c>
      <c r="DB34" t="e">
        <f>IF(#REF!,"AAAAAD67r2k=",0)</f>
        <v>#REF!</v>
      </c>
      <c r="DC34" t="e">
        <f>AND(#REF!,"AAAAAD67r2o=")</f>
        <v>#REF!</v>
      </c>
      <c r="DD34" t="e">
        <f>AND(#REF!,"AAAAAD67r2s=")</f>
        <v>#REF!</v>
      </c>
      <c r="DE34" t="e">
        <f>AND(#REF!,"AAAAAD67r2w=")</f>
        <v>#REF!</v>
      </c>
      <c r="DF34" t="e">
        <f>AND(#REF!,"AAAAAD67r20=")</f>
        <v>#REF!</v>
      </c>
      <c r="DG34" t="e">
        <f>AND(#REF!,"AAAAAD67r24=")</f>
        <v>#REF!</v>
      </c>
      <c r="DH34" t="e">
        <f>AND(#REF!,"AAAAAD67r28=")</f>
        <v>#REF!</v>
      </c>
      <c r="DI34" t="e">
        <f>AND(#REF!,"AAAAAD67r3A=")</f>
        <v>#REF!</v>
      </c>
      <c r="DJ34" t="e">
        <f>AND(#REF!,"AAAAAD67r3E=")</f>
        <v>#REF!</v>
      </c>
      <c r="DK34" t="e">
        <f>IF(#REF!,"AAAAAD67r3I=",0)</f>
        <v>#REF!</v>
      </c>
      <c r="DL34" t="e">
        <f>AND(#REF!,"AAAAAD67r3M=")</f>
        <v>#REF!</v>
      </c>
      <c r="DM34" t="e">
        <f>AND(#REF!,"AAAAAD67r3Q=")</f>
        <v>#REF!</v>
      </c>
      <c r="DN34" t="e">
        <f>AND(#REF!,"AAAAAD67r3U=")</f>
        <v>#REF!</v>
      </c>
      <c r="DO34" t="e">
        <f>AND(#REF!,"AAAAAD67r3Y=")</f>
        <v>#REF!</v>
      </c>
      <c r="DP34" t="e">
        <f>AND(#REF!,"AAAAAD67r3c=")</f>
        <v>#REF!</v>
      </c>
      <c r="DQ34" t="e">
        <f>AND(#REF!,"AAAAAD67r3g=")</f>
        <v>#REF!</v>
      </c>
      <c r="DR34" t="e">
        <f>AND(#REF!,"AAAAAD67r3k=")</f>
        <v>#REF!</v>
      </c>
      <c r="DS34" t="e">
        <f>AND(#REF!,"AAAAAD67r3o=")</f>
        <v>#REF!</v>
      </c>
      <c r="DT34" t="e">
        <f>IF(#REF!,"AAAAAD67r3s=",0)</f>
        <v>#REF!</v>
      </c>
      <c r="DU34" t="e">
        <f>AND(#REF!,"AAAAAD67r3w=")</f>
        <v>#REF!</v>
      </c>
      <c r="DV34" t="e">
        <f>AND(#REF!,"AAAAAD67r30=")</f>
        <v>#REF!</v>
      </c>
      <c r="DW34" t="e">
        <f>AND(#REF!,"AAAAAD67r34=")</f>
        <v>#REF!</v>
      </c>
      <c r="DX34" t="e">
        <f>AND(#REF!,"AAAAAD67r38=")</f>
        <v>#REF!</v>
      </c>
      <c r="DY34" t="e">
        <f>AND(#REF!,"AAAAAD67r4A=")</f>
        <v>#REF!</v>
      </c>
      <c r="DZ34" t="e">
        <f>AND(#REF!,"AAAAAD67r4E=")</f>
        <v>#REF!</v>
      </c>
      <c r="EA34" t="e">
        <f>AND(#REF!,"AAAAAD67r4I=")</f>
        <v>#REF!</v>
      </c>
      <c r="EB34" t="e">
        <f>AND(#REF!,"AAAAAD67r4M=")</f>
        <v>#REF!</v>
      </c>
      <c r="EC34" t="e">
        <f>IF(#REF!,"AAAAAD67r4Q=",0)</f>
        <v>#REF!</v>
      </c>
      <c r="ED34" t="e">
        <f>AND(#REF!,"AAAAAD67r4U=")</f>
        <v>#REF!</v>
      </c>
      <c r="EE34" t="e">
        <f>AND(#REF!,"AAAAAD67r4Y=")</f>
        <v>#REF!</v>
      </c>
      <c r="EF34" t="e">
        <f>AND(#REF!,"AAAAAD67r4c=")</f>
        <v>#REF!</v>
      </c>
      <c r="EG34" t="e">
        <f>AND(#REF!,"AAAAAD67r4g=")</f>
        <v>#REF!</v>
      </c>
      <c r="EH34" t="e">
        <f>AND(#REF!,"AAAAAD67r4k=")</f>
        <v>#REF!</v>
      </c>
      <c r="EI34" t="e">
        <f>AND(#REF!,"AAAAAD67r4o=")</f>
        <v>#REF!</v>
      </c>
      <c r="EJ34" t="e">
        <f>AND(#REF!,"AAAAAD67r4s=")</f>
        <v>#REF!</v>
      </c>
      <c r="EK34" t="e">
        <f>AND(#REF!,"AAAAAD67r4w=")</f>
        <v>#REF!</v>
      </c>
      <c r="EL34" t="e">
        <f>IF(#REF!,"AAAAAD67r40=",0)</f>
        <v>#REF!</v>
      </c>
      <c r="EM34" t="e">
        <f>AND(#REF!,"AAAAAD67r44=")</f>
        <v>#REF!</v>
      </c>
      <c r="EN34" t="e">
        <f>AND(#REF!,"AAAAAD67r48=")</f>
        <v>#REF!</v>
      </c>
      <c r="EO34" t="e">
        <f>AND(#REF!,"AAAAAD67r5A=")</f>
        <v>#REF!</v>
      </c>
      <c r="EP34" t="e">
        <f>AND(#REF!,"AAAAAD67r5E=")</f>
        <v>#REF!</v>
      </c>
      <c r="EQ34" t="e">
        <f>AND(#REF!,"AAAAAD67r5I=")</f>
        <v>#REF!</v>
      </c>
      <c r="ER34" t="e">
        <f>AND(#REF!,"AAAAAD67r5M=")</f>
        <v>#REF!</v>
      </c>
      <c r="ES34" t="e">
        <f>AND(#REF!,"AAAAAD67r5Q=")</f>
        <v>#REF!</v>
      </c>
      <c r="ET34" t="e">
        <f>AND(#REF!,"AAAAAD67r5U=")</f>
        <v>#REF!</v>
      </c>
      <c r="EU34" t="e">
        <f>IF(#REF!,"AAAAAD67r5Y=",0)</f>
        <v>#REF!</v>
      </c>
      <c r="EV34" t="e">
        <f>AND(#REF!,"AAAAAD67r5c=")</f>
        <v>#REF!</v>
      </c>
      <c r="EW34" t="e">
        <f>AND(#REF!,"AAAAAD67r5g=")</f>
        <v>#REF!</v>
      </c>
      <c r="EX34" t="e">
        <f>AND(#REF!,"AAAAAD67r5k=")</f>
        <v>#REF!</v>
      </c>
      <c r="EY34" t="e">
        <f>AND(#REF!,"AAAAAD67r5o=")</f>
        <v>#REF!</v>
      </c>
      <c r="EZ34" t="e">
        <f>AND(#REF!,"AAAAAD67r5s=")</f>
        <v>#REF!</v>
      </c>
      <c r="FA34" t="e">
        <f>AND(#REF!,"AAAAAD67r5w=")</f>
        <v>#REF!</v>
      </c>
      <c r="FB34" t="e">
        <f>AND(#REF!,"AAAAAD67r50=")</f>
        <v>#REF!</v>
      </c>
      <c r="FC34" t="e">
        <f>AND(#REF!,"AAAAAD67r54=")</f>
        <v>#REF!</v>
      </c>
      <c r="FD34" t="e">
        <f>IF(#REF!,"AAAAAD67r58=",0)</f>
        <v>#REF!</v>
      </c>
      <c r="FE34" t="e">
        <f>AND(#REF!,"AAAAAD67r6A=")</f>
        <v>#REF!</v>
      </c>
      <c r="FF34" t="e">
        <f>AND(#REF!,"AAAAAD67r6E=")</f>
        <v>#REF!</v>
      </c>
      <c r="FG34" t="e">
        <f>AND(#REF!,"AAAAAD67r6I=")</f>
        <v>#REF!</v>
      </c>
      <c r="FH34" t="e">
        <f>AND(#REF!,"AAAAAD67r6M=")</f>
        <v>#REF!</v>
      </c>
      <c r="FI34" t="e">
        <f>AND(#REF!,"AAAAAD67r6Q=")</f>
        <v>#REF!</v>
      </c>
      <c r="FJ34" t="e">
        <f>AND(#REF!,"AAAAAD67r6U=")</f>
        <v>#REF!</v>
      </c>
      <c r="FK34" t="e">
        <f>AND(#REF!,"AAAAAD67r6Y=")</f>
        <v>#REF!</v>
      </c>
      <c r="FL34" t="e">
        <f>AND(#REF!,"AAAAAD67r6c=")</f>
        <v>#REF!</v>
      </c>
      <c r="FM34" t="e">
        <f>IF(#REF!,"AAAAAD67r6g=",0)</f>
        <v>#REF!</v>
      </c>
      <c r="FN34" t="e">
        <f>AND(#REF!,"AAAAAD67r6k=")</f>
        <v>#REF!</v>
      </c>
      <c r="FO34" t="e">
        <f>AND(#REF!,"AAAAAD67r6o=")</f>
        <v>#REF!</v>
      </c>
      <c r="FP34" t="e">
        <f>AND(#REF!,"AAAAAD67r6s=")</f>
        <v>#REF!</v>
      </c>
      <c r="FQ34" t="e">
        <f>AND(#REF!,"AAAAAD67r6w=")</f>
        <v>#REF!</v>
      </c>
      <c r="FR34" t="e">
        <f>AND(#REF!,"AAAAAD67r60=")</f>
        <v>#REF!</v>
      </c>
      <c r="FS34" t="e">
        <f>AND(#REF!,"AAAAAD67r64=")</f>
        <v>#REF!</v>
      </c>
      <c r="FT34" t="e">
        <f>AND(#REF!,"AAAAAD67r68=")</f>
        <v>#REF!</v>
      </c>
      <c r="FU34" t="e">
        <f>AND(#REF!,"AAAAAD67r7A=")</f>
        <v>#REF!</v>
      </c>
      <c r="FV34" t="e">
        <f>IF(#REF!,"AAAAAD67r7E=",0)</f>
        <v>#REF!</v>
      </c>
      <c r="FW34" t="e">
        <f>AND(#REF!,"AAAAAD67r7I=")</f>
        <v>#REF!</v>
      </c>
      <c r="FX34" t="e">
        <f>AND(#REF!,"AAAAAD67r7M=")</f>
        <v>#REF!</v>
      </c>
      <c r="FY34" t="e">
        <f>AND(#REF!,"AAAAAD67r7Q=")</f>
        <v>#REF!</v>
      </c>
      <c r="FZ34" t="e">
        <f>AND(#REF!,"AAAAAD67r7U=")</f>
        <v>#REF!</v>
      </c>
      <c r="GA34" t="e">
        <f>AND(#REF!,"AAAAAD67r7Y=")</f>
        <v>#REF!</v>
      </c>
      <c r="GB34" t="e">
        <f>AND(#REF!,"AAAAAD67r7c=")</f>
        <v>#REF!</v>
      </c>
      <c r="GC34" t="e">
        <f>AND(#REF!,"AAAAAD67r7g=")</f>
        <v>#REF!</v>
      </c>
      <c r="GD34" t="e">
        <f>AND(#REF!,"AAAAAD67r7k=")</f>
        <v>#REF!</v>
      </c>
      <c r="GE34" t="e">
        <f>IF(#REF!,"AAAAAD67r7o=",0)</f>
        <v>#REF!</v>
      </c>
      <c r="GF34" t="e">
        <f>AND(#REF!,"AAAAAD67r7s=")</f>
        <v>#REF!</v>
      </c>
      <c r="GG34" t="e">
        <f>AND(#REF!,"AAAAAD67r7w=")</f>
        <v>#REF!</v>
      </c>
      <c r="GH34" t="e">
        <f>AND(#REF!,"AAAAAD67r70=")</f>
        <v>#REF!</v>
      </c>
      <c r="GI34" t="e">
        <f>AND(#REF!,"AAAAAD67r74=")</f>
        <v>#REF!</v>
      </c>
      <c r="GJ34" t="e">
        <f>AND(#REF!,"AAAAAD67r78=")</f>
        <v>#REF!</v>
      </c>
      <c r="GK34" t="e">
        <f>AND(#REF!,"AAAAAD67r8A=")</f>
        <v>#REF!</v>
      </c>
      <c r="GL34" t="e">
        <f>AND(#REF!,"AAAAAD67r8E=")</f>
        <v>#REF!</v>
      </c>
      <c r="GM34" t="e">
        <f>AND(#REF!,"AAAAAD67r8I=")</f>
        <v>#REF!</v>
      </c>
      <c r="GN34" t="e">
        <f>IF(#REF!,"AAAAAD67r8M=",0)</f>
        <v>#REF!</v>
      </c>
      <c r="GO34" t="e">
        <f>AND(#REF!,"AAAAAD67r8Q=")</f>
        <v>#REF!</v>
      </c>
      <c r="GP34" t="e">
        <f>AND(#REF!,"AAAAAD67r8U=")</f>
        <v>#REF!</v>
      </c>
      <c r="GQ34" t="e">
        <f>AND(#REF!,"AAAAAD67r8Y=")</f>
        <v>#REF!</v>
      </c>
      <c r="GR34" t="e">
        <f>AND(#REF!,"AAAAAD67r8c=")</f>
        <v>#REF!</v>
      </c>
      <c r="GS34" t="e">
        <f>AND(#REF!,"AAAAAD67r8g=")</f>
        <v>#REF!</v>
      </c>
      <c r="GT34" t="e">
        <f>AND(#REF!,"AAAAAD67r8k=")</f>
        <v>#REF!</v>
      </c>
      <c r="GU34" t="e">
        <f>AND(#REF!,"AAAAAD67r8o=")</f>
        <v>#REF!</v>
      </c>
      <c r="GV34" t="e">
        <f>AND(#REF!,"AAAAAD67r8s=")</f>
        <v>#REF!</v>
      </c>
      <c r="GW34" t="e">
        <f>IF(#REF!,"AAAAAD67r8w=",0)</f>
        <v>#REF!</v>
      </c>
      <c r="GX34" t="e">
        <f>AND(#REF!,"AAAAAD67r80=")</f>
        <v>#REF!</v>
      </c>
      <c r="GY34" t="e">
        <f>AND(#REF!,"AAAAAD67r84=")</f>
        <v>#REF!</v>
      </c>
      <c r="GZ34" t="e">
        <f>AND(#REF!,"AAAAAD67r88=")</f>
        <v>#REF!</v>
      </c>
      <c r="HA34" t="e">
        <f>AND(#REF!,"AAAAAD67r9A=")</f>
        <v>#REF!</v>
      </c>
      <c r="HB34" t="e">
        <f>AND(#REF!,"AAAAAD67r9E=")</f>
        <v>#REF!</v>
      </c>
      <c r="HC34" t="e">
        <f>AND(#REF!,"AAAAAD67r9I=")</f>
        <v>#REF!</v>
      </c>
      <c r="HD34" t="e">
        <f>AND(#REF!,"AAAAAD67r9M=")</f>
        <v>#REF!</v>
      </c>
      <c r="HE34" t="e">
        <f>AND(#REF!,"AAAAAD67r9Q=")</f>
        <v>#REF!</v>
      </c>
      <c r="HF34" t="e">
        <f>IF(#REF!,"AAAAAD67r9U=",0)</f>
        <v>#REF!</v>
      </c>
      <c r="HG34" t="e">
        <f>AND(#REF!,"AAAAAD67r9Y=")</f>
        <v>#REF!</v>
      </c>
      <c r="HH34" t="e">
        <f>AND(#REF!,"AAAAAD67r9c=")</f>
        <v>#REF!</v>
      </c>
      <c r="HI34" t="e">
        <f>AND(#REF!,"AAAAAD67r9g=")</f>
        <v>#REF!</v>
      </c>
      <c r="HJ34" t="e">
        <f>AND(#REF!,"AAAAAD67r9k=")</f>
        <v>#REF!</v>
      </c>
      <c r="HK34" t="e">
        <f>AND(#REF!,"AAAAAD67r9o=")</f>
        <v>#REF!</v>
      </c>
      <c r="HL34" t="e">
        <f>AND(#REF!,"AAAAAD67r9s=")</f>
        <v>#REF!</v>
      </c>
      <c r="HM34" t="e">
        <f>AND(#REF!,"AAAAAD67r9w=")</f>
        <v>#REF!</v>
      </c>
      <c r="HN34" t="e">
        <f>AND(#REF!,"AAAAAD67r90=")</f>
        <v>#REF!</v>
      </c>
      <c r="HO34" t="e">
        <f>IF(#REF!,"AAAAAD67r94=",0)</f>
        <v>#REF!</v>
      </c>
      <c r="HP34" t="e">
        <f>AND(#REF!,"AAAAAD67r98=")</f>
        <v>#REF!</v>
      </c>
      <c r="HQ34" t="e">
        <f>AND(#REF!,"AAAAAD67r+A=")</f>
        <v>#REF!</v>
      </c>
      <c r="HR34" t="e">
        <f>AND(#REF!,"AAAAAD67r+E=")</f>
        <v>#REF!</v>
      </c>
      <c r="HS34" t="e">
        <f>AND(#REF!,"AAAAAD67r+I=")</f>
        <v>#REF!</v>
      </c>
      <c r="HT34" t="e">
        <f>AND(#REF!,"AAAAAD67r+M=")</f>
        <v>#REF!</v>
      </c>
      <c r="HU34" t="e">
        <f>AND(#REF!,"AAAAAD67r+Q=")</f>
        <v>#REF!</v>
      </c>
      <c r="HV34" t="e">
        <f>AND(#REF!,"AAAAAD67r+U=")</f>
        <v>#REF!</v>
      </c>
      <c r="HW34" t="e">
        <f>AND(#REF!,"AAAAAD67r+Y=")</f>
        <v>#REF!</v>
      </c>
      <c r="HX34" t="e">
        <f>IF(#REF!,"AAAAAD67r+c=",0)</f>
        <v>#REF!</v>
      </c>
      <c r="HY34" t="e">
        <f>AND(#REF!,"AAAAAD67r+g=")</f>
        <v>#REF!</v>
      </c>
      <c r="HZ34" t="e">
        <f>AND(#REF!,"AAAAAD67r+k=")</f>
        <v>#REF!</v>
      </c>
      <c r="IA34" t="e">
        <f>AND(#REF!,"AAAAAD67r+o=")</f>
        <v>#REF!</v>
      </c>
      <c r="IB34" t="e">
        <f>AND(#REF!,"AAAAAD67r+s=")</f>
        <v>#REF!</v>
      </c>
      <c r="IC34" t="e">
        <f>AND(#REF!,"AAAAAD67r+w=")</f>
        <v>#REF!</v>
      </c>
      <c r="ID34" t="e">
        <f>AND(#REF!,"AAAAAD67r+0=")</f>
        <v>#REF!</v>
      </c>
      <c r="IE34" t="e">
        <f>AND(#REF!,"AAAAAD67r+4=")</f>
        <v>#REF!</v>
      </c>
      <c r="IF34" t="e">
        <f>AND(#REF!,"AAAAAD67r+8=")</f>
        <v>#REF!</v>
      </c>
      <c r="IG34" t="e">
        <f>IF(#REF!,"AAAAAD67r/A=",0)</f>
        <v>#REF!</v>
      </c>
      <c r="IH34" t="e">
        <f>AND(#REF!,"AAAAAD67r/E=")</f>
        <v>#REF!</v>
      </c>
      <c r="II34" t="e">
        <f>AND(#REF!,"AAAAAD67r/I=")</f>
        <v>#REF!</v>
      </c>
      <c r="IJ34" t="e">
        <f>AND(#REF!,"AAAAAD67r/M=")</f>
        <v>#REF!</v>
      </c>
      <c r="IK34" t="e">
        <f>AND(#REF!,"AAAAAD67r/Q=")</f>
        <v>#REF!</v>
      </c>
      <c r="IL34" t="e">
        <f>AND(#REF!,"AAAAAD67r/U=")</f>
        <v>#REF!</v>
      </c>
      <c r="IM34" t="e">
        <f>AND(#REF!,"AAAAAD67r/Y=")</f>
        <v>#REF!</v>
      </c>
      <c r="IN34" t="e">
        <f>AND(#REF!,"AAAAAD67r/c=")</f>
        <v>#REF!</v>
      </c>
      <c r="IO34" t="e">
        <f>AND(#REF!,"AAAAAD67r/g=")</f>
        <v>#REF!</v>
      </c>
      <c r="IP34" t="e">
        <f>IF(#REF!,"AAAAAD67r/k=",0)</f>
        <v>#REF!</v>
      </c>
      <c r="IQ34" t="e">
        <f>AND(#REF!,"AAAAAD67r/o=")</f>
        <v>#REF!</v>
      </c>
      <c r="IR34" t="e">
        <f>AND(#REF!,"AAAAAD67r/s=")</f>
        <v>#REF!</v>
      </c>
      <c r="IS34" t="e">
        <f>AND(#REF!,"AAAAAD67r/w=")</f>
        <v>#REF!</v>
      </c>
      <c r="IT34" t="e">
        <f>AND(#REF!,"AAAAAD67r/0=")</f>
        <v>#REF!</v>
      </c>
      <c r="IU34" t="e">
        <f>AND(#REF!,"AAAAAD67r/4=")</f>
        <v>#REF!</v>
      </c>
      <c r="IV34" t="e">
        <f>AND(#REF!,"AAAAAD67r/8=")</f>
        <v>#REF!</v>
      </c>
    </row>
    <row r="35" spans="1:256" x14ac:dyDescent="0.2">
      <c r="A35" t="e">
        <f>AND(#REF!,"AAAAABf/1wA=")</f>
        <v>#REF!</v>
      </c>
      <c r="B35" t="e">
        <f>AND(#REF!,"AAAAABf/1wE=")</f>
        <v>#REF!</v>
      </c>
      <c r="C35" t="e">
        <f>IF(#REF!,"AAAAABf/1wI=",0)</f>
        <v>#REF!</v>
      </c>
      <c r="D35" t="e">
        <f>AND(#REF!,"AAAAABf/1wM=")</f>
        <v>#REF!</v>
      </c>
      <c r="E35" t="e">
        <f>AND(#REF!,"AAAAABf/1wQ=")</f>
        <v>#REF!</v>
      </c>
      <c r="F35" t="e">
        <f>AND(#REF!,"AAAAABf/1wU=")</f>
        <v>#REF!</v>
      </c>
      <c r="G35" t="e">
        <f>AND(#REF!,"AAAAABf/1wY=")</f>
        <v>#REF!</v>
      </c>
      <c r="H35" t="e">
        <f>AND(#REF!,"AAAAABf/1wc=")</f>
        <v>#REF!</v>
      </c>
      <c r="I35" t="e">
        <f>AND(#REF!,"AAAAABf/1wg=")</f>
        <v>#REF!</v>
      </c>
      <c r="J35" t="e">
        <f>AND(#REF!,"AAAAABf/1wk=")</f>
        <v>#REF!</v>
      </c>
      <c r="K35" t="e">
        <f>AND(#REF!,"AAAAABf/1wo=")</f>
        <v>#REF!</v>
      </c>
      <c r="L35" t="e">
        <f>IF(#REF!,"AAAAABf/1ws=",0)</f>
        <v>#REF!</v>
      </c>
      <c r="M35" t="e">
        <f>AND(#REF!,"AAAAABf/1ww=")</f>
        <v>#REF!</v>
      </c>
      <c r="N35" t="e">
        <f>AND(#REF!,"AAAAABf/1w0=")</f>
        <v>#REF!</v>
      </c>
      <c r="O35" t="e">
        <f>AND(#REF!,"AAAAABf/1w4=")</f>
        <v>#REF!</v>
      </c>
      <c r="P35" t="e">
        <f>AND(#REF!,"AAAAABf/1w8=")</f>
        <v>#REF!</v>
      </c>
      <c r="Q35" t="e">
        <f>AND(#REF!,"AAAAABf/1xA=")</f>
        <v>#REF!</v>
      </c>
      <c r="R35" t="e">
        <f>AND(#REF!,"AAAAABf/1xE=")</f>
        <v>#REF!</v>
      </c>
      <c r="S35" t="e">
        <f>AND(#REF!,"AAAAABf/1xI=")</f>
        <v>#REF!</v>
      </c>
      <c r="T35" t="e">
        <f>AND(#REF!,"AAAAABf/1xM=")</f>
        <v>#REF!</v>
      </c>
      <c r="U35" t="e">
        <f>IF(#REF!,"AAAAABf/1xQ=",0)</f>
        <v>#REF!</v>
      </c>
      <c r="V35" t="e">
        <f>AND(#REF!,"AAAAABf/1xU=")</f>
        <v>#REF!</v>
      </c>
      <c r="W35" t="e">
        <f>AND(#REF!,"AAAAABf/1xY=")</f>
        <v>#REF!</v>
      </c>
      <c r="X35" t="e">
        <f>AND(#REF!,"AAAAABf/1xc=")</f>
        <v>#REF!</v>
      </c>
      <c r="Y35" t="e">
        <f>AND(#REF!,"AAAAABf/1xg=")</f>
        <v>#REF!</v>
      </c>
      <c r="Z35" t="e">
        <f>AND(#REF!,"AAAAABf/1xk=")</f>
        <v>#REF!</v>
      </c>
      <c r="AA35" t="e">
        <f>AND(#REF!,"AAAAABf/1xo=")</f>
        <v>#REF!</v>
      </c>
      <c r="AB35" t="e">
        <f>AND(#REF!,"AAAAABf/1xs=")</f>
        <v>#REF!</v>
      </c>
      <c r="AC35" t="e">
        <f>AND(#REF!,"AAAAABf/1xw=")</f>
        <v>#REF!</v>
      </c>
      <c r="AD35" t="e">
        <f>IF(#REF!,"AAAAABf/1x0=",0)</f>
        <v>#REF!</v>
      </c>
      <c r="AE35" t="e">
        <f>AND(#REF!,"AAAAABf/1x4=")</f>
        <v>#REF!</v>
      </c>
      <c r="AF35" t="e">
        <f>AND(#REF!,"AAAAABf/1x8=")</f>
        <v>#REF!</v>
      </c>
      <c r="AG35" t="e">
        <f>AND(#REF!,"AAAAABf/1yA=")</f>
        <v>#REF!</v>
      </c>
      <c r="AH35" t="e">
        <f>AND(#REF!,"AAAAABf/1yE=")</f>
        <v>#REF!</v>
      </c>
      <c r="AI35" t="e">
        <f>AND(#REF!,"AAAAABf/1yI=")</f>
        <v>#REF!</v>
      </c>
      <c r="AJ35" t="e">
        <f>AND(#REF!,"AAAAABf/1yM=")</f>
        <v>#REF!</v>
      </c>
      <c r="AK35" t="e">
        <f>AND(#REF!,"AAAAABf/1yQ=")</f>
        <v>#REF!</v>
      </c>
      <c r="AL35" t="e">
        <f>AND(#REF!,"AAAAABf/1yU=")</f>
        <v>#REF!</v>
      </c>
      <c r="AM35" t="e">
        <f>IF(#REF!,"AAAAABf/1yY=",0)</f>
        <v>#REF!</v>
      </c>
      <c r="AN35" t="e">
        <f>AND(#REF!,"AAAAABf/1yc=")</f>
        <v>#REF!</v>
      </c>
      <c r="AO35" t="e">
        <f>AND(#REF!,"AAAAABf/1yg=")</f>
        <v>#REF!</v>
      </c>
      <c r="AP35" t="e">
        <f>AND(#REF!,"AAAAABf/1yk=")</f>
        <v>#REF!</v>
      </c>
      <c r="AQ35" t="e">
        <f>AND(#REF!,"AAAAABf/1yo=")</f>
        <v>#REF!</v>
      </c>
      <c r="AR35" t="e">
        <f>AND(#REF!,"AAAAABf/1ys=")</f>
        <v>#REF!</v>
      </c>
      <c r="AS35" t="e">
        <f>AND(#REF!,"AAAAABf/1yw=")</f>
        <v>#REF!</v>
      </c>
      <c r="AT35" t="e">
        <f>AND(#REF!,"AAAAABf/1y0=")</f>
        <v>#REF!</v>
      </c>
      <c r="AU35" t="e">
        <f>AND(#REF!,"AAAAABf/1y4=")</f>
        <v>#REF!</v>
      </c>
      <c r="AV35" t="e">
        <f>IF(#REF!,"AAAAABf/1y8=",0)</f>
        <v>#REF!</v>
      </c>
      <c r="AW35" t="e">
        <f>AND(#REF!,"AAAAABf/1zA=")</f>
        <v>#REF!</v>
      </c>
      <c r="AX35" t="e">
        <f>AND(#REF!,"AAAAABf/1zE=")</f>
        <v>#REF!</v>
      </c>
      <c r="AY35" t="e">
        <f>AND(#REF!,"AAAAABf/1zI=")</f>
        <v>#REF!</v>
      </c>
      <c r="AZ35" t="e">
        <f>AND(#REF!,"AAAAABf/1zM=")</f>
        <v>#REF!</v>
      </c>
      <c r="BA35" t="e">
        <f>AND(#REF!,"AAAAABf/1zQ=")</f>
        <v>#REF!</v>
      </c>
      <c r="BB35" t="e">
        <f>AND(#REF!,"AAAAABf/1zU=")</f>
        <v>#REF!</v>
      </c>
      <c r="BC35" t="e">
        <f>AND(#REF!,"AAAAABf/1zY=")</f>
        <v>#REF!</v>
      </c>
      <c r="BD35" t="e">
        <f>AND(#REF!,"AAAAABf/1zc=")</f>
        <v>#REF!</v>
      </c>
      <c r="BE35" t="e">
        <f>IF(#REF!,"AAAAABf/1zg=",0)</f>
        <v>#REF!</v>
      </c>
      <c r="BF35" t="e">
        <f>AND(#REF!,"AAAAABf/1zk=")</f>
        <v>#REF!</v>
      </c>
      <c r="BG35" t="e">
        <f>AND(#REF!,"AAAAABf/1zo=")</f>
        <v>#REF!</v>
      </c>
      <c r="BH35" t="e">
        <f>AND(#REF!,"AAAAABf/1zs=")</f>
        <v>#REF!</v>
      </c>
      <c r="BI35" t="e">
        <f>AND(#REF!,"AAAAABf/1zw=")</f>
        <v>#REF!</v>
      </c>
      <c r="BJ35" t="e">
        <f>AND(#REF!,"AAAAABf/1z0=")</f>
        <v>#REF!</v>
      </c>
      <c r="BK35" t="e">
        <f>AND(#REF!,"AAAAABf/1z4=")</f>
        <v>#REF!</v>
      </c>
      <c r="BL35" t="e">
        <f>AND(#REF!,"AAAAABf/1z8=")</f>
        <v>#REF!</v>
      </c>
      <c r="BM35" t="e">
        <f>AND(#REF!,"AAAAABf/10A=")</f>
        <v>#REF!</v>
      </c>
      <c r="BN35" t="e">
        <f>IF(#REF!,"AAAAABf/10E=",0)</f>
        <v>#REF!</v>
      </c>
      <c r="BO35" t="e">
        <f>AND(#REF!,"AAAAABf/10I=")</f>
        <v>#REF!</v>
      </c>
      <c r="BP35" t="e">
        <f>AND(#REF!,"AAAAABf/10M=")</f>
        <v>#REF!</v>
      </c>
      <c r="BQ35" t="e">
        <f>AND(#REF!,"AAAAABf/10Q=")</f>
        <v>#REF!</v>
      </c>
      <c r="BR35" t="e">
        <f>AND(#REF!,"AAAAABf/10U=")</f>
        <v>#REF!</v>
      </c>
      <c r="BS35" t="e">
        <f>AND(#REF!,"AAAAABf/10Y=")</f>
        <v>#REF!</v>
      </c>
      <c r="BT35" t="e">
        <f>AND(#REF!,"AAAAABf/10c=")</f>
        <v>#REF!</v>
      </c>
      <c r="BU35" t="e">
        <f>AND(#REF!,"AAAAABf/10g=")</f>
        <v>#REF!</v>
      </c>
      <c r="BV35" t="e">
        <f>AND(#REF!,"AAAAABf/10k=")</f>
        <v>#REF!</v>
      </c>
      <c r="BW35" t="e">
        <f>IF(#REF!,"AAAAABf/10o=",0)</f>
        <v>#REF!</v>
      </c>
      <c r="BX35" t="e">
        <f>AND(#REF!,"AAAAABf/10s=")</f>
        <v>#REF!</v>
      </c>
      <c r="BY35" t="e">
        <f>AND(#REF!,"AAAAABf/10w=")</f>
        <v>#REF!</v>
      </c>
      <c r="BZ35" t="e">
        <f>AND(#REF!,"AAAAABf/100=")</f>
        <v>#REF!</v>
      </c>
      <c r="CA35" t="e">
        <f>AND(#REF!,"AAAAABf/104=")</f>
        <v>#REF!</v>
      </c>
      <c r="CB35" t="e">
        <f>AND(#REF!,"AAAAABf/108=")</f>
        <v>#REF!</v>
      </c>
      <c r="CC35" t="e">
        <f>AND(#REF!,"AAAAABf/11A=")</f>
        <v>#REF!</v>
      </c>
      <c r="CD35" t="e">
        <f>AND(#REF!,"AAAAABf/11E=")</f>
        <v>#REF!</v>
      </c>
      <c r="CE35" t="e">
        <f>AND(#REF!,"AAAAABf/11I=")</f>
        <v>#REF!</v>
      </c>
      <c r="CF35" t="e">
        <f>IF(#REF!,"AAAAABf/11M=",0)</f>
        <v>#REF!</v>
      </c>
      <c r="CG35" t="e">
        <f>AND(#REF!,"AAAAABf/11Q=")</f>
        <v>#REF!</v>
      </c>
      <c r="CH35" t="e">
        <f>AND(#REF!,"AAAAABf/11U=")</f>
        <v>#REF!</v>
      </c>
      <c r="CI35" t="e">
        <f>AND(#REF!,"AAAAABf/11Y=")</f>
        <v>#REF!</v>
      </c>
      <c r="CJ35" t="e">
        <f>AND(#REF!,"AAAAABf/11c=")</f>
        <v>#REF!</v>
      </c>
      <c r="CK35" t="e">
        <f>AND(#REF!,"AAAAABf/11g=")</f>
        <v>#REF!</v>
      </c>
      <c r="CL35" t="e">
        <f>AND(#REF!,"AAAAABf/11k=")</f>
        <v>#REF!</v>
      </c>
      <c r="CM35" t="e">
        <f>AND(#REF!,"AAAAABf/11o=")</f>
        <v>#REF!</v>
      </c>
      <c r="CN35" t="e">
        <f>AND(#REF!,"AAAAABf/11s=")</f>
        <v>#REF!</v>
      </c>
      <c r="CO35" t="e">
        <f>IF(#REF!,"AAAAABf/11w=",0)</f>
        <v>#REF!</v>
      </c>
      <c r="CP35" t="e">
        <f>AND(#REF!,"AAAAABf/110=")</f>
        <v>#REF!</v>
      </c>
      <c r="CQ35" t="e">
        <f>AND(#REF!,"AAAAABf/114=")</f>
        <v>#REF!</v>
      </c>
      <c r="CR35" t="e">
        <f>AND(#REF!,"AAAAABf/118=")</f>
        <v>#REF!</v>
      </c>
      <c r="CS35" t="e">
        <f>AND(#REF!,"AAAAABf/12A=")</f>
        <v>#REF!</v>
      </c>
      <c r="CT35" t="e">
        <f>AND(#REF!,"AAAAABf/12E=")</f>
        <v>#REF!</v>
      </c>
      <c r="CU35" t="e">
        <f>AND(#REF!,"AAAAABf/12I=")</f>
        <v>#REF!</v>
      </c>
      <c r="CV35" t="e">
        <f>AND(#REF!,"AAAAABf/12M=")</f>
        <v>#REF!</v>
      </c>
      <c r="CW35" t="e">
        <f>AND(#REF!,"AAAAABf/12Q=")</f>
        <v>#REF!</v>
      </c>
      <c r="CX35" t="e">
        <f>IF(#REF!,"AAAAABf/12U=",0)</f>
        <v>#REF!</v>
      </c>
      <c r="CY35" t="e">
        <f>AND(#REF!,"AAAAABf/12Y=")</f>
        <v>#REF!</v>
      </c>
      <c r="CZ35" t="e">
        <f>AND(#REF!,"AAAAABf/12c=")</f>
        <v>#REF!</v>
      </c>
      <c r="DA35" t="e">
        <f>AND(#REF!,"AAAAABf/12g=")</f>
        <v>#REF!</v>
      </c>
      <c r="DB35" t="e">
        <f>AND(#REF!,"AAAAABf/12k=")</f>
        <v>#REF!</v>
      </c>
      <c r="DC35" t="e">
        <f>AND(#REF!,"AAAAABf/12o=")</f>
        <v>#REF!</v>
      </c>
      <c r="DD35" t="e">
        <f>AND(#REF!,"AAAAABf/12s=")</f>
        <v>#REF!</v>
      </c>
      <c r="DE35" t="e">
        <f>AND(#REF!,"AAAAABf/12w=")</f>
        <v>#REF!</v>
      </c>
      <c r="DF35" t="e">
        <f>AND(#REF!,"AAAAABf/120=")</f>
        <v>#REF!</v>
      </c>
      <c r="DG35" t="e">
        <f>IF(#REF!,"AAAAABf/124=",0)</f>
        <v>#REF!</v>
      </c>
      <c r="DH35" t="e">
        <f>AND(#REF!,"AAAAABf/128=")</f>
        <v>#REF!</v>
      </c>
      <c r="DI35" t="e">
        <f>AND(#REF!,"AAAAABf/13A=")</f>
        <v>#REF!</v>
      </c>
      <c r="DJ35" t="e">
        <f>AND(#REF!,"AAAAABf/13E=")</f>
        <v>#REF!</v>
      </c>
      <c r="DK35" t="e">
        <f>AND(#REF!,"AAAAABf/13I=")</f>
        <v>#REF!</v>
      </c>
      <c r="DL35" t="e">
        <f>AND(#REF!,"AAAAABf/13M=")</f>
        <v>#REF!</v>
      </c>
      <c r="DM35" t="e">
        <f>AND(#REF!,"AAAAABf/13Q=")</f>
        <v>#REF!</v>
      </c>
      <c r="DN35" t="e">
        <f>AND(#REF!,"AAAAABf/13U=")</f>
        <v>#REF!</v>
      </c>
      <c r="DO35" t="e">
        <f>AND(#REF!,"AAAAABf/13Y=")</f>
        <v>#REF!</v>
      </c>
      <c r="DP35" t="e">
        <f>IF(#REF!,"AAAAABf/13c=",0)</f>
        <v>#REF!</v>
      </c>
      <c r="DQ35" t="e">
        <f>AND(#REF!,"AAAAABf/13g=")</f>
        <v>#REF!</v>
      </c>
      <c r="DR35" t="e">
        <f>AND(#REF!,"AAAAABf/13k=")</f>
        <v>#REF!</v>
      </c>
      <c r="DS35" t="e">
        <f>AND(#REF!,"AAAAABf/13o=")</f>
        <v>#REF!</v>
      </c>
      <c r="DT35" t="e">
        <f>AND(#REF!,"AAAAABf/13s=")</f>
        <v>#REF!</v>
      </c>
      <c r="DU35" t="e">
        <f>AND(#REF!,"AAAAABf/13w=")</f>
        <v>#REF!</v>
      </c>
      <c r="DV35" t="e">
        <f>AND(#REF!,"AAAAABf/130=")</f>
        <v>#REF!</v>
      </c>
      <c r="DW35" t="e">
        <f>AND(#REF!,"AAAAABf/134=")</f>
        <v>#REF!</v>
      </c>
      <c r="DX35" t="e">
        <f>AND(#REF!,"AAAAABf/138=")</f>
        <v>#REF!</v>
      </c>
      <c r="DY35" t="e">
        <f>IF(#REF!,"AAAAABf/14A=",0)</f>
        <v>#REF!</v>
      </c>
      <c r="DZ35" t="e">
        <f>AND(#REF!,"AAAAABf/14E=")</f>
        <v>#REF!</v>
      </c>
      <c r="EA35" t="e">
        <f>AND(#REF!,"AAAAABf/14I=")</f>
        <v>#REF!</v>
      </c>
      <c r="EB35" t="e">
        <f>AND(#REF!,"AAAAABf/14M=")</f>
        <v>#REF!</v>
      </c>
      <c r="EC35" t="e">
        <f>AND(#REF!,"AAAAABf/14Q=")</f>
        <v>#REF!</v>
      </c>
      <c r="ED35" t="e">
        <f>AND(#REF!,"AAAAABf/14U=")</f>
        <v>#REF!</v>
      </c>
      <c r="EE35" t="e">
        <f>AND(#REF!,"AAAAABf/14Y=")</f>
        <v>#REF!</v>
      </c>
      <c r="EF35" t="e">
        <f>AND(#REF!,"AAAAABf/14c=")</f>
        <v>#REF!</v>
      </c>
      <c r="EG35" t="e">
        <f>AND(#REF!,"AAAAABf/14g=")</f>
        <v>#REF!</v>
      </c>
      <c r="EH35" t="e">
        <f>IF(#REF!,"AAAAABf/14k=",0)</f>
        <v>#REF!</v>
      </c>
      <c r="EI35" t="e">
        <f>IF(#REF!,"AAAAABf/14o=",0)</f>
        <v>#REF!</v>
      </c>
      <c r="EJ35" t="e">
        <f>IF(#REF!,"AAAAABf/14s=",0)</f>
        <v>#REF!</v>
      </c>
      <c r="EK35" t="e">
        <f>IF(#REF!,"AAAAABf/14w=",0)</f>
        <v>#REF!</v>
      </c>
      <c r="EL35" t="e">
        <f>IF(#REF!,"AAAAABf/140=",0)</f>
        <v>#REF!</v>
      </c>
      <c r="EM35" t="e">
        <f>IF(#REF!,"AAAAABf/144=",0)</f>
        <v>#REF!</v>
      </c>
      <c r="EN35" t="e">
        <f>IF(#REF!,"AAAAABf/148=",0)</f>
        <v>#REF!</v>
      </c>
      <c r="EO35" t="e">
        <f>IF(#REF!,"AAAAABf/15A=",0)</f>
        <v>#REF!</v>
      </c>
      <c r="EP35" t="s">
        <v>0</v>
      </c>
      <c r="EQ35" s="14" t="s">
        <v>1</v>
      </c>
      <c r="ER35" t="e">
        <f>IF("N",_xludf._xlfn.IFERROR,"AAAAABf/15M=")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Değerlendirme Formu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Afshad Mistry</dc:creator>
  <cp:lastModifiedBy>Çağrı SANCAR</cp:lastModifiedBy>
  <cp:lastPrinted>2021-12-16T07:16:00Z</cp:lastPrinted>
  <dcterms:created xsi:type="dcterms:W3CDTF">2010-10-07T05:33:05Z</dcterms:created>
  <dcterms:modified xsi:type="dcterms:W3CDTF">2025-09-26T14:49:14Z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1RGz34PPZaZg6l8J8FnSZcQITtcx6GhfUYz_BVeCN-3U</vt:lpwstr>
  </property>
  <property fmtid="{D5CDD505-2E9C-101B-9397-08002B2CF9AE}" pid="4" name="Google.Documents.RevisionId">
    <vt:lpwstr>13303912654425277268</vt:lpwstr>
  </property>
  <property fmtid="{D5CDD505-2E9C-101B-9397-08002B2CF9AE}" pid="5" name="Google.Documents.PreviousRevisionId">
    <vt:lpwstr>05957724321421883281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