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codeName="ThisWorkbook"/>
  <mc:AlternateContent xmlns:mc="http://schemas.openxmlformats.org/markup-compatibility/2006">
    <mc:Choice Requires="x15">
      <x15ac:absPath xmlns:x15ac="http://schemas.microsoft.com/office/spreadsheetml/2010/11/ac" url="https://d.docs.live.net/760b7d4b03735c98/CAIM/2023/2310 CAIM CB Seminar/Day 0/"/>
    </mc:Choice>
  </mc:AlternateContent>
  <xr:revisionPtr revIDLastSave="31" documentId="8_{D858C081-67F4-E149-A644-4BCAE9711D16}" xr6:coauthVersionLast="47" xr6:coauthVersionMax="47" xr10:uidLastSave="{D02E3841-A8C9-9F43-B9C7-0CF6C82FBA5A}"/>
  <bookViews>
    <workbookView xWindow="3420" yWindow="500" windowWidth="25380" windowHeight="16540" xr2:uid="{00000000-000D-0000-FFFF-FFFF00000000}"/>
  </bookViews>
  <sheets>
    <sheet name="DISCLAIMER" sheetId="8" r:id="rId1"/>
    <sheet name="Univariate" sheetId="7" r:id="rId2"/>
    <sheet name="Risk Measures" sheetId="12" r:id="rId3"/>
    <sheet name="Dependence" sheetId="10" r:id="rId4"/>
    <sheet name="Multivariate" sheetId="11" r:id="rId5"/>
    <sheet name="Hints" sheetId="9" r:id="rId6"/>
    <sheet name="Boiler Room" sheetId="13" r:id="rId7"/>
  </sheets>
  <definedNames>
    <definedName name="annrets">Univariate!$AM$25:$AV$34</definedName>
    <definedName name="assetnames">Univariate!$C$12:$L$12</definedName>
    <definedName name="chronological" localSheetId="6">#REF!</definedName>
    <definedName name="chronological" localSheetId="3">#REF!</definedName>
    <definedName name="chronological" localSheetId="5">#REF!</definedName>
    <definedName name="chronological" localSheetId="4">#REF!</definedName>
    <definedName name="chronological" localSheetId="2">#REF!</definedName>
    <definedName name="chronological">#REF!</definedName>
    <definedName name="confidence">Univariate!$L$3</definedName>
    <definedName name="covmtx">Dependence!$C$19:$L$28</definedName>
    <definedName name="enddate" localSheetId="6">#REF!</definedName>
    <definedName name="enddate" localSheetId="3">#REF!</definedName>
    <definedName name="enddate" localSheetId="5">#REF!</definedName>
    <definedName name="enddate" localSheetId="4">#REF!</definedName>
    <definedName name="enddate" localSheetId="2">#REF!</definedName>
    <definedName name="enddate">#REF!</definedName>
    <definedName name="fill" localSheetId="6">#REF!</definedName>
    <definedName name="fill" localSheetId="3">#REF!</definedName>
    <definedName name="fill" localSheetId="5">#REF!</definedName>
    <definedName name="fill" localSheetId="4">#REF!</definedName>
    <definedName name="fill" localSheetId="2">#REF!</definedName>
    <definedName name="fill">#REF!</definedName>
    <definedName name="meana">'Risk Measures'!$C$4</definedName>
    <definedName name="meanb">'Risk Measures'!$D$4</definedName>
    <definedName name="monthlyrets">Univariate!$O$14:$X$144</definedName>
    <definedName name="period" localSheetId="6">#REF!</definedName>
    <definedName name="period" localSheetId="3">#REF!</definedName>
    <definedName name="period" localSheetId="5">#REF!</definedName>
    <definedName name="period" localSheetId="4">#REF!</definedName>
    <definedName name="period" localSheetId="2">#REF!</definedName>
    <definedName name="period">#REF!</definedName>
    <definedName name="portrets">Multivariate!$O$22:$S$152</definedName>
    <definedName name="portwts">Multivariate!$C$4:$L$8</definedName>
    <definedName name="rollinganndates">Univariate!$Z$25:$Z$144</definedName>
    <definedName name="rollingannrets">Univariate!$AA$25:$AJ$144</definedName>
    <definedName name="showcvar">'Risk Measures'!#REF!</definedName>
    <definedName name="showvar">'Risk Measures'!#REF!</definedName>
    <definedName name="startdate" localSheetId="6">#REF!</definedName>
    <definedName name="startdate" localSheetId="3">#REF!</definedName>
    <definedName name="startdate" localSheetId="5">#REF!</definedName>
    <definedName name="startdate" localSheetId="4">#REF!</definedName>
    <definedName name="startdate" localSheetId="2">#REF!</definedName>
    <definedName name="startdate">#REF!</definedName>
    <definedName name="stdevs">Dependence!$C$34:$L$34</definedName>
    <definedName name="vola">'Risk Measures'!$C$5</definedName>
    <definedName name="volb">'Risk Measures'!$D$5</definedName>
    <definedName name="zmax">'Boiler Room'!$B$2</definedName>
    <definedName name="zmin">'Boiler Room'!$B$1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9" i="13" l="1"/>
  <c r="B16" i="13"/>
  <c r="H16" i="13" s="1"/>
  <c r="B15" i="13"/>
  <c r="D15" i="13" s="1"/>
  <c r="D5" i="13"/>
  <c r="K14" i="13"/>
  <c r="K13" i="13"/>
  <c r="J14" i="13"/>
  <c r="J13" i="13"/>
  <c r="H14" i="13"/>
  <c r="H12" i="13"/>
  <c r="B17" i="13"/>
  <c r="D17" i="13" s="1"/>
  <c r="D10" i="13"/>
  <c r="D11" i="13"/>
  <c r="D12" i="13"/>
  <c r="D13" i="13"/>
  <c r="D14" i="13"/>
  <c r="D9" i="13"/>
  <c r="H10" i="13"/>
  <c r="E14" i="13"/>
  <c r="E12" i="13"/>
  <c r="E15" i="13" l="1"/>
  <c r="L13" i="13"/>
  <c r="C6" i="12" s="1"/>
  <c r="E10" i="13"/>
  <c r="C19" i="13"/>
  <c r="F19" i="13"/>
  <c r="F17" i="13"/>
  <c r="E17" i="13"/>
  <c r="C17" i="13"/>
  <c r="D8" i="12"/>
  <c r="C8" i="12"/>
  <c r="D7" i="12"/>
  <c r="C7" i="12"/>
  <c r="B19" i="13"/>
  <c r="B18" i="13"/>
  <c r="G5" i="13"/>
  <c r="G4" i="13"/>
  <c r="B62" i="13"/>
  <c r="B22" i="13"/>
  <c r="H22" i="13" s="1"/>
  <c r="L6" i="7"/>
  <c r="D4" i="13"/>
  <c r="G16" i="13" l="1"/>
  <c r="M13" i="13" s="1"/>
  <c r="D6" i="12" s="1"/>
  <c r="E19" i="13"/>
  <c r="D19" i="13"/>
  <c r="H19" i="13"/>
  <c r="E18" i="13"/>
  <c r="H18" i="13"/>
  <c r="D18" i="13"/>
  <c r="G9" i="13"/>
  <c r="G11" i="13"/>
  <c r="G13" i="13"/>
  <c r="G17" i="13"/>
  <c r="G10" i="13"/>
  <c r="G12" i="13"/>
  <c r="G14" i="13"/>
  <c r="G18" i="13"/>
  <c r="G19" i="13"/>
  <c r="D6" i="13"/>
  <c r="D7" i="13"/>
  <c r="E22" i="13"/>
  <c r="G22" i="13"/>
  <c r="H62" i="13"/>
  <c r="E62" i="13"/>
  <c r="G62" i="13"/>
  <c r="D62" i="13"/>
  <c r="B23" i="13"/>
  <c r="D22" i="13"/>
  <c r="G7" i="13"/>
  <c r="G6" i="13"/>
  <c r="D23" i="13" l="1"/>
  <c r="B24" i="13"/>
  <c r="H23" i="13"/>
  <c r="G23" i="13"/>
  <c r="E23" i="13"/>
  <c r="H24" i="13" l="1"/>
  <c r="E24" i="13"/>
  <c r="G24" i="13"/>
  <c r="B25" i="13"/>
  <c r="D24" i="13"/>
  <c r="B26" i="13" l="1"/>
  <c r="D25" i="13"/>
  <c r="H25" i="13"/>
  <c r="E25" i="13"/>
  <c r="G25" i="13"/>
  <c r="B27" i="13" l="1"/>
  <c r="H26" i="13"/>
  <c r="E26" i="13"/>
  <c r="G26" i="13"/>
  <c r="D26" i="13"/>
  <c r="B28" i="13" l="1"/>
  <c r="D27" i="13"/>
  <c r="G27" i="13"/>
  <c r="H27" i="13"/>
  <c r="E27" i="13"/>
  <c r="B29" i="13" l="1"/>
  <c r="H28" i="13"/>
  <c r="E28" i="13"/>
  <c r="G28" i="13"/>
  <c r="D28" i="13"/>
  <c r="B30" i="13" l="1"/>
  <c r="D29" i="13"/>
  <c r="H29" i="13"/>
  <c r="E29" i="13"/>
  <c r="G29" i="13"/>
  <c r="B31" i="13" l="1"/>
  <c r="H30" i="13"/>
  <c r="E30" i="13"/>
  <c r="G30" i="13"/>
  <c r="D30" i="13"/>
  <c r="B32" i="13" l="1"/>
  <c r="D31" i="13"/>
  <c r="G31" i="13"/>
  <c r="H31" i="13"/>
  <c r="E31" i="13"/>
  <c r="B33" i="13" l="1"/>
  <c r="H32" i="13"/>
  <c r="E32" i="13"/>
  <c r="G32" i="13"/>
  <c r="D32" i="13"/>
  <c r="B34" i="13" l="1"/>
  <c r="D33" i="13"/>
  <c r="H33" i="13"/>
  <c r="E33" i="13"/>
  <c r="G33" i="13"/>
  <c r="B35" i="13" l="1"/>
  <c r="H34" i="13"/>
  <c r="E34" i="13"/>
  <c r="G34" i="13"/>
  <c r="D34" i="13"/>
  <c r="B36" i="13" l="1"/>
  <c r="D35" i="13"/>
  <c r="G35" i="13"/>
  <c r="H35" i="13"/>
  <c r="E35" i="13"/>
  <c r="B37" i="13" l="1"/>
  <c r="H36" i="13"/>
  <c r="E36" i="13"/>
  <c r="G36" i="13"/>
  <c r="D36" i="13"/>
  <c r="B38" i="13" l="1"/>
  <c r="D37" i="13"/>
  <c r="H37" i="13"/>
  <c r="E37" i="13"/>
  <c r="G37" i="13"/>
  <c r="B39" i="13" l="1"/>
  <c r="H38" i="13"/>
  <c r="E38" i="13"/>
  <c r="G38" i="13"/>
  <c r="D38" i="13"/>
  <c r="B40" i="13" l="1"/>
  <c r="D39" i="13"/>
  <c r="G39" i="13"/>
  <c r="H39" i="13"/>
  <c r="E39" i="13"/>
  <c r="B41" i="13" l="1"/>
  <c r="H40" i="13"/>
  <c r="E40" i="13"/>
  <c r="G40" i="13"/>
  <c r="D40" i="13"/>
  <c r="B42" i="13" l="1"/>
  <c r="D41" i="13"/>
  <c r="H41" i="13"/>
  <c r="E41" i="13"/>
  <c r="G41" i="13"/>
  <c r="B43" i="13" l="1"/>
  <c r="H42" i="13"/>
  <c r="E42" i="13"/>
  <c r="G42" i="13"/>
  <c r="D42" i="13"/>
  <c r="B44" i="13" l="1"/>
  <c r="D43" i="13"/>
  <c r="G43" i="13"/>
  <c r="H43" i="13"/>
  <c r="E43" i="13"/>
  <c r="B45" i="13" l="1"/>
  <c r="H44" i="13"/>
  <c r="E44" i="13"/>
  <c r="G44" i="13"/>
  <c r="D44" i="13"/>
  <c r="B46" i="13" l="1"/>
  <c r="D45" i="13"/>
  <c r="H45" i="13"/>
  <c r="E45" i="13"/>
  <c r="G45" i="13"/>
  <c r="B47" i="13" l="1"/>
  <c r="H46" i="13"/>
  <c r="E46" i="13"/>
  <c r="G46" i="13"/>
  <c r="D46" i="13"/>
  <c r="B48" i="13" l="1"/>
  <c r="D47" i="13"/>
  <c r="G47" i="13"/>
  <c r="H47" i="13"/>
  <c r="E47" i="13"/>
  <c r="B49" i="13" l="1"/>
  <c r="H48" i="13"/>
  <c r="E48" i="13"/>
  <c r="G48" i="13"/>
  <c r="D48" i="13"/>
  <c r="B50" i="13" l="1"/>
  <c r="D49" i="13"/>
  <c r="H49" i="13"/>
  <c r="E49" i="13"/>
  <c r="G49" i="13"/>
  <c r="B51" i="13" l="1"/>
  <c r="H50" i="13"/>
  <c r="E50" i="13"/>
  <c r="G50" i="13"/>
  <c r="D50" i="13"/>
  <c r="B52" i="13" l="1"/>
  <c r="D51" i="13"/>
  <c r="G51" i="13"/>
  <c r="H51" i="13"/>
  <c r="E51" i="13"/>
  <c r="B53" i="13" l="1"/>
  <c r="H52" i="13"/>
  <c r="E52" i="13"/>
  <c r="G52" i="13"/>
  <c r="D52" i="13"/>
  <c r="B54" i="13" l="1"/>
  <c r="D53" i="13"/>
  <c r="H53" i="13"/>
  <c r="E53" i="13"/>
  <c r="G53" i="13"/>
  <c r="B55" i="13" l="1"/>
  <c r="H54" i="13"/>
  <c r="E54" i="13"/>
  <c r="G54" i="13"/>
  <c r="D54" i="13"/>
  <c r="B56" i="13" l="1"/>
  <c r="D55" i="13"/>
  <c r="G55" i="13"/>
  <c r="H55" i="13"/>
  <c r="E55" i="13"/>
  <c r="B57" i="13" l="1"/>
  <c r="H56" i="13"/>
  <c r="E56" i="13"/>
  <c r="G56" i="13"/>
  <c r="D56" i="13"/>
  <c r="B58" i="13" l="1"/>
  <c r="D57" i="13"/>
  <c r="H57" i="13"/>
  <c r="E57" i="13"/>
  <c r="G57" i="13"/>
  <c r="B59" i="13" l="1"/>
  <c r="H58" i="13"/>
  <c r="E58" i="13"/>
  <c r="G58" i="13"/>
  <c r="D58" i="13"/>
  <c r="B60" i="13" l="1"/>
  <c r="D59" i="13"/>
  <c r="G59" i="13"/>
  <c r="H59" i="13"/>
  <c r="E59" i="13"/>
  <c r="B61" i="13" l="1"/>
  <c r="H60" i="13"/>
  <c r="E60" i="13"/>
  <c r="G60" i="13"/>
  <c r="D60" i="13"/>
  <c r="D61" i="13" l="1"/>
  <c r="H61" i="13"/>
  <c r="E61" i="13"/>
  <c r="G61" i="13"/>
  <c r="C21" i="11" l="1" a="1"/>
  <c r="K21" i="11" s="1"/>
  <c r="C12" i="11" a="1"/>
  <c r="C12" i="11" s="1"/>
  <c r="D12" i="11"/>
  <c r="F12" i="11"/>
  <c r="H12" i="11"/>
  <c r="J12" i="11"/>
  <c r="C8" i="11"/>
  <c r="D8" i="11"/>
  <c r="E8" i="11"/>
  <c r="F8" i="11"/>
  <c r="G8" i="11"/>
  <c r="H8" i="11"/>
  <c r="I8" i="11"/>
  <c r="J8" i="11"/>
  <c r="K8" i="11"/>
  <c r="L8" i="11"/>
  <c r="D7" i="11"/>
  <c r="E7" i="11"/>
  <c r="F7" i="11"/>
  <c r="G7" i="11"/>
  <c r="H7" i="11"/>
  <c r="I7" i="11"/>
  <c r="J7" i="11"/>
  <c r="K7" i="11"/>
  <c r="L7" i="11"/>
  <c r="C7" i="11"/>
  <c r="M5" i="11"/>
  <c r="M6" i="11"/>
  <c r="M4" i="11"/>
  <c r="C3" i="11" a="1"/>
  <c r="C3" i="11" s="1"/>
  <c r="J3" i="11"/>
  <c r="Z19" i="10" a="1"/>
  <c r="Z28" i="10" s="1"/>
  <c r="AA18" i="10" a="1"/>
  <c r="Z5" i="10" a="1"/>
  <c r="Z13" i="10" s="1"/>
  <c r="AA4" i="10" a="1"/>
  <c r="AJ4" i="10" s="1"/>
  <c r="N19" i="10" a="1"/>
  <c r="N27" i="10" s="1"/>
  <c r="O18" i="10" a="1"/>
  <c r="X18" i="10" s="1"/>
  <c r="N5" i="10" a="1"/>
  <c r="N13" i="10" s="1"/>
  <c r="O4" i="10" a="1"/>
  <c r="X4" i="10" s="1"/>
  <c r="C32" i="10" a="1"/>
  <c r="K32" i="10" s="1"/>
  <c r="B19" i="10" a="1"/>
  <c r="B27" i="10" s="1"/>
  <c r="C18" i="10" a="1"/>
  <c r="L18" i="10" s="1"/>
  <c r="B5" i="10" a="1"/>
  <c r="B8" i="10" s="1"/>
  <c r="C4" i="10" a="1"/>
  <c r="J4" i="10" s="1"/>
  <c r="AM11" i="7" a="1"/>
  <c r="AQ11" i="7" s="1"/>
  <c r="AM24" i="7" a="1"/>
  <c r="AP24" i="7" s="1"/>
  <c r="AA24" i="7" a="1"/>
  <c r="AA24" i="7" s="1"/>
  <c r="AA11" i="7" a="1"/>
  <c r="AH11" i="7"/>
  <c r="AA3" i="7" a="1"/>
  <c r="AD3" i="7" s="1"/>
  <c r="AH3" i="7" l="1"/>
  <c r="AB24" i="7"/>
  <c r="AJ24" i="7"/>
  <c r="AH24" i="7"/>
  <c r="AF24" i="7"/>
  <c r="AD24" i="7"/>
  <c r="L12" i="11"/>
  <c r="M7" i="11"/>
  <c r="M8" i="11"/>
  <c r="AT24" i="7"/>
  <c r="C18" i="10"/>
  <c r="F3" i="11"/>
  <c r="W4" i="10"/>
  <c r="AE4" i="10"/>
  <c r="AI24" i="7"/>
  <c r="AG24" i="7"/>
  <c r="AE24" i="7"/>
  <c r="AC24" i="7"/>
  <c r="B12" i="10"/>
  <c r="K18" i="10"/>
  <c r="O4" i="10"/>
  <c r="AA4" i="10"/>
  <c r="AI4" i="10"/>
  <c r="L3" i="11"/>
  <c r="H3" i="11"/>
  <c r="D3" i="11"/>
  <c r="D21" i="11"/>
  <c r="F21" i="11"/>
  <c r="H21" i="11"/>
  <c r="J21" i="11"/>
  <c r="L21" i="11"/>
  <c r="C21" i="11"/>
  <c r="E21" i="11"/>
  <c r="G21" i="11"/>
  <c r="I21" i="11"/>
  <c r="K12" i="11"/>
  <c r="I12" i="11"/>
  <c r="G12" i="11"/>
  <c r="E12" i="11"/>
  <c r="K3" i="11"/>
  <c r="I3" i="11"/>
  <c r="G3" i="11"/>
  <c r="E3" i="11"/>
  <c r="AA3" i="7"/>
  <c r="AC3" i="7"/>
  <c r="AE3" i="7"/>
  <c r="AG3" i="7"/>
  <c r="AI3" i="7"/>
  <c r="AJ3" i="7"/>
  <c r="AF3" i="7"/>
  <c r="AB3" i="7"/>
  <c r="AA11" i="7"/>
  <c r="AD11" i="7"/>
  <c r="AM24" i="7"/>
  <c r="AN24" i="7"/>
  <c r="AR24" i="7"/>
  <c r="AV24" i="7"/>
  <c r="AV11" i="7"/>
  <c r="AU11" i="7"/>
  <c r="AM11" i="7"/>
  <c r="AJ18" i="10"/>
  <c r="AI18" i="10"/>
  <c r="AE18" i="10"/>
  <c r="AA18" i="10"/>
  <c r="AC18" i="10"/>
  <c r="G18" i="10"/>
  <c r="S4" i="10"/>
  <c r="AG18" i="10"/>
  <c r="AC4" i="10"/>
  <c r="AG4" i="10"/>
  <c r="AB18" i="10"/>
  <c r="AD18" i="10"/>
  <c r="AF18" i="10"/>
  <c r="AH18" i="10"/>
  <c r="Z19" i="10"/>
  <c r="Z21" i="10"/>
  <c r="Z23" i="10"/>
  <c r="Z25" i="10"/>
  <c r="Z27" i="10"/>
  <c r="Z20" i="10"/>
  <c r="Z22" i="10"/>
  <c r="Z24" i="10"/>
  <c r="Z26" i="10"/>
  <c r="Z6" i="10"/>
  <c r="Z8" i="10"/>
  <c r="Z10" i="10"/>
  <c r="Z12" i="10"/>
  <c r="Z14" i="10"/>
  <c r="AB4" i="10"/>
  <c r="AD4" i="10"/>
  <c r="AF4" i="10"/>
  <c r="AH4" i="10"/>
  <c r="Z5" i="10"/>
  <c r="Z7" i="10"/>
  <c r="Z9" i="10"/>
  <c r="Z11" i="10"/>
  <c r="C4" i="10"/>
  <c r="D4" i="10"/>
  <c r="H4" i="10"/>
  <c r="L4" i="10"/>
  <c r="F4" i="10"/>
  <c r="B5" i="10"/>
  <c r="B6" i="10"/>
  <c r="B10" i="10"/>
  <c r="B14" i="10"/>
  <c r="Q18" i="10"/>
  <c r="U18" i="10"/>
  <c r="E18" i="10"/>
  <c r="I18" i="10"/>
  <c r="Q4" i="10"/>
  <c r="U4" i="10"/>
  <c r="O18" i="10"/>
  <c r="S18" i="10"/>
  <c r="W18" i="10"/>
  <c r="N20" i="10"/>
  <c r="N22" i="10"/>
  <c r="N24" i="10"/>
  <c r="N26" i="10"/>
  <c r="N28" i="10"/>
  <c r="P18" i="10"/>
  <c r="R18" i="10"/>
  <c r="T18" i="10"/>
  <c r="V18" i="10"/>
  <c r="N19" i="10"/>
  <c r="N21" i="10"/>
  <c r="N23" i="10"/>
  <c r="N25" i="10"/>
  <c r="N6" i="10"/>
  <c r="N8" i="10"/>
  <c r="N10" i="10"/>
  <c r="N12" i="10"/>
  <c r="N14" i="10"/>
  <c r="P4" i="10"/>
  <c r="R4" i="10"/>
  <c r="T4" i="10"/>
  <c r="V4" i="10"/>
  <c r="N5" i="10"/>
  <c r="N7" i="10"/>
  <c r="N9" i="10"/>
  <c r="N11" i="10"/>
  <c r="D32" i="10"/>
  <c r="F32" i="10"/>
  <c r="H32" i="10"/>
  <c r="J32" i="10"/>
  <c r="L32" i="10"/>
  <c r="C32" i="10"/>
  <c r="E32" i="10"/>
  <c r="G32" i="10"/>
  <c r="I32" i="10"/>
  <c r="B20" i="10"/>
  <c r="B22" i="10"/>
  <c r="B24" i="10"/>
  <c r="B26" i="10"/>
  <c r="B28" i="10"/>
  <c r="D18" i="10"/>
  <c r="F18" i="10"/>
  <c r="H18" i="10"/>
  <c r="J18" i="10"/>
  <c r="B19" i="10"/>
  <c r="B21" i="10"/>
  <c r="B23" i="10"/>
  <c r="B25" i="10"/>
  <c r="B13" i="10"/>
  <c r="B11" i="10"/>
  <c r="B9" i="10"/>
  <c r="B7" i="10"/>
  <c r="K4" i="10"/>
  <c r="I4" i="10"/>
  <c r="G4" i="10"/>
  <c r="E4" i="10"/>
  <c r="AJ11" i="7"/>
  <c r="AF11" i="7"/>
  <c r="AB11" i="7"/>
  <c r="AO11" i="7"/>
  <c r="AS11" i="7"/>
  <c r="AN11" i="7"/>
  <c r="AP11" i="7"/>
  <c r="AR11" i="7"/>
  <c r="AT11" i="7"/>
  <c r="AU24" i="7"/>
  <c r="AS24" i="7"/>
  <c r="AQ24" i="7"/>
  <c r="AO24" i="7"/>
  <c r="AI11" i="7"/>
  <c r="AG11" i="7"/>
  <c r="AE11" i="7"/>
  <c r="AC11" i="7"/>
  <c r="O3" i="7" l="1" a="1"/>
  <c r="O3" i="7" s="1"/>
  <c r="R3" i="7"/>
  <c r="T3" i="7"/>
  <c r="V3" i="7"/>
  <c r="X3" i="7"/>
  <c r="N15" i="7"/>
  <c r="B23" i="11" s="1"/>
  <c r="N16" i="7"/>
  <c r="B24" i="11" s="1"/>
  <c r="N17" i="7"/>
  <c r="B25" i="11" s="1"/>
  <c r="N18" i="7"/>
  <c r="B26" i="11" s="1"/>
  <c r="N19" i="7"/>
  <c r="B27" i="11" s="1"/>
  <c r="N20" i="7"/>
  <c r="B28" i="11" s="1"/>
  <c r="N21" i="7"/>
  <c r="B29" i="11" s="1"/>
  <c r="N22" i="7"/>
  <c r="B30" i="11" s="1"/>
  <c r="N23" i="7"/>
  <c r="B31" i="11" s="1"/>
  <c r="N24" i="7"/>
  <c r="B32" i="11" s="1"/>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N104" i="7"/>
  <c r="N105" i="7"/>
  <c r="N106" i="7"/>
  <c r="N107" i="7"/>
  <c r="N108" i="7"/>
  <c r="N109" i="7"/>
  <c r="N110" i="7"/>
  <c r="N111" i="7"/>
  <c r="N112" i="7"/>
  <c r="N113" i="7"/>
  <c r="N114" i="7"/>
  <c r="N115" i="7"/>
  <c r="N116" i="7"/>
  <c r="N117" i="7"/>
  <c r="N118" i="7"/>
  <c r="N119" i="7"/>
  <c r="N120" i="7"/>
  <c r="N121" i="7"/>
  <c r="N122" i="7"/>
  <c r="N123" i="7"/>
  <c r="N124" i="7"/>
  <c r="N125" i="7"/>
  <c r="N126" i="7"/>
  <c r="N127" i="7"/>
  <c r="N128" i="7"/>
  <c r="N129" i="7"/>
  <c r="N130" i="7"/>
  <c r="N131" i="7"/>
  <c r="N132" i="7"/>
  <c r="N133" i="7"/>
  <c r="N134" i="7"/>
  <c r="N135" i="7"/>
  <c r="N136" i="7"/>
  <c r="N137" i="7"/>
  <c r="N138" i="7"/>
  <c r="N139" i="7"/>
  <c r="N140" i="7"/>
  <c r="N141" i="7"/>
  <c r="N142" i="7"/>
  <c r="N143" i="7"/>
  <c r="N144" i="7"/>
  <c r="P21" i="7"/>
  <c r="Q21" i="7"/>
  <c r="R21" i="7"/>
  <c r="S21" i="7"/>
  <c r="T21" i="7"/>
  <c r="U21" i="7"/>
  <c r="V21" i="7"/>
  <c r="W21" i="7"/>
  <c r="X21" i="7"/>
  <c r="P22" i="7"/>
  <c r="Q22" i="7"/>
  <c r="R22" i="7"/>
  <c r="S22" i="7"/>
  <c r="T22" i="7"/>
  <c r="U22" i="7"/>
  <c r="V22" i="7"/>
  <c r="W22" i="7"/>
  <c r="X22" i="7"/>
  <c r="P23" i="7"/>
  <c r="Q23" i="7"/>
  <c r="R23" i="7"/>
  <c r="S23" i="7"/>
  <c r="T23" i="7"/>
  <c r="U23" i="7"/>
  <c r="V23" i="7"/>
  <c r="W23" i="7"/>
  <c r="X23" i="7"/>
  <c r="P24" i="7"/>
  <c r="Q24" i="7"/>
  <c r="R24" i="7"/>
  <c r="S24" i="7"/>
  <c r="T24" i="7"/>
  <c r="U24" i="7"/>
  <c r="V24" i="7"/>
  <c r="W24" i="7"/>
  <c r="X24" i="7"/>
  <c r="P25" i="7"/>
  <c r="Q25" i="7"/>
  <c r="R25" i="7"/>
  <c r="S25" i="7"/>
  <c r="T25" i="7"/>
  <c r="U25" i="7"/>
  <c r="V25" i="7"/>
  <c r="W25" i="7"/>
  <c r="X25" i="7"/>
  <c r="P26" i="7"/>
  <c r="Q26" i="7"/>
  <c r="R26" i="7"/>
  <c r="S26" i="7"/>
  <c r="T26" i="7"/>
  <c r="U26" i="7"/>
  <c r="V26" i="7"/>
  <c r="W26" i="7"/>
  <c r="X26" i="7"/>
  <c r="P27" i="7"/>
  <c r="Q27" i="7"/>
  <c r="R27" i="7"/>
  <c r="S27" i="7"/>
  <c r="T27" i="7"/>
  <c r="U27" i="7"/>
  <c r="V27" i="7"/>
  <c r="W27" i="7"/>
  <c r="X27" i="7"/>
  <c r="P28" i="7"/>
  <c r="Q28" i="7"/>
  <c r="R28" i="7"/>
  <c r="S28" i="7"/>
  <c r="T28" i="7"/>
  <c r="U28" i="7"/>
  <c r="V28" i="7"/>
  <c r="W28" i="7"/>
  <c r="X28" i="7"/>
  <c r="P29" i="7"/>
  <c r="Q29" i="7"/>
  <c r="R29" i="7"/>
  <c r="S29" i="7"/>
  <c r="T29" i="7"/>
  <c r="U29" i="7"/>
  <c r="V29" i="7"/>
  <c r="W29" i="7"/>
  <c r="X29" i="7"/>
  <c r="P30" i="7"/>
  <c r="Q30" i="7"/>
  <c r="R30" i="7"/>
  <c r="S30" i="7"/>
  <c r="T30" i="7"/>
  <c r="U30" i="7"/>
  <c r="V30" i="7"/>
  <c r="W30" i="7"/>
  <c r="X30" i="7"/>
  <c r="P31" i="7"/>
  <c r="Q31" i="7"/>
  <c r="R31" i="7"/>
  <c r="S31" i="7"/>
  <c r="T31" i="7"/>
  <c r="U31" i="7"/>
  <c r="V31" i="7"/>
  <c r="W31" i="7"/>
  <c r="X31" i="7"/>
  <c r="P32" i="7"/>
  <c r="Q32" i="7"/>
  <c r="R32" i="7"/>
  <c r="S32" i="7"/>
  <c r="T32" i="7"/>
  <c r="U32" i="7"/>
  <c r="V32" i="7"/>
  <c r="W32" i="7"/>
  <c r="X32" i="7"/>
  <c r="P33" i="7"/>
  <c r="Q33" i="7"/>
  <c r="R33" i="7"/>
  <c r="S33" i="7"/>
  <c r="T33" i="7"/>
  <c r="U33" i="7"/>
  <c r="V33" i="7"/>
  <c r="W33" i="7"/>
  <c r="X33" i="7"/>
  <c r="P34" i="7"/>
  <c r="Q34" i="7"/>
  <c r="R34" i="7"/>
  <c r="S34" i="7"/>
  <c r="T34" i="7"/>
  <c r="U34" i="7"/>
  <c r="V34" i="7"/>
  <c r="W34" i="7"/>
  <c r="X34" i="7"/>
  <c r="P35" i="7"/>
  <c r="Q35" i="7"/>
  <c r="R35" i="7"/>
  <c r="S35" i="7"/>
  <c r="T35" i="7"/>
  <c r="U35" i="7"/>
  <c r="V35" i="7"/>
  <c r="W35" i="7"/>
  <c r="X35" i="7"/>
  <c r="P36" i="7"/>
  <c r="Q36" i="7"/>
  <c r="R36" i="7"/>
  <c r="S36" i="7"/>
  <c r="T36" i="7"/>
  <c r="U36" i="7"/>
  <c r="V36" i="7"/>
  <c r="W36" i="7"/>
  <c r="X36" i="7"/>
  <c r="P37" i="7"/>
  <c r="Q37" i="7"/>
  <c r="R37" i="7"/>
  <c r="S37" i="7"/>
  <c r="T37" i="7"/>
  <c r="U37" i="7"/>
  <c r="V37" i="7"/>
  <c r="W37" i="7"/>
  <c r="X37" i="7"/>
  <c r="P38" i="7"/>
  <c r="Q38" i="7"/>
  <c r="R38" i="7"/>
  <c r="S38" i="7"/>
  <c r="T38" i="7"/>
  <c r="U38" i="7"/>
  <c r="V38" i="7"/>
  <c r="W38" i="7"/>
  <c r="X38" i="7"/>
  <c r="P39" i="7"/>
  <c r="Q39" i="7"/>
  <c r="R39" i="7"/>
  <c r="S39" i="7"/>
  <c r="T39" i="7"/>
  <c r="U39" i="7"/>
  <c r="V39" i="7"/>
  <c r="W39" i="7"/>
  <c r="X39" i="7"/>
  <c r="P40" i="7"/>
  <c r="Q40" i="7"/>
  <c r="R40" i="7"/>
  <c r="S40" i="7"/>
  <c r="T40" i="7"/>
  <c r="U40" i="7"/>
  <c r="V40" i="7"/>
  <c r="W40" i="7"/>
  <c r="X40" i="7"/>
  <c r="P41" i="7"/>
  <c r="Q41" i="7"/>
  <c r="R41" i="7"/>
  <c r="S41" i="7"/>
  <c r="T41" i="7"/>
  <c r="U41" i="7"/>
  <c r="V41" i="7"/>
  <c r="W41" i="7"/>
  <c r="X41" i="7"/>
  <c r="P42" i="7"/>
  <c r="Q42" i="7"/>
  <c r="R42" i="7"/>
  <c r="S42" i="7"/>
  <c r="T42" i="7"/>
  <c r="U42" i="7"/>
  <c r="V42" i="7"/>
  <c r="W42" i="7"/>
  <c r="X42" i="7"/>
  <c r="P43" i="7"/>
  <c r="Q43" i="7"/>
  <c r="R43" i="7"/>
  <c r="S43" i="7"/>
  <c r="T43" i="7"/>
  <c r="U43" i="7"/>
  <c r="V43" i="7"/>
  <c r="W43" i="7"/>
  <c r="X43" i="7"/>
  <c r="P44" i="7"/>
  <c r="Q44" i="7"/>
  <c r="R44" i="7"/>
  <c r="S44" i="7"/>
  <c r="T44" i="7"/>
  <c r="U44" i="7"/>
  <c r="V44" i="7"/>
  <c r="W44" i="7"/>
  <c r="X44" i="7"/>
  <c r="P45" i="7"/>
  <c r="Q45" i="7"/>
  <c r="R45" i="7"/>
  <c r="S45" i="7"/>
  <c r="T45" i="7"/>
  <c r="U45" i="7"/>
  <c r="V45" i="7"/>
  <c r="W45" i="7"/>
  <c r="X45" i="7"/>
  <c r="P46" i="7"/>
  <c r="Q46" i="7"/>
  <c r="R46" i="7"/>
  <c r="S46" i="7"/>
  <c r="T46" i="7"/>
  <c r="U46" i="7"/>
  <c r="V46" i="7"/>
  <c r="W46" i="7"/>
  <c r="X46" i="7"/>
  <c r="P47" i="7"/>
  <c r="Q47" i="7"/>
  <c r="R47" i="7"/>
  <c r="S47" i="7"/>
  <c r="T47" i="7"/>
  <c r="U47" i="7"/>
  <c r="V47" i="7"/>
  <c r="W47" i="7"/>
  <c r="X47" i="7"/>
  <c r="P48" i="7"/>
  <c r="Q48" i="7"/>
  <c r="R48" i="7"/>
  <c r="S48" i="7"/>
  <c r="T48" i="7"/>
  <c r="U48" i="7"/>
  <c r="V48" i="7"/>
  <c r="W48" i="7"/>
  <c r="X48" i="7"/>
  <c r="P49" i="7"/>
  <c r="Q49" i="7"/>
  <c r="R49" i="7"/>
  <c r="S49" i="7"/>
  <c r="T49" i="7"/>
  <c r="U49" i="7"/>
  <c r="V49" i="7"/>
  <c r="W49" i="7"/>
  <c r="X49" i="7"/>
  <c r="P50" i="7"/>
  <c r="Q50" i="7"/>
  <c r="R50" i="7"/>
  <c r="S50" i="7"/>
  <c r="T50" i="7"/>
  <c r="U50" i="7"/>
  <c r="V50" i="7"/>
  <c r="W50" i="7"/>
  <c r="X50" i="7"/>
  <c r="P51" i="7"/>
  <c r="Q51" i="7"/>
  <c r="R51" i="7"/>
  <c r="S51" i="7"/>
  <c r="T51" i="7"/>
  <c r="U51" i="7"/>
  <c r="V51" i="7"/>
  <c r="W51" i="7"/>
  <c r="X51" i="7"/>
  <c r="P52" i="7"/>
  <c r="Q52" i="7"/>
  <c r="R52" i="7"/>
  <c r="S52" i="7"/>
  <c r="T52" i="7"/>
  <c r="U52" i="7"/>
  <c r="V52" i="7"/>
  <c r="W52" i="7"/>
  <c r="X52" i="7"/>
  <c r="P53" i="7"/>
  <c r="Q53" i="7"/>
  <c r="R53" i="7"/>
  <c r="S53" i="7"/>
  <c r="T53" i="7"/>
  <c r="U53" i="7"/>
  <c r="V53" i="7"/>
  <c r="W53" i="7"/>
  <c r="X53" i="7"/>
  <c r="P54" i="7"/>
  <c r="Q54" i="7"/>
  <c r="R54" i="7"/>
  <c r="S54" i="7"/>
  <c r="T54" i="7"/>
  <c r="U54" i="7"/>
  <c r="V54" i="7"/>
  <c r="W54" i="7"/>
  <c r="X54" i="7"/>
  <c r="P55" i="7"/>
  <c r="Q55" i="7"/>
  <c r="R55" i="7"/>
  <c r="S55" i="7"/>
  <c r="T55" i="7"/>
  <c r="U55" i="7"/>
  <c r="V55" i="7"/>
  <c r="W55" i="7"/>
  <c r="X55" i="7"/>
  <c r="P56" i="7"/>
  <c r="Q56" i="7"/>
  <c r="R56" i="7"/>
  <c r="S56" i="7"/>
  <c r="T56" i="7"/>
  <c r="U56" i="7"/>
  <c r="V56" i="7"/>
  <c r="W56" i="7"/>
  <c r="X56" i="7"/>
  <c r="P57" i="7"/>
  <c r="Q57" i="7"/>
  <c r="R57" i="7"/>
  <c r="S57" i="7"/>
  <c r="T57" i="7"/>
  <c r="U57" i="7"/>
  <c r="V57" i="7"/>
  <c r="W57" i="7"/>
  <c r="X57" i="7"/>
  <c r="P58" i="7"/>
  <c r="Q58" i="7"/>
  <c r="R58" i="7"/>
  <c r="S58" i="7"/>
  <c r="T58" i="7"/>
  <c r="U58" i="7"/>
  <c r="V58" i="7"/>
  <c r="W58" i="7"/>
  <c r="X58" i="7"/>
  <c r="P59" i="7"/>
  <c r="Q59" i="7"/>
  <c r="R59" i="7"/>
  <c r="S59" i="7"/>
  <c r="T59" i="7"/>
  <c r="U59" i="7"/>
  <c r="V59" i="7"/>
  <c r="W59" i="7"/>
  <c r="X59" i="7"/>
  <c r="P60" i="7"/>
  <c r="Q60" i="7"/>
  <c r="R60" i="7"/>
  <c r="S60" i="7"/>
  <c r="T60" i="7"/>
  <c r="U60" i="7"/>
  <c r="V60" i="7"/>
  <c r="W60" i="7"/>
  <c r="X60" i="7"/>
  <c r="P61" i="7"/>
  <c r="Q61" i="7"/>
  <c r="R61" i="7"/>
  <c r="S61" i="7"/>
  <c r="T61" i="7"/>
  <c r="U61" i="7"/>
  <c r="V61" i="7"/>
  <c r="W61" i="7"/>
  <c r="X61" i="7"/>
  <c r="P62" i="7"/>
  <c r="Q62" i="7"/>
  <c r="R62" i="7"/>
  <c r="S62" i="7"/>
  <c r="T62" i="7"/>
  <c r="U62" i="7"/>
  <c r="V62" i="7"/>
  <c r="W62" i="7"/>
  <c r="X62" i="7"/>
  <c r="P63" i="7"/>
  <c r="Q63" i="7"/>
  <c r="R63" i="7"/>
  <c r="S63" i="7"/>
  <c r="T63" i="7"/>
  <c r="U63" i="7"/>
  <c r="V63" i="7"/>
  <c r="W63" i="7"/>
  <c r="X63" i="7"/>
  <c r="P64" i="7"/>
  <c r="Q64" i="7"/>
  <c r="R64" i="7"/>
  <c r="S64" i="7"/>
  <c r="T64" i="7"/>
  <c r="U64" i="7"/>
  <c r="V64" i="7"/>
  <c r="W64" i="7"/>
  <c r="X64" i="7"/>
  <c r="P65" i="7"/>
  <c r="Q65" i="7"/>
  <c r="R65" i="7"/>
  <c r="S65" i="7"/>
  <c r="T65" i="7"/>
  <c r="U65" i="7"/>
  <c r="V65" i="7"/>
  <c r="W65" i="7"/>
  <c r="X65" i="7"/>
  <c r="P66" i="7"/>
  <c r="Q66" i="7"/>
  <c r="R66" i="7"/>
  <c r="S66" i="7"/>
  <c r="T66" i="7"/>
  <c r="U66" i="7"/>
  <c r="V66" i="7"/>
  <c r="W66" i="7"/>
  <c r="X66" i="7"/>
  <c r="P67" i="7"/>
  <c r="Q67" i="7"/>
  <c r="R67" i="7"/>
  <c r="S67" i="7"/>
  <c r="T67" i="7"/>
  <c r="U67" i="7"/>
  <c r="V67" i="7"/>
  <c r="W67" i="7"/>
  <c r="X67" i="7"/>
  <c r="P68" i="7"/>
  <c r="Q68" i="7"/>
  <c r="R68" i="7"/>
  <c r="S68" i="7"/>
  <c r="T68" i="7"/>
  <c r="U68" i="7"/>
  <c r="V68" i="7"/>
  <c r="W68" i="7"/>
  <c r="X68" i="7"/>
  <c r="P69" i="7"/>
  <c r="Q69" i="7"/>
  <c r="R69" i="7"/>
  <c r="S69" i="7"/>
  <c r="T69" i="7"/>
  <c r="U69" i="7"/>
  <c r="V69" i="7"/>
  <c r="W69" i="7"/>
  <c r="X69" i="7"/>
  <c r="P70" i="7"/>
  <c r="Q70" i="7"/>
  <c r="R70" i="7"/>
  <c r="S70" i="7"/>
  <c r="T70" i="7"/>
  <c r="U70" i="7"/>
  <c r="V70" i="7"/>
  <c r="W70" i="7"/>
  <c r="X70" i="7"/>
  <c r="P71" i="7"/>
  <c r="Q71" i="7"/>
  <c r="R71" i="7"/>
  <c r="S71" i="7"/>
  <c r="T71" i="7"/>
  <c r="U71" i="7"/>
  <c r="V71" i="7"/>
  <c r="W71" i="7"/>
  <c r="X71" i="7"/>
  <c r="P72" i="7"/>
  <c r="Q72" i="7"/>
  <c r="R72" i="7"/>
  <c r="S72" i="7"/>
  <c r="T72" i="7"/>
  <c r="U72" i="7"/>
  <c r="V72" i="7"/>
  <c r="W72" i="7"/>
  <c r="X72" i="7"/>
  <c r="P73" i="7"/>
  <c r="Q73" i="7"/>
  <c r="R73" i="7"/>
  <c r="S73" i="7"/>
  <c r="T73" i="7"/>
  <c r="U73" i="7"/>
  <c r="V73" i="7"/>
  <c r="W73" i="7"/>
  <c r="X73" i="7"/>
  <c r="P74" i="7"/>
  <c r="Q74" i="7"/>
  <c r="R74" i="7"/>
  <c r="S74" i="7"/>
  <c r="T74" i="7"/>
  <c r="U74" i="7"/>
  <c r="V74" i="7"/>
  <c r="W74" i="7"/>
  <c r="X74" i="7"/>
  <c r="P75" i="7"/>
  <c r="Q75" i="7"/>
  <c r="R75" i="7"/>
  <c r="S75" i="7"/>
  <c r="T75" i="7"/>
  <c r="U75" i="7"/>
  <c r="V75" i="7"/>
  <c r="W75" i="7"/>
  <c r="X75" i="7"/>
  <c r="P76" i="7"/>
  <c r="Q76" i="7"/>
  <c r="R76" i="7"/>
  <c r="S76" i="7"/>
  <c r="T76" i="7"/>
  <c r="U76" i="7"/>
  <c r="V76" i="7"/>
  <c r="W76" i="7"/>
  <c r="X76" i="7"/>
  <c r="P77" i="7"/>
  <c r="Q77" i="7"/>
  <c r="R77" i="7"/>
  <c r="S77" i="7"/>
  <c r="T77" i="7"/>
  <c r="U77" i="7"/>
  <c r="V77" i="7"/>
  <c r="W77" i="7"/>
  <c r="X77" i="7"/>
  <c r="P78" i="7"/>
  <c r="Q78" i="7"/>
  <c r="R78" i="7"/>
  <c r="S78" i="7"/>
  <c r="T78" i="7"/>
  <c r="U78" i="7"/>
  <c r="V78" i="7"/>
  <c r="W78" i="7"/>
  <c r="X78" i="7"/>
  <c r="AJ89" i="7" s="1" a="1"/>
  <c r="P79" i="7"/>
  <c r="Q79" i="7"/>
  <c r="R79" i="7"/>
  <c r="S79" i="7"/>
  <c r="T79" i="7"/>
  <c r="U79" i="7"/>
  <c r="V79" i="7"/>
  <c r="W79" i="7"/>
  <c r="X79" i="7"/>
  <c r="P80" i="7"/>
  <c r="Q80" i="7"/>
  <c r="R80" i="7"/>
  <c r="S80" i="7"/>
  <c r="T80" i="7"/>
  <c r="U80" i="7"/>
  <c r="V80" i="7"/>
  <c r="W80" i="7"/>
  <c r="X80" i="7"/>
  <c r="P81" i="7"/>
  <c r="Q81" i="7"/>
  <c r="R81" i="7"/>
  <c r="S81" i="7"/>
  <c r="T81" i="7"/>
  <c r="U81" i="7"/>
  <c r="V81" i="7"/>
  <c r="W81" i="7"/>
  <c r="X81" i="7"/>
  <c r="P82" i="7"/>
  <c r="Q82" i="7"/>
  <c r="R82" i="7"/>
  <c r="S82" i="7"/>
  <c r="T82" i="7"/>
  <c r="U82" i="7"/>
  <c r="V82" i="7"/>
  <c r="W82" i="7"/>
  <c r="X82" i="7"/>
  <c r="P83" i="7"/>
  <c r="Q83" i="7"/>
  <c r="R83" i="7"/>
  <c r="S83" i="7"/>
  <c r="T83" i="7"/>
  <c r="U83" i="7"/>
  <c r="V83" i="7"/>
  <c r="W83" i="7"/>
  <c r="X83" i="7"/>
  <c r="P84" i="7"/>
  <c r="Q84" i="7"/>
  <c r="R84" i="7"/>
  <c r="S84" i="7"/>
  <c r="T84" i="7"/>
  <c r="U84" i="7"/>
  <c r="V84" i="7"/>
  <c r="W84" i="7"/>
  <c r="X84" i="7"/>
  <c r="P85" i="7"/>
  <c r="Q85" i="7"/>
  <c r="R85" i="7"/>
  <c r="S85" i="7"/>
  <c r="T85" i="7"/>
  <c r="U85" i="7"/>
  <c r="V85" i="7"/>
  <c r="W85" i="7"/>
  <c r="X85" i="7"/>
  <c r="P86" i="7"/>
  <c r="Q86" i="7"/>
  <c r="R86" i="7"/>
  <c r="S86" i="7"/>
  <c r="T86" i="7"/>
  <c r="U86" i="7"/>
  <c r="V86" i="7"/>
  <c r="W86" i="7"/>
  <c r="X86" i="7"/>
  <c r="P87" i="7"/>
  <c r="Q87" i="7"/>
  <c r="R87" i="7"/>
  <c r="S87" i="7"/>
  <c r="T87" i="7"/>
  <c r="U87" i="7"/>
  <c r="V87" i="7"/>
  <c r="W87" i="7"/>
  <c r="X87" i="7"/>
  <c r="P88" i="7"/>
  <c r="Q88" i="7"/>
  <c r="R88" i="7"/>
  <c r="S88" i="7"/>
  <c r="T88" i="7"/>
  <c r="U88" i="7"/>
  <c r="V88" i="7"/>
  <c r="W88" i="7"/>
  <c r="X88" i="7"/>
  <c r="P89" i="7"/>
  <c r="Q89" i="7"/>
  <c r="R89" i="7"/>
  <c r="S89" i="7"/>
  <c r="T89" i="7"/>
  <c r="U89" i="7"/>
  <c r="V89" i="7"/>
  <c r="W89" i="7"/>
  <c r="X89" i="7"/>
  <c r="P90" i="7"/>
  <c r="Q90" i="7"/>
  <c r="R90" i="7"/>
  <c r="S90" i="7"/>
  <c r="T90" i="7"/>
  <c r="U90" i="7"/>
  <c r="V90" i="7"/>
  <c r="W90" i="7"/>
  <c r="X90" i="7"/>
  <c r="P91" i="7"/>
  <c r="Q91" i="7"/>
  <c r="R91" i="7"/>
  <c r="S91" i="7"/>
  <c r="T91" i="7"/>
  <c r="U91" i="7"/>
  <c r="V91" i="7"/>
  <c r="W91" i="7"/>
  <c r="X91" i="7"/>
  <c r="P92" i="7"/>
  <c r="Q92" i="7"/>
  <c r="R92" i="7"/>
  <c r="S92" i="7"/>
  <c r="T92" i="7"/>
  <c r="U92" i="7"/>
  <c r="V92" i="7"/>
  <c r="W92" i="7"/>
  <c r="X92" i="7"/>
  <c r="P93" i="7"/>
  <c r="Q93" i="7"/>
  <c r="R93" i="7"/>
  <c r="S93" i="7"/>
  <c r="T93" i="7"/>
  <c r="U93" i="7"/>
  <c r="V93" i="7"/>
  <c r="W93" i="7"/>
  <c r="X93" i="7"/>
  <c r="P94" i="7"/>
  <c r="Q94" i="7"/>
  <c r="R94" i="7"/>
  <c r="S94" i="7"/>
  <c r="T94" i="7"/>
  <c r="U94" i="7"/>
  <c r="V94" i="7"/>
  <c r="W94" i="7"/>
  <c r="X94" i="7"/>
  <c r="P95" i="7"/>
  <c r="Q95" i="7"/>
  <c r="R95" i="7"/>
  <c r="S95" i="7"/>
  <c r="T95" i="7"/>
  <c r="U95" i="7"/>
  <c r="V95" i="7"/>
  <c r="W95" i="7"/>
  <c r="X95" i="7"/>
  <c r="P96" i="7"/>
  <c r="Q96" i="7"/>
  <c r="R96" i="7"/>
  <c r="S96" i="7"/>
  <c r="T96" i="7"/>
  <c r="U96" i="7"/>
  <c r="V96" i="7"/>
  <c r="W96" i="7"/>
  <c r="X96" i="7"/>
  <c r="P97" i="7"/>
  <c r="Q97" i="7"/>
  <c r="R97" i="7"/>
  <c r="S97" i="7"/>
  <c r="T97" i="7"/>
  <c r="U97" i="7"/>
  <c r="V97" i="7"/>
  <c r="W97" i="7"/>
  <c r="X97" i="7"/>
  <c r="P98" i="7"/>
  <c r="Q98" i="7"/>
  <c r="R98" i="7"/>
  <c r="S98" i="7"/>
  <c r="T98" i="7"/>
  <c r="U98" i="7"/>
  <c r="V98" i="7"/>
  <c r="W98" i="7"/>
  <c r="X98" i="7"/>
  <c r="P99" i="7"/>
  <c r="Q99" i="7"/>
  <c r="R99" i="7"/>
  <c r="S99" i="7"/>
  <c r="T99" i="7"/>
  <c r="U99" i="7"/>
  <c r="V99" i="7"/>
  <c r="W99" i="7"/>
  <c r="X99" i="7"/>
  <c r="P100" i="7"/>
  <c r="Q100" i="7"/>
  <c r="R100" i="7"/>
  <c r="S100" i="7"/>
  <c r="T100" i="7"/>
  <c r="U100" i="7"/>
  <c r="V100" i="7"/>
  <c r="W100" i="7"/>
  <c r="X100" i="7"/>
  <c r="P101" i="7"/>
  <c r="Q101" i="7"/>
  <c r="R101" i="7"/>
  <c r="S101" i="7"/>
  <c r="T101" i="7"/>
  <c r="U101" i="7"/>
  <c r="V101" i="7"/>
  <c r="W101" i="7"/>
  <c r="X101" i="7"/>
  <c r="P102" i="7"/>
  <c r="Q102" i="7"/>
  <c r="R102" i="7"/>
  <c r="S102" i="7"/>
  <c r="T102" i="7"/>
  <c r="U102" i="7"/>
  <c r="V102" i="7"/>
  <c r="W102" i="7"/>
  <c r="X102" i="7"/>
  <c r="P103" i="7"/>
  <c r="Q103" i="7"/>
  <c r="R103" i="7"/>
  <c r="S103" i="7"/>
  <c r="T103" i="7"/>
  <c r="U103" i="7"/>
  <c r="V103" i="7"/>
  <c r="W103" i="7"/>
  <c r="X103" i="7"/>
  <c r="P104" i="7"/>
  <c r="Q104" i="7"/>
  <c r="R104" i="7"/>
  <c r="S104" i="7"/>
  <c r="T104" i="7"/>
  <c r="U104" i="7"/>
  <c r="V104" i="7"/>
  <c r="W104" i="7"/>
  <c r="X104" i="7"/>
  <c r="P105" i="7"/>
  <c r="Q105" i="7"/>
  <c r="R105" i="7"/>
  <c r="S105" i="7"/>
  <c r="T105" i="7"/>
  <c r="U105" i="7"/>
  <c r="V105" i="7"/>
  <c r="W105" i="7"/>
  <c r="X105" i="7"/>
  <c r="P106" i="7"/>
  <c r="Q106" i="7"/>
  <c r="R106" i="7"/>
  <c r="S106" i="7"/>
  <c r="T106" i="7"/>
  <c r="U106" i="7"/>
  <c r="V106" i="7"/>
  <c r="W106" i="7"/>
  <c r="X106" i="7"/>
  <c r="P107" i="7"/>
  <c r="Q107" i="7"/>
  <c r="R107" i="7"/>
  <c r="S107" i="7"/>
  <c r="T107" i="7"/>
  <c r="U107" i="7"/>
  <c r="V107" i="7"/>
  <c r="W107" i="7"/>
  <c r="X107" i="7"/>
  <c r="P108" i="7"/>
  <c r="Q108" i="7"/>
  <c r="R108" i="7"/>
  <c r="S108" i="7"/>
  <c r="T108" i="7"/>
  <c r="U108" i="7"/>
  <c r="V108" i="7"/>
  <c r="W108" i="7"/>
  <c r="X108" i="7"/>
  <c r="P109" i="7"/>
  <c r="Q109" i="7"/>
  <c r="R109" i="7"/>
  <c r="S109" i="7"/>
  <c r="T109" i="7"/>
  <c r="U109" i="7"/>
  <c r="V109" i="7"/>
  <c r="W109" i="7"/>
  <c r="X109" i="7"/>
  <c r="P110" i="7"/>
  <c r="AB121" i="7" s="1" a="1"/>
  <c r="Q110" i="7"/>
  <c r="R110" i="7"/>
  <c r="S110" i="7"/>
  <c r="T110" i="7"/>
  <c r="U110" i="7"/>
  <c r="V110" i="7"/>
  <c r="W110" i="7"/>
  <c r="X110" i="7"/>
  <c r="P111" i="7"/>
  <c r="Q111" i="7"/>
  <c r="R111" i="7"/>
  <c r="S111" i="7"/>
  <c r="T111" i="7"/>
  <c r="U111" i="7"/>
  <c r="V111" i="7"/>
  <c r="W111" i="7"/>
  <c r="X111" i="7"/>
  <c r="P112" i="7"/>
  <c r="Q112" i="7"/>
  <c r="R112" i="7"/>
  <c r="S112" i="7"/>
  <c r="T112" i="7"/>
  <c r="U112" i="7"/>
  <c r="V112" i="7"/>
  <c r="W112" i="7"/>
  <c r="X112" i="7"/>
  <c r="P113" i="7"/>
  <c r="Q113" i="7"/>
  <c r="R113" i="7"/>
  <c r="S113" i="7"/>
  <c r="T113" i="7"/>
  <c r="U113" i="7"/>
  <c r="V113" i="7"/>
  <c r="W113" i="7"/>
  <c r="X113" i="7"/>
  <c r="P114" i="7"/>
  <c r="Q114" i="7"/>
  <c r="R114" i="7"/>
  <c r="S114" i="7"/>
  <c r="T114" i="7"/>
  <c r="U114" i="7"/>
  <c r="V114" i="7"/>
  <c r="W114" i="7"/>
  <c r="X114" i="7"/>
  <c r="P115" i="7"/>
  <c r="Q115" i="7"/>
  <c r="R115" i="7"/>
  <c r="S115" i="7"/>
  <c r="T115" i="7"/>
  <c r="U115" i="7"/>
  <c r="V115" i="7"/>
  <c r="W115" i="7"/>
  <c r="X115" i="7"/>
  <c r="P116" i="7"/>
  <c r="Q116" i="7"/>
  <c r="R116" i="7"/>
  <c r="S116" i="7"/>
  <c r="T116" i="7"/>
  <c r="U116" i="7"/>
  <c r="V116" i="7"/>
  <c r="W116" i="7"/>
  <c r="X116" i="7"/>
  <c r="P117" i="7"/>
  <c r="Q117" i="7"/>
  <c r="R117" i="7"/>
  <c r="S117" i="7"/>
  <c r="T117" i="7"/>
  <c r="U117" i="7"/>
  <c r="V117" i="7"/>
  <c r="W117" i="7"/>
  <c r="X117" i="7"/>
  <c r="P118" i="7"/>
  <c r="Q118" i="7"/>
  <c r="R118" i="7"/>
  <c r="S118" i="7"/>
  <c r="T118" i="7"/>
  <c r="U118" i="7"/>
  <c r="V118" i="7"/>
  <c r="W118" i="7"/>
  <c r="X118" i="7"/>
  <c r="P119" i="7"/>
  <c r="Q119" i="7"/>
  <c r="R119" i="7"/>
  <c r="S119" i="7"/>
  <c r="T119" i="7"/>
  <c r="U119" i="7"/>
  <c r="V119" i="7"/>
  <c r="W119" i="7"/>
  <c r="X119" i="7"/>
  <c r="P120" i="7"/>
  <c r="Q120" i="7"/>
  <c r="R120" i="7"/>
  <c r="S120" i="7"/>
  <c r="T120" i="7"/>
  <c r="U120" i="7"/>
  <c r="V120" i="7"/>
  <c r="W120" i="7"/>
  <c r="X120" i="7"/>
  <c r="P121" i="7"/>
  <c r="Q121" i="7"/>
  <c r="R121" i="7"/>
  <c r="S121" i="7"/>
  <c r="T121" i="7"/>
  <c r="U121" i="7"/>
  <c r="V121" i="7"/>
  <c r="W121" i="7"/>
  <c r="X121" i="7"/>
  <c r="P122" i="7"/>
  <c r="Q122" i="7"/>
  <c r="R122" i="7"/>
  <c r="S122" i="7"/>
  <c r="T122" i="7"/>
  <c r="U122" i="7"/>
  <c r="V122" i="7"/>
  <c r="W122" i="7"/>
  <c r="X122" i="7"/>
  <c r="P123" i="7"/>
  <c r="Q123" i="7"/>
  <c r="R123" i="7"/>
  <c r="S123" i="7"/>
  <c r="T123" i="7"/>
  <c r="U123" i="7"/>
  <c r="V123" i="7"/>
  <c r="W123" i="7"/>
  <c r="X123" i="7"/>
  <c r="P124" i="7"/>
  <c r="Q124" i="7"/>
  <c r="R124" i="7"/>
  <c r="S124" i="7"/>
  <c r="T124" i="7"/>
  <c r="U124" i="7"/>
  <c r="V124" i="7"/>
  <c r="W124" i="7"/>
  <c r="X124" i="7"/>
  <c r="P125" i="7"/>
  <c r="Q125" i="7"/>
  <c r="R125" i="7"/>
  <c r="S125" i="7"/>
  <c r="T125" i="7"/>
  <c r="U125" i="7"/>
  <c r="V125" i="7"/>
  <c r="W125" i="7"/>
  <c r="X125" i="7"/>
  <c r="P126" i="7"/>
  <c r="Q126" i="7"/>
  <c r="R126" i="7"/>
  <c r="S126" i="7"/>
  <c r="T126" i="7"/>
  <c r="U126" i="7"/>
  <c r="V126" i="7"/>
  <c r="W126" i="7"/>
  <c r="X126" i="7"/>
  <c r="P127" i="7"/>
  <c r="Q127" i="7"/>
  <c r="R127" i="7"/>
  <c r="S127" i="7"/>
  <c r="T127" i="7"/>
  <c r="U127" i="7"/>
  <c r="V127" i="7"/>
  <c r="W127" i="7"/>
  <c r="X127" i="7"/>
  <c r="P128" i="7"/>
  <c r="Q128" i="7"/>
  <c r="R128" i="7"/>
  <c r="S128" i="7"/>
  <c r="T128" i="7"/>
  <c r="U128" i="7"/>
  <c r="V128" i="7"/>
  <c r="W128" i="7"/>
  <c r="X128" i="7"/>
  <c r="P129" i="7"/>
  <c r="Q129" i="7"/>
  <c r="R129" i="7"/>
  <c r="S129" i="7"/>
  <c r="T129" i="7"/>
  <c r="U129" i="7"/>
  <c r="V129" i="7"/>
  <c r="W129" i="7"/>
  <c r="X129" i="7"/>
  <c r="P130" i="7"/>
  <c r="Q130" i="7"/>
  <c r="R130" i="7"/>
  <c r="S130" i="7"/>
  <c r="T130" i="7"/>
  <c r="U130" i="7"/>
  <c r="V130" i="7"/>
  <c r="W130" i="7"/>
  <c r="X130" i="7"/>
  <c r="P131" i="7"/>
  <c r="Q131" i="7"/>
  <c r="R131" i="7"/>
  <c r="S131" i="7"/>
  <c r="T131" i="7"/>
  <c r="U131" i="7"/>
  <c r="V131" i="7"/>
  <c r="W131" i="7"/>
  <c r="X131" i="7"/>
  <c r="P132" i="7"/>
  <c r="Q132" i="7"/>
  <c r="R132" i="7"/>
  <c r="S132" i="7"/>
  <c r="T132" i="7"/>
  <c r="U132" i="7"/>
  <c r="V132" i="7"/>
  <c r="W132" i="7"/>
  <c r="X132" i="7"/>
  <c r="P133" i="7"/>
  <c r="Q133" i="7"/>
  <c r="R133" i="7"/>
  <c r="S133" i="7"/>
  <c r="T133" i="7"/>
  <c r="U133" i="7"/>
  <c r="V133" i="7"/>
  <c r="W133" i="7"/>
  <c r="X133" i="7"/>
  <c r="P134" i="7"/>
  <c r="Q134" i="7"/>
  <c r="R134" i="7"/>
  <c r="S134" i="7"/>
  <c r="T134" i="7"/>
  <c r="U134" i="7"/>
  <c r="V134" i="7"/>
  <c r="W134" i="7"/>
  <c r="X134" i="7"/>
  <c r="P135" i="7"/>
  <c r="Q135" i="7"/>
  <c r="R135" i="7"/>
  <c r="S135" i="7"/>
  <c r="T135" i="7"/>
  <c r="U135" i="7"/>
  <c r="V135" i="7"/>
  <c r="W135" i="7"/>
  <c r="X135" i="7"/>
  <c r="P136" i="7"/>
  <c r="Q136" i="7"/>
  <c r="R136" i="7"/>
  <c r="S136" i="7"/>
  <c r="T136" i="7"/>
  <c r="U136" i="7"/>
  <c r="V136" i="7"/>
  <c r="W136" i="7"/>
  <c r="X136" i="7"/>
  <c r="P137" i="7"/>
  <c r="Q137" i="7"/>
  <c r="R137" i="7"/>
  <c r="S137" i="7"/>
  <c r="T137" i="7"/>
  <c r="U137" i="7"/>
  <c r="V137" i="7"/>
  <c r="W137" i="7"/>
  <c r="X137" i="7"/>
  <c r="P138" i="7"/>
  <c r="Q138" i="7"/>
  <c r="R138" i="7"/>
  <c r="S138" i="7"/>
  <c r="T138" i="7"/>
  <c r="U138" i="7"/>
  <c r="V138" i="7"/>
  <c r="W138" i="7"/>
  <c r="X138" i="7"/>
  <c r="P139" i="7"/>
  <c r="Q139" i="7"/>
  <c r="R139" i="7"/>
  <c r="S139" i="7"/>
  <c r="T139" i="7"/>
  <c r="U139" i="7"/>
  <c r="V139" i="7"/>
  <c r="W139" i="7"/>
  <c r="X139" i="7"/>
  <c r="P140" i="7"/>
  <c r="Q140" i="7"/>
  <c r="R140" i="7"/>
  <c r="S140" i="7"/>
  <c r="T140" i="7"/>
  <c r="U140" i="7"/>
  <c r="V140" i="7"/>
  <c r="W140" i="7"/>
  <c r="X140" i="7"/>
  <c r="P141" i="7"/>
  <c r="Q141" i="7"/>
  <c r="R141" i="7"/>
  <c r="S141" i="7"/>
  <c r="T141" i="7"/>
  <c r="U141" i="7"/>
  <c r="V141" i="7"/>
  <c r="W141" i="7"/>
  <c r="X141" i="7"/>
  <c r="P142" i="7"/>
  <c r="Q142" i="7"/>
  <c r="R142" i="7"/>
  <c r="S142" i="7"/>
  <c r="T142" i="7"/>
  <c r="U142" i="7"/>
  <c r="V142" i="7"/>
  <c r="W142" i="7"/>
  <c r="X142" i="7"/>
  <c r="P143" i="7"/>
  <c r="Q143" i="7"/>
  <c r="R143" i="7"/>
  <c r="S143" i="7"/>
  <c r="T143" i="7"/>
  <c r="U143" i="7"/>
  <c r="V143" i="7"/>
  <c r="W143" i="7"/>
  <c r="X143" i="7"/>
  <c r="P144" i="7"/>
  <c r="Q144" i="7"/>
  <c r="R144" i="7"/>
  <c r="S144" i="7"/>
  <c r="T144" i="7"/>
  <c r="U144" i="7"/>
  <c r="V144" i="7"/>
  <c r="W144" i="7"/>
  <c r="X144" i="7"/>
  <c r="O21" i="7"/>
  <c r="AA32" i="7" s="1" a="1"/>
  <c r="O22" i="7"/>
  <c r="O23" i="7"/>
  <c r="O24" i="7"/>
  <c r="O25" i="7"/>
  <c r="O26" i="7"/>
  <c r="O27" i="7"/>
  <c r="O28" i="7"/>
  <c r="O29" i="7"/>
  <c r="AA40" i="7" s="1" a="1"/>
  <c r="O30" i="7"/>
  <c r="O31" i="7"/>
  <c r="O32" i="7"/>
  <c r="O33" i="7"/>
  <c r="O34" i="7"/>
  <c r="O35" i="7"/>
  <c r="O36" i="7"/>
  <c r="O37" i="7"/>
  <c r="O38" i="7"/>
  <c r="O39" i="7"/>
  <c r="O40" i="7"/>
  <c r="O41" i="7"/>
  <c r="O42" i="7"/>
  <c r="O43" i="7"/>
  <c r="O44" i="7"/>
  <c r="O45" i="7"/>
  <c r="AA56" i="7" s="1" a="1"/>
  <c r="O46" i="7"/>
  <c r="O47" i="7"/>
  <c r="O48" i="7"/>
  <c r="O49" i="7"/>
  <c r="O50" i="7"/>
  <c r="O51" i="7"/>
  <c r="O52" i="7"/>
  <c r="O53" i="7"/>
  <c r="AA64" i="7" s="1" a="1"/>
  <c r="O54" i="7"/>
  <c r="O55" i="7"/>
  <c r="O56" i="7"/>
  <c r="O57" i="7"/>
  <c r="O58" i="7"/>
  <c r="O59" i="7"/>
  <c r="O60" i="7"/>
  <c r="O61" i="7"/>
  <c r="O62" i="7"/>
  <c r="O63" i="7"/>
  <c r="O64" i="7"/>
  <c r="O65" i="7"/>
  <c r="O66" i="7"/>
  <c r="O67" i="7"/>
  <c r="O68" i="7"/>
  <c r="O69" i="7"/>
  <c r="AA80" i="7" s="1" a="1"/>
  <c r="O70" i="7"/>
  <c r="O71" i="7"/>
  <c r="O72" i="7"/>
  <c r="O73" i="7"/>
  <c r="O74" i="7"/>
  <c r="O75" i="7"/>
  <c r="O76" i="7"/>
  <c r="O77" i="7"/>
  <c r="AA88" i="7" s="1" a="1"/>
  <c r="O78" i="7"/>
  <c r="O79" i="7"/>
  <c r="O80" i="7"/>
  <c r="O81" i="7"/>
  <c r="O82" i="7"/>
  <c r="O83" i="7"/>
  <c r="O84" i="7"/>
  <c r="O85" i="7"/>
  <c r="AA96" i="7" s="1" a="1"/>
  <c r="O86" i="7"/>
  <c r="O87" i="7"/>
  <c r="O88" i="7"/>
  <c r="O89" i="7"/>
  <c r="O90" i="7"/>
  <c r="O91" i="7"/>
  <c r="O92" i="7"/>
  <c r="O93" i="7"/>
  <c r="O94" i="7"/>
  <c r="O95" i="7"/>
  <c r="O96" i="7"/>
  <c r="O97" i="7"/>
  <c r="O98" i="7"/>
  <c r="O99" i="7"/>
  <c r="O100" i="7"/>
  <c r="O101" i="7"/>
  <c r="AA112" i="7" s="1" a="1"/>
  <c r="O102" i="7"/>
  <c r="O103" i="7"/>
  <c r="O104" i="7"/>
  <c r="O105" i="7"/>
  <c r="O106" i="7"/>
  <c r="O107" i="7"/>
  <c r="O108" i="7"/>
  <c r="O109" i="7"/>
  <c r="AA120" i="7" s="1" a="1"/>
  <c r="O110" i="7"/>
  <c r="O111" i="7"/>
  <c r="O112" i="7"/>
  <c r="O113" i="7"/>
  <c r="O114" i="7"/>
  <c r="O115" i="7"/>
  <c r="O116" i="7"/>
  <c r="O117" i="7"/>
  <c r="O118" i="7"/>
  <c r="O119" i="7"/>
  <c r="O120" i="7"/>
  <c r="O121" i="7"/>
  <c r="O122" i="7"/>
  <c r="O123" i="7"/>
  <c r="O124" i="7"/>
  <c r="O125" i="7"/>
  <c r="AA136" i="7" s="1" a="1"/>
  <c r="O126" i="7"/>
  <c r="O127" i="7"/>
  <c r="O128" i="7"/>
  <c r="O129" i="7"/>
  <c r="O130" i="7"/>
  <c r="O131" i="7"/>
  <c r="O132" i="7"/>
  <c r="O133" i="7"/>
  <c r="AA144" i="7" s="1" a="1"/>
  <c r="O134" i="7"/>
  <c r="O135" i="7"/>
  <c r="O136" i="7"/>
  <c r="O137" i="7"/>
  <c r="O138" i="7"/>
  <c r="O139" i="7"/>
  <c r="O140" i="7"/>
  <c r="O141" i="7"/>
  <c r="O142" i="7"/>
  <c r="O143" i="7"/>
  <c r="O144" i="7"/>
  <c r="O15" i="7"/>
  <c r="P15" i="7"/>
  <c r="Q15" i="7"/>
  <c r="R15" i="7"/>
  <c r="S15" i="7"/>
  <c r="T15" i="7"/>
  <c r="U15" i="7"/>
  <c r="V15" i="7"/>
  <c r="W15" i="7"/>
  <c r="X15" i="7"/>
  <c r="O16" i="7"/>
  <c r="P16" i="7"/>
  <c r="Q16" i="7"/>
  <c r="R16" i="7"/>
  <c r="S16" i="7"/>
  <c r="T16" i="7"/>
  <c r="U16" i="7"/>
  <c r="V16" i="7"/>
  <c r="W16" i="7"/>
  <c r="X16" i="7"/>
  <c r="O17" i="7"/>
  <c r="AA28" i="7" s="1" a="1"/>
  <c r="P17" i="7"/>
  <c r="Q17" i="7"/>
  <c r="R17" i="7"/>
  <c r="S17" i="7"/>
  <c r="T17" i="7"/>
  <c r="U17" i="7"/>
  <c r="V17" i="7"/>
  <c r="AH28" i="7" s="1" a="1"/>
  <c r="W17" i="7"/>
  <c r="AI28" i="7" s="1" a="1"/>
  <c r="X17" i="7"/>
  <c r="O18" i="7"/>
  <c r="P18" i="7"/>
  <c r="Q18" i="7"/>
  <c r="R18" i="7"/>
  <c r="S18" i="7"/>
  <c r="T18" i="7"/>
  <c r="AF29" i="7" s="1" a="1"/>
  <c r="U18" i="7"/>
  <c r="AG29" i="7" s="1" a="1"/>
  <c r="V18" i="7"/>
  <c r="W18" i="7"/>
  <c r="X18" i="7"/>
  <c r="O19" i="7"/>
  <c r="P19" i="7"/>
  <c r="Q19" i="7"/>
  <c r="R19" i="7"/>
  <c r="AD30" i="7" s="1" a="1"/>
  <c r="S19" i="7"/>
  <c r="AE30" i="7" s="1" a="1"/>
  <c r="T19" i="7"/>
  <c r="AF30" i="7" s="1" a="1"/>
  <c r="U19" i="7"/>
  <c r="AG30" i="7" s="1" a="1"/>
  <c r="V19" i="7"/>
  <c r="W19" i="7"/>
  <c r="X19" i="7"/>
  <c r="O20" i="7"/>
  <c r="P20" i="7"/>
  <c r="AB31" i="7" s="1" a="1"/>
  <c r="Q20" i="7"/>
  <c r="AC31" i="7" s="1" a="1"/>
  <c r="R20" i="7"/>
  <c r="AD31" i="7" s="1" a="1"/>
  <c r="S20" i="7"/>
  <c r="AE31" i="7" s="1" a="1"/>
  <c r="T20" i="7"/>
  <c r="AF31" i="7" s="1" a="1"/>
  <c r="U20" i="7"/>
  <c r="AG31" i="7" s="1" a="1"/>
  <c r="V20" i="7"/>
  <c r="AH31" i="7" s="1" a="1"/>
  <c r="W20" i="7"/>
  <c r="AI31" i="7" s="1" a="1"/>
  <c r="X20" i="7"/>
  <c r="AJ31" i="7" s="1" a="1"/>
  <c r="Q14" i="7"/>
  <c r="AC25" i="7" s="1" a="1"/>
  <c r="R14" i="7"/>
  <c r="S14" i="7"/>
  <c r="T14" i="7"/>
  <c r="U14" i="7"/>
  <c r="V14" i="7"/>
  <c r="W14" i="7"/>
  <c r="X14" i="7"/>
  <c r="AJ25" i="7" s="1" a="1"/>
  <c r="P14" i="7"/>
  <c r="AB25" i="7" s="1" a="1"/>
  <c r="O14" i="7"/>
  <c r="O13" i="7" a="1"/>
  <c r="N14" i="7"/>
  <c r="B22" i="11" s="1"/>
  <c r="AE144" i="7" l="1" a="1"/>
  <c r="AF143" i="7" a="1"/>
  <c r="AG142" i="7" a="1"/>
  <c r="AH141" i="7" a="1"/>
  <c r="AI140" i="7" a="1"/>
  <c r="AJ139" i="7" a="1"/>
  <c r="AB139" i="7" a="1"/>
  <c r="AC138" i="7" a="1"/>
  <c r="AD137" i="7" a="1"/>
  <c r="AE136" i="7" a="1"/>
  <c r="AF135" i="7" a="1"/>
  <c r="AG134" i="7" a="1"/>
  <c r="AH133" i="7" a="1"/>
  <c r="AI132" i="7" a="1"/>
  <c r="AJ131" i="7" a="1"/>
  <c r="AB131" i="7" a="1"/>
  <c r="AC130" i="7" a="1"/>
  <c r="AD129" i="7" a="1"/>
  <c r="AE128" i="7" a="1"/>
  <c r="AF127" i="7" a="1"/>
  <c r="AG126" i="7" a="1"/>
  <c r="AH125" i="7" a="1"/>
  <c r="AI124" i="7" a="1"/>
  <c r="AJ123" i="7" a="1"/>
  <c r="AB123" i="7" a="1"/>
  <c r="AC122" i="7" a="1"/>
  <c r="AD121" i="7" a="1"/>
  <c r="AE120" i="7" a="1"/>
  <c r="AF119" i="7" a="1"/>
  <c r="AG118" i="7" a="1"/>
  <c r="AH117" i="7" a="1"/>
  <c r="AI116" i="7" a="1"/>
  <c r="AJ115" i="7" a="1"/>
  <c r="AB115" i="7" a="1"/>
  <c r="AC114" i="7" a="1"/>
  <c r="AD113" i="7" a="1"/>
  <c r="AE112" i="7" a="1"/>
  <c r="AC27" i="7" a="1"/>
  <c r="AA128" i="7" a="1"/>
  <c r="AA104" i="7" a="1"/>
  <c r="AD26" i="7" a="1"/>
  <c r="AA119" i="7" a="1"/>
  <c r="AA87" i="7" a="1"/>
  <c r="AA55" i="7" a="1"/>
  <c r="AC30" i="7" a="1"/>
  <c r="AE29" i="7" a="1"/>
  <c r="AG28" i="7" a="1"/>
  <c r="AI27" i="7" a="1"/>
  <c r="AA27" i="7" a="1"/>
  <c r="AC26" i="7" a="1"/>
  <c r="AA142" i="7" a="1"/>
  <c r="AA134" i="7" a="1"/>
  <c r="AA126" i="7" a="1"/>
  <c r="AA118" i="7" a="1"/>
  <c r="AA110" i="7" a="1"/>
  <c r="AA102" i="7" a="1"/>
  <c r="AA94" i="7" a="1"/>
  <c r="AA86" i="7" a="1"/>
  <c r="AA78" i="7" a="1"/>
  <c r="AA70" i="7" a="1"/>
  <c r="AA62" i="7" a="1"/>
  <c r="AA54" i="7" a="1"/>
  <c r="AA46" i="7" a="1"/>
  <c r="AA38" i="7" a="1"/>
  <c r="I146" i="11"/>
  <c r="AD144" i="7" a="1"/>
  <c r="AE143" i="7" a="1"/>
  <c r="AF142" i="7" a="1"/>
  <c r="AG141" i="7" a="1"/>
  <c r="AH140" i="7" a="1"/>
  <c r="AI139" i="7" a="1"/>
  <c r="AJ138" i="7" a="1"/>
  <c r="AB138" i="7" a="1"/>
  <c r="AC137" i="7" a="1"/>
  <c r="AD136" i="7" a="1"/>
  <c r="AE135" i="7" a="1"/>
  <c r="AF134" i="7" a="1"/>
  <c r="AG133" i="7" a="1"/>
  <c r="AH132" i="7" a="1"/>
  <c r="AI131" i="7" a="1"/>
  <c r="AJ130" i="7" a="1"/>
  <c r="AB130" i="7" a="1"/>
  <c r="AC129" i="7" a="1"/>
  <c r="AD128" i="7" a="1"/>
  <c r="AE127" i="7" a="1"/>
  <c r="AF126" i="7" a="1"/>
  <c r="AG125" i="7" a="1"/>
  <c r="AH124" i="7" a="1"/>
  <c r="AI123" i="7" a="1"/>
  <c r="AJ122" i="7" a="1"/>
  <c r="AB122" i="7" a="1"/>
  <c r="AC121" i="7" a="1"/>
  <c r="AD120" i="7" a="1"/>
  <c r="AE119" i="7" a="1"/>
  <c r="AF118" i="7" a="1"/>
  <c r="AG117" i="7" a="1"/>
  <c r="AA111" i="7" a="1"/>
  <c r="AA71" i="7" a="1"/>
  <c r="AA31" i="7" a="1"/>
  <c r="AA133" i="7" a="1"/>
  <c r="AA117" i="7" a="1"/>
  <c r="AA93" i="7" a="1"/>
  <c r="AA77" i="7" a="1"/>
  <c r="AA61" i="7" a="1"/>
  <c r="AA45" i="7" a="1"/>
  <c r="J152" i="11"/>
  <c r="AD55" i="7" a="1"/>
  <c r="AA48" i="7" a="1"/>
  <c r="AJ27" i="7" a="1"/>
  <c r="AA135" i="7" a="1"/>
  <c r="AA95" i="7" a="1"/>
  <c r="AA63" i="7" a="1"/>
  <c r="AA39" i="7" a="1"/>
  <c r="AJ30" i="7" a="1"/>
  <c r="L142" i="11"/>
  <c r="AC144" i="7" a="1"/>
  <c r="AF141" i="7" a="1"/>
  <c r="AH139" i="7" a="1"/>
  <c r="AB137" i="7" a="1"/>
  <c r="AD135" i="7" a="1"/>
  <c r="AF133" i="7" a="1"/>
  <c r="AH131" i="7" a="1"/>
  <c r="AJ129" i="7" a="1"/>
  <c r="AC128" i="7" a="1"/>
  <c r="AE126" i="7" a="1"/>
  <c r="AG124" i="7" a="1"/>
  <c r="AI122" i="7" a="1"/>
  <c r="AD119" i="7" a="1"/>
  <c r="AF117" i="7" a="1"/>
  <c r="AH115" i="7" a="1"/>
  <c r="AJ113" i="7" a="1"/>
  <c r="AC112" i="7" a="1"/>
  <c r="AE110" i="7" a="1"/>
  <c r="AG108" i="7" a="1"/>
  <c r="AI106" i="7" a="1"/>
  <c r="AB105" i="7" a="1"/>
  <c r="AD103" i="7" a="1"/>
  <c r="AF101" i="7" a="1"/>
  <c r="AH99" i="7" a="1"/>
  <c r="AJ97" i="7" a="1"/>
  <c r="AC96" i="7" a="1"/>
  <c r="AE94" i="7" a="1"/>
  <c r="AG92" i="7" a="1"/>
  <c r="AI90" i="7" a="1"/>
  <c r="AC88" i="7" a="1"/>
  <c r="AE86" i="7" a="1"/>
  <c r="AG84" i="7" a="1"/>
  <c r="AI82" i="7" a="1"/>
  <c r="AG76" i="7" a="1"/>
  <c r="AI74" i="7" a="1"/>
  <c r="AB73" i="7" a="1"/>
  <c r="AD71" i="7" a="1"/>
  <c r="AF69" i="7" a="1"/>
  <c r="AH67" i="7" a="1"/>
  <c r="AJ65" i="7" a="1"/>
  <c r="AC64" i="7" a="1"/>
  <c r="AE62" i="7" a="1"/>
  <c r="AG60" i="7" a="1"/>
  <c r="AI58" i="7" a="1"/>
  <c r="AB57" i="7" a="1"/>
  <c r="AG25" i="7" a="1"/>
  <c r="AI30" i="7" a="1"/>
  <c r="AC29" i="7" a="1"/>
  <c r="AG27" i="7" a="1"/>
  <c r="AA132" i="7" a="1"/>
  <c r="AA116" i="7" a="1"/>
  <c r="AA100" i="7" a="1"/>
  <c r="AA84" i="7" a="1"/>
  <c r="AA68" i="7" a="1"/>
  <c r="AA60" i="7" a="1"/>
  <c r="AA44" i="7" a="1"/>
  <c r="AA36" i="7" a="1"/>
  <c r="J151" i="11"/>
  <c r="AJ144" i="7" a="1"/>
  <c r="AC143" i="7" a="1"/>
  <c r="AE141" i="7" a="1"/>
  <c r="AG139" i="7" a="1"/>
  <c r="AI137" i="7" a="1"/>
  <c r="AJ136" i="7" a="1"/>
  <c r="AC135" i="7" a="1"/>
  <c r="AD134" i="7" a="1"/>
  <c r="AE133" i="7" a="1"/>
  <c r="AG131" i="7" a="1"/>
  <c r="AH130" i="7" a="1"/>
  <c r="AI129" i="7" a="1"/>
  <c r="AJ128" i="7" a="1"/>
  <c r="AE26" i="7" a="1"/>
  <c r="AA72" i="7" a="1"/>
  <c r="AB27" i="7" a="1"/>
  <c r="AA143" i="7" a="1"/>
  <c r="AA103" i="7" a="1"/>
  <c r="AA79" i="7" a="1"/>
  <c r="AA47" i="7" a="1"/>
  <c r="AI25" i="7" a="1"/>
  <c r="AH25" i="7" a="1"/>
  <c r="AB30" i="7" a="1"/>
  <c r="AD29" i="7" a="1"/>
  <c r="AF28" i="7" a="1"/>
  <c r="AH27" i="7" a="1"/>
  <c r="AJ26" i="7" a="1"/>
  <c r="AB26" i="7" a="1"/>
  <c r="AA141" i="7" a="1"/>
  <c r="AA125" i="7" a="1"/>
  <c r="AA109" i="7" a="1"/>
  <c r="AA101" i="7" a="1"/>
  <c r="AA85" i="7" a="1"/>
  <c r="AA69" i="7" a="1"/>
  <c r="AA53" i="7" a="1"/>
  <c r="AA37" i="7" a="1"/>
  <c r="D142" i="11"/>
  <c r="AE142" i="7" a="1"/>
  <c r="AG140" i="7" a="1"/>
  <c r="AI138" i="7" a="1"/>
  <c r="AC136" i="7" a="1"/>
  <c r="AE134" i="7" a="1"/>
  <c r="AG132" i="7" a="1"/>
  <c r="AI130" i="7" a="1"/>
  <c r="AB129" i="7" a="1"/>
  <c r="AD127" i="7" a="1"/>
  <c r="AF125" i="7" a="1"/>
  <c r="AH123" i="7" a="1"/>
  <c r="AJ121" i="7" a="1"/>
  <c r="AC120" i="7" a="1"/>
  <c r="AE118" i="7" a="1"/>
  <c r="AG116" i="7" a="1"/>
  <c r="AI114" i="7" a="1"/>
  <c r="AB113" i="7" a="1"/>
  <c r="AD111" i="7" a="1"/>
  <c r="AF109" i="7" a="1"/>
  <c r="AH107" i="7" a="1"/>
  <c r="AJ105" i="7" a="1"/>
  <c r="AC104" i="7" a="1"/>
  <c r="AE102" i="7" a="1"/>
  <c r="AG100" i="7" a="1"/>
  <c r="AI98" i="7" a="1"/>
  <c r="AB97" i="7" a="1"/>
  <c r="AD95" i="7" a="1"/>
  <c r="AF93" i="7" a="1"/>
  <c r="AH91" i="7" a="1"/>
  <c r="AB89" i="7" a="1"/>
  <c r="AD87" i="7" a="1"/>
  <c r="AF85" i="7" a="1"/>
  <c r="AH83" i="7" a="1"/>
  <c r="AJ81" i="7" a="1"/>
  <c r="AB81" i="7" a="1"/>
  <c r="AC80" i="7" a="1"/>
  <c r="AD79" i="7" a="1"/>
  <c r="AE78" i="7" a="1"/>
  <c r="AF77" i="7" a="1"/>
  <c r="AH75" i="7" a="1"/>
  <c r="AJ73" i="7" a="1"/>
  <c r="AC72" i="7" a="1"/>
  <c r="AE70" i="7" a="1"/>
  <c r="AG68" i="7" a="1"/>
  <c r="AI66" i="7" a="1"/>
  <c r="AB65" i="7" a="1"/>
  <c r="AD63" i="7" a="1"/>
  <c r="AF61" i="7" a="1"/>
  <c r="AH59" i="7" a="1"/>
  <c r="AJ57" i="7" a="1"/>
  <c r="AC56" i="7" a="1"/>
  <c r="AA30" i="7" a="1"/>
  <c r="AE28" i="7" a="1"/>
  <c r="AI26" i="7" a="1"/>
  <c r="AA26" i="7" a="1"/>
  <c r="AA140" i="7" a="1"/>
  <c r="AA124" i="7" a="1"/>
  <c r="AA108" i="7" a="1"/>
  <c r="AA92" i="7" a="1"/>
  <c r="AA76" i="7" a="1"/>
  <c r="AA52" i="7" a="1"/>
  <c r="D149" i="11"/>
  <c r="F147" i="11"/>
  <c r="J143" i="11"/>
  <c r="AB144" i="7" a="1"/>
  <c r="AD142" i="7" a="1"/>
  <c r="AF140" i="7" a="1"/>
  <c r="AH138" i="7" a="1"/>
  <c r="AB136" i="7" a="1"/>
  <c r="AF132" i="7" a="1"/>
  <c r="AA127" i="7" a="1"/>
  <c r="AE25" i="7" a="1"/>
  <c r="AA122" i="7" a="1"/>
  <c r="F145" i="11"/>
  <c r="G144" i="11"/>
  <c r="H143" i="11"/>
  <c r="I142" i="11"/>
  <c r="AH144" i="7" a="1"/>
  <c r="AI143" i="7" a="1"/>
  <c r="AJ142" i="7" a="1"/>
  <c r="AB142" i="7" a="1"/>
  <c r="AC141" i="7" a="1"/>
  <c r="AD140" i="7" a="1"/>
  <c r="AE139" i="7" a="1"/>
  <c r="AF138" i="7" a="1"/>
  <c r="AG137" i="7" a="1"/>
  <c r="AH136" i="7" a="1"/>
  <c r="AI135" i="7" a="1"/>
  <c r="AJ134" i="7" a="1"/>
  <c r="AB134" i="7" a="1"/>
  <c r="AC133" i="7" a="1"/>
  <c r="AD132" i="7" a="1"/>
  <c r="AE131" i="7" a="1"/>
  <c r="AF130" i="7" a="1"/>
  <c r="AG129" i="7" a="1"/>
  <c r="AD143" i="7" a="1"/>
  <c r="AJ137" i="7" a="1"/>
  <c r="O13" i="7"/>
  <c r="V13" i="7"/>
  <c r="AI29" i="7" a="1"/>
  <c r="AA29" i="7" a="1"/>
  <c r="AC28" i="7" a="1"/>
  <c r="AE27" i="7" a="1"/>
  <c r="AG26" i="7" a="1"/>
  <c r="C143" i="11"/>
  <c r="AA138" i="7" a="1"/>
  <c r="AA130" i="7" a="1"/>
  <c r="AA114" i="7" a="1"/>
  <c r="AA106" i="7" a="1"/>
  <c r="AA98" i="7" a="1"/>
  <c r="AA90" i="7" a="1"/>
  <c r="AA82" i="7" a="1"/>
  <c r="AA74" i="7" a="1"/>
  <c r="AA66" i="7" a="1"/>
  <c r="AA58" i="7" a="1"/>
  <c r="AA50" i="7" a="1"/>
  <c r="AA42" i="7" a="1"/>
  <c r="AA34" i="7" a="1"/>
  <c r="H151" i="11"/>
  <c r="I150" i="11"/>
  <c r="J149" i="11"/>
  <c r="K148" i="11"/>
  <c r="L147" i="11"/>
  <c r="E146" i="11"/>
  <c r="C22" i="11" a="1"/>
  <c r="L152" i="11" s="1"/>
  <c r="AA25" i="7" a="1"/>
  <c r="AD25" i="7" a="1"/>
  <c r="AH29" i="7" a="1"/>
  <c r="AJ28" i="7" a="1"/>
  <c r="AB28" i="7" a="1"/>
  <c r="AD27" i="7" a="1"/>
  <c r="AF26" i="7" a="1"/>
  <c r="C150" i="11"/>
  <c r="C142" i="11"/>
  <c r="AA137" i="7" a="1"/>
  <c r="AA129" i="7" a="1"/>
  <c r="AA121" i="7" a="1"/>
  <c r="AA113" i="7" a="1"/>
  <c r="AA105" i="7" a="1"/>
  <c r="AA97" i="7" a="1"/>
  <c r="AA89" i="7" a="1"/>
  <c r="AA81" i="7" a="1"/>
  <c r="AA73" i="7" a="1"/>
  <c r="AA65" i="7" a="1"/>
  <c r="AA57" i="7" a="1"/>
  <c r="AA49" i="7" a="1"/>
  <c r="AA41" i="7" a="1"/>
  <c r="AA33" i="7" a="1"/>
  <c r="F152" i="11"/>
  <c r="G151" i="11"/>
  <c r="H150" i="11"/>
  <c r="I149" i="11"/>
  <c r="J148" i="11"/>
  <c r="K147" i="11"/>
  <c r="D146" i="11"/>
  <c r="E145" i="11"/>
  <c r="F144" i="11"/>
  <c r="G143" i="11"/>
  <c r="H142" i="11"/>
  <c r="AG144" i="7" a="1"/>
  <c r="AH143" i="7" a="1"/>
  <c r="AI142" i="7" a="1"/>
  <c r="AJ141" i="7" a="1"/>
  <c r="AB141" i="7" a="1"/>
  <c r="AC140" i="7" a="1"/>
  <c r="AD139" i="7" a="1"/>
  <c r="AE138" i="7" a="1"/>
  <c r="AF137" i="7" a="1"/>
  <c r="AG136" i="7" a="1"/>
  <c r="AH135" i="7" a="1"/>
  <c r="AI134" i="7" a="1"/>
  <c r="AJ133" i="7" a="1"/>
  <c r="AB133" i="7" a="1"/>
  <c r="AC132" i="7" a="1"/>
  <c r="E152" i="11"/>
  <c r="F151" i="11"/>
  <c r="G150" i="11"/>
  <c r="I148" i="11"/>
  <c r="J147" i="11"/>
  <c r="K146" i="11"/>
  <c r="L145" i="11"/>
  <c r="D145" i="11"/>
  <c r="E144" i="11"/>
  <c r="F143" i="11"/>
  <c r="AF144" i="7" a="1"/>
  <c r="AG143" i="7" a="1"/>
  <c r="AH142" i="7" a="1"/>
  <c r="AI141" i="7" a="1"/>
  <c r="AJ140" i="7" a="1"/>
  <c r="AB140" i="7" a="1"/>
  <c r="AC139" i="7" a="1"/>
  <c r="AD138" i="7" a="1"/>
  <c r="AE137" i="7" a="1"/>
  <c r="AF136" i="7" a="1"/>
  <c r="AG135" i="7" a="1"/>
  <c r="AH134" i="7" a="1"/>
  <c r="AI133" i="7" a="1"/>
  <c r="AJ132" i="7" a="1"/>
  <c r="AB132" i="7" a="1"/>
  <c r="AC131" i="7" a="1"/>
  <c r="AF111" i="7" a="1"/>
  <c r="AG110" i="7" a="1"/>
  <c r="AH109" i="7" a="1"/>
  <c r="AI108" i="7" a="1"/>
  <c r="AJ107" i="7" a="1"/>
  <c r="AB107" i="7" a="1"/>
  <c r="AC106" i="7" a="1"/>
  <c r="AD105" i="7" a="1"/>
  <c r="AH116" i="7" a="1"/>
  <c r="AI115" i="7" a="1"/>
  <c r="AJ114" i="7" a="1"/>
  <c r="AB114" i="7" a="1"/>
  <c r="AC113" i="7" a="1"/>
  <c r="AD112" i="7" a="1"/>
  <c r="AE111" i="7" a="1"/>
  <c r="AE54" i="7" a="1"/>
  <c r="AF53" i="7" a="1"/>
  <c r="AG52" i="7" a="1"/>
  <c r="AH51" i="7" a="1"/>
  <c r="AI50" i="7" a="1"/>
  <c r="AJ49" i="7" a="1"/>
  <c r="AB49" i="7" a="1"/>
  <c r="AC48" i="7" a="1"/>
  <c r="AD47" i="7" a="1"/>
  <c r="AE46" i="7" a="1"/>
  <c r="AF45" i="7" a="1"/>
  <c r="AG44" i="7" a="1"/>
  <c r="AH43" i="7" a="1"/>
  <c r="AI42" i="7" a="1"/>
  <c r="AF124" i="7" a="1"/>
  <c r="AJ120" i="7" a="1"/>
  <c r="AB120" i="7" a="1"/>
  <c r="AC119" i="7" a="1"/>
  <c r="AB128" i="7" a="1"/>
  <c r="AC127" i="7" a="1"/>
  <c r="AD126" i="7" a="1"/>
  <c r="AE125" i="7" a="1"/>
  <c r="AG123" i="7" a="1"/>
  <c r="AH122" i="7" a="1"/>
  <c r="AI121" i="7" a="1"/>
  <c r="AF25" i="7" a="1"/>
  <c r="AH30" i="7" a="1"/>
  <c r="AJ29" i="7" a="1"/>
  <c r="AB29" i="7" a="1"/>
  <c r="AD28" i="7" a="1"/>
  <c r="AF27" i="7" a="1"/>
  <c r="AH26" i="7" a="1"/>
  <c r="C144" i="11"/>
  <c r="AA139" i="7" a="1"/>
  <c r="AA131" i="7" a="1"/>
  <c r="AA123" i="7" a="1"/>
  <c r="AA115" i="7" a="1"/>
  <c r="AA107" i="7" a="1"/>
  <c r="AA99" i="7" a="1"/>
  <c r="AA91" i="7" a="1"/>
  <c r="AA83" i="7" a="1"/>
  <c r="AA75" i="7" a="1"/>
  <c r="AA67" i="7" a="1"/>
  <c r="AA59" i="7" a="1"/>
  <c r="AA51" i="7" a="1"/>
  <c r="AA43" i="7" a="1"/>
  <c r="AA35" i="7" a="1"/>
  <c r="I151" i="11"/>
  <c r="J150" i="11"/>
  <c r="K149" i="11"/>
  <c r="L148" i="11"/>
  <c r="D148" i="11"/>
  <c r="E147" i="11"/>
  <c r="F146" i="11"/>
  <c r="H144" i="11"/>
  <c r="I143" i="11"/>
  <c r="J142" i="11"/>
  <c r="AI144" i="7" a="1"/>
  <c r="AJ143" i="7" a="1"/>
  <c r="AB143" i="7" a="1"/>
  <c r="AC142" i="7" a="1"/>
  <c r="AD141" i="7" a="1"/>
  <c r="AE140" i="7" a="1"/>
  <c r="AF139" i="7" a="1"/>
  <c r="AG138" i="7" a="1"/>
  <c r="AH137" i="7" a="1"/>
  <c r="AI136" i="7" a="1"/>
  <c r="AJ135" i="7" a="1"/>
  <c r="AB135" i="7" a="1"/>
  <c r="AC134" i="7" a="1"/>
  <c r="AD133" i="7" a="1"/>
  <c r="AE132" i="7" a="1"/>
  <c r="AF131" i="7" a="1"/>
  <c r="AG130" i="7" a="1"/>
  <c r="AH129" i="7" a="1"/>
  <c r="AI128" i="7" a="1"/>
  <c r="AJ127" i="7" a="1"/>
  <c r="AB127" i="7" a="1"/>
  <c r="AC126" i="7" a="1"/>
  <c r="AD125" i="7" a="1"/>
  <c r="AE124" i="7" a="1"/>
  <c r="AF123" i="7" a="1"/>
  <c r="AG122" i="7" a="1"/>
  <c r="AH121" i="7" a="1"/>
  <c r="AI120" i="7" a="1"/>
  <c r="AJ119" i="7" a="1"/>
  <c r="AB119" i="7" a="1"/>
  <c r="AC118" i="7" a="1"/>
  <c r="AD117" i="7" a="1"/>
  <c r="AE116" i="7" a="1"/>
  <c r="AF115" i="7" a="1"/>
  <c r="AG114" i="7" a="1"/>
  <c r="AH113" i="7" a="1"/>
  <c r="AI112" i="7" a="1"/>
  <c r="AJ111" i="7" a="1"/>
  <c r="AB111" i="7" a="1"/>
  <c r="AC110" i="7" a="1"/>
  <c r="AD109" i="7" a="1"/>
  <c r="AE108" i="7" a="1"/>
  <c r="AH128" i="7" a="1"/>
  <c r="AI127" i="7" a="1"/>
  <c r="AJ126" i="7" a="1"/>
  <c r="AB126" i="7" a="1"/>
  <c r="AC125" i="7" a="1"/>
  <c r="AD124" i="7" a="1"/>
  <c r="AE123" i="7" a="1"/>
  <c r="AF122" i="7" a="1"/>
  <c r="AG121" i="7" a="1"/>
  <c r="AH120" i="7" a="1"/>
  <c r="AI119" i="7" a="1"/>
  <c r="AJ118" i="7" a="1"/>
  <c r="AB118" i="7" a="1"/>
  <c r="AC117" i="7" a="1"/>
  <c r="AD116" i="7" a="1"/>
  <c r="AE115" i="7" a="1"/>
  <c r="AF114" i="7" a="1"/>
  <c r="AG113" i="7" a="1"/>
  <c r="AH112" i="7" a="1"/>
  <c r="AI111" i="7" a="1"/>
  <c r="AJ110" i="7" a="1"/>
  <c r="AB110" i="7" a="1"/>
  <c r="AC109" i="7" a="1"/>
  <c r="AD108" i="7" a="1"/>
  <c r="AE107" i="7" a="1"/>
  <c r="AF106" i="7" a="1"/>
  <c r="AG105" i="7" a="1"/>
  <c r="AH104" i="7" a="1"/>
  <c r="AI103" i="7" a="1"/>
  <c r="AJ102" i="7" a="1"/>
  <c r="AB102" i="7" a="1"/>
  <c r="AC101" i="7" a="1"/>
  <c r="AD100" i="7" a="1"/>
  <c r="AE99" i="7" a="1"/>
  <c r="AF98" i="7" a="1"/>
  <c r="AG97" i="7" a="1"/>
  <c r="AH96" i="7" a="1"/>
  <c r="AI95" i="7" a="1"/>
  <c r="AJ94" i="7" a="1"/>
  <c r="AB94" i="7" a="1"/>
  <c r="AC93" i="7" a="1"/>
  <c r="AD92" i="7" a="1"/>
  <c r="AE91" i="7" a="1"/>
  <c r="AF90" i="7" a="1"/>
  <c r="AG89" i="7" a="1"/>
  <c r="AH88" i="7" a="1"/>
  <c r="AI87" i="7" a="1"/>
  <c r="AJ86" i="7" a="1"/>
  <c r="AB86" i="7" a="1"/>
  <c r="AC85" i="7" a="1"/>
  <c r="AD84" i="7" a="1"/>
  <c r="AE83" i="7" a="1"/>
  <c r="AF82" i="7" a="1"/>
  <c r="AG81" i="7" a="1"/>
  <c r="AH80" i="7" a="1"/>
  <c r="AI79" i="7" a="1"/>
  <c r="AJ78" i="7" a="1"/>
  <c r="AB78" i="7" a="1"/>
  <c r="AC77" i="7" a="1"/>
  <c r="AD76" i="7" a="1"/>
  <c r="AE75" i="7" a="1"/>
  <c r="AF74" i="7" a="1"/>
  <c r="AG73" i="7" a="1"/>
  <c r="AH72" i="7" a="1"/>
  <c r="AI71" i="7" a="1"/>
  <c r="AJ70" i="7" a="1"/>
  <c r="AB70" i="7" a="1"/>
  <c r="AC69" i="7" a="1"/>
  <c r="AD68" i="7" a="1"/>
  <c r="AE67" i="7" a="1"/>
  <c r="AF66" i="7" a="1"/>
  <c r="AG65" i="7" a="1"/>
  <c r="AH64" i="7" a="1"/>
  <c r="AI63" i="7" a="1"/>
  <c r="AJ62" i="7" a="1"/>
  <c r="AB62" i="7" a="1"/>
  <c r="AC61" i="7" a="1"/>
  <c r="AD60" i="7" a="1"/>
  <c r="AE59" i="7" a="1"/>
  <c r="AF58" i="7" a="1"/>
  <c r="AG57" i="7" a="1"/>
  <c r="AH56" i="7" a="1"/>
  <c r="AI55" i="7" a="1"/>
  <c r="AJ54" i="7" a="1"/>
  <c r="AB54" i="7" a="1"/>
  <c r="AC53" i="7" a="1"/>
  <c r="AD52" i="7" a="1"/>
  <c r="AE51" i="7" a="1"/>
  <c r="AF50" i="7" a="1"/>
  <c r="AG49" i="7" a="1"/>
  <c r="AH48" i="7" a="1"/>
  <c r="AI47" i="7" a="1"/>
  <c r="AJ46" i="7" a="1"/>
  <c r="AB46" i="7" a="1"/>
  <c r="AC45" i="7" a="1"/>
  <c r="AD44" i="7" a="1"/>
  <c r="AE43" i="7" a="1"/>
  <c r="AF42" i="7" a="1"/>
  <c r="AD131" i="7" a="1"/>
  <c r="AE130" i="7" a="1"/>
  <c r="AF129" i="7" a="1"/>
  <c r="AG128" i="7" a="1"/>
  <c r="AH127" i="7" a="1"/>
  <c r="AI126" i="7" a="1"/>
  <c r="AJ125" i="7" a="1"/>
  <c r="AB125" i="7" a="1"/>
  <c r="AC124" i="7" a="1"/>
  <c r="AD123" i="7" a="1"/>
  <c r="AE122" i="7" a="1"/>
  <c r="AF121" i="7" a="1"/>
  <c r="AG120" i="7" a="1"/>
  <c r="AH119" i="7" a="1"/>
  <c r="AI118" i="7" a="1"/>
  <c r="AJ117" i="7" a="1"/>
  <c r="AB117" i="7" a="1"/>
  <c r="AC116" i="7" a="1"/>
  <c r="AD115" i="7" a="1"/>
  <c r="AE114" i="7" a="1"/>
  <c r="AF113" i="7" a="1"/>
  <c r="AG112" i="7" a="1"/>
  <c r="AH111" i="7" a="1"/>
  <c r="AI110" i="7" a="1"/>
  <c r="AJ109" i="7" a="1"/>
  <c r="AB109" i="7" a="1"/>
  <c r="AC108" i="7" a="1"/>
  <c r="AD107" i="7" a="1"/>
  <c r="AE106" i="7" a="1"/>
  <c r="AF105" i="7" a="1"/>
  <c r="AG104" i="7" a="1"/>
  <c r="AH103" i="7" a="1"/>
  <c r="AI102" i="7" a="1"/>
  <c r="AJ101" i="7" a="1"/>
  <c r="AB101" i="7" a="1"/>
  <c r="AC100" i="7" a="1"/>
  <c r="AD99" i="7" a="1"/>
  <c r="AE98" i="7" a="1"/>
  <c r="AF97" i="7" a="1"/>
  <c r="AG96" i="7" a="1"/>
  <c r="AH95" i="7" a="1"/>
  <c r="AI94" i="7" a="1"/>
  <c r="AJ93" i="7" a="1"/>
  <c r="AB93" i="7" a="1"/>
  <c r="AC92" i="7" a="1"/>
  <c r="AD91" i="7" a="1"/>
  <c r="AE90" i="7" a="1"/>
  <c r="AF89" i="7" a="1"/>
  <c r="AG88" i="7" a="1"/>
  <c r="AH87" i="7" a="1"/>
  <c r="AI86" i="7" a="1"/>
  <c r="AJ85" i="7" a="1"/>
  <c r="AB85" i="7" a="1"/>
  <c r="AC84" i="7" a="1"/>
  <c r="AD83" i="7" a="1"/>
  <c r="AE82" i="7" a="1"/>
  <c r="AF81" i="7" a="1"/>
  <c r="AG80" i="7" a="1"/>
  <c r="AH79" i="7" a="1"/>
  <c r="AI78" i="7" a="1"/>
  <c r="AJ77" i="7" a="1"/>
  <c r="AB77" i="7" a="1"/>
  <c r="AC76" i="7" a="1"/>
  <c r="AD75" i="7" a="1"/>
  <c r="AE74" i="7" a="1"/>
  <c r="AF73" i="7" a="1"/>
  <c r="AG72" i="7" a="1"/>
  <c r="AH71" i="7" a="1"/>
  <c r="AI70" i="7" a="1"/>
  <c r="AJ69" i="7" a="1"/>
  <c r="AB69" i="7" a="1"/>
  <c r="AC68" i="7" a="1"/>
  <c r="AD67" i="7" a="1"/>
  <c r="AE66" i="7" a="1"/>
  <c r="AF65" i="7" a="1"/>
  <c r="AG64" i="7" a="1"/>
  <c r="AH63" i="7" a="1"/>
  <c r="AI62" i="7" a="1"/>
  <c r="AJ61" i="7" a="1"/>
  <c r="AB61" i="7" a="1"/>
  <c r="AC60" i="7" a="1"/>
  <c r="AD59" i="7" a="1"/>
  <c r="AE58" i="7" a="1"/>
  <c r="AF57" i="7" a="1"/>
  <c r="AG56" i="7" a="1"/>
  <c r="AH55" i="7" a="1"/>
  <c r="AI54" i="7" a="1"/>
  <c r="AJ53" i="7" a="1"/>
  <c r="AB53" i="7" a="1"/>
  <c r="AC52" i="7" a="1"/>
  <c r="AD51" i="7" a="1"/>
  <c r="AE50" i="7" a="1"/>
  <c r="AF49" i="7" a="1"/>
  <c r="AG48" i="7" a="1"/>
  <c r="AH47" i="7" a="1"/>
  <c r="AI46" i="7" a="1"/>
  <c r="AJ45" i="7" a="1"/>
  <c r="AB45" i="7" a="1"/>
  <c r="AC44" i="7" a="1"/>
  <c r="AD130" i="7" a="1"/>
  <c r="AE129" i="7" a="1"/>
  <c r="AF128" i="7" a="1"/>
  <c r="AG127" i="7" a="1"/>
  <c r="AH126" i="7" a="1"/>
  <c r="AI125" i="7" a="1"/>
  <c r="AJ124" i="7" a="1"/>
  <c r="AB124" i="7" a="1"/>
  <c r="AC123" i="7" a="1"/>
  <c r="AD122" i="7" a="1"/>
  <c r="AE121" i="7" a="1"/>
  <c r="AF120" i="7" a="1"/>
  <c r="AG119" i="7" a="1"/>
  <c r="AH118" i="7" a="1"/>
  <c r="AI117" i="7" a="1"/>
  <c r="AJ116" i="7" a="1"/>
  <c r="AB116" i="7" a="1"/>
  <c r="AC115" i="7" a="1"/>
  <c r="AD114" i="7" a="1"/>
  <c r="AE113" i="7" a="1"/>
  <c r="AF112" i="7" a="1"/>
  <c r="AG111" i="7" a="1"/>
  <c r="AH110" i="7" a="1"/>
  <c r="AI109" i="7" a="1"/>
  <c r="AJ108" i="7" a="1"/>
  <c r="AB108" i="7" a="1"/>
  <c r="AC107" i="7" a="1"/>
  <c r="AD106" i="7" a="1"/>
  <c r="AE105" i="7" a="1"/>
  <c r="AF104" i="7" a="1"/>
  <c r="AG103" i="7" a="1"/>
  <c r="AH102" i="7" a="1"/>
  <c r="AI101" i="7" a="1"/>
  <c r="AJ100" i="7" a="1"/>
  <c r="AB100" i="7" a="1"/>
  <c r="AC99" i="7" a="1"/>
  <c r="AD98" i="7" a="1"/>
  <c r="AE97" i="7" a="1"/>
  <c r="AF96" i="7" a="1"/>
  <c r="AG95" i="7" a="1"/>
  <c r="AH94" i="7" a="1"/>
  <c r="AI93" i="7" a="1"/>
  <c r="AJ92" i="7" a="1"/>
  <c r="AB92" i="7" a="1"/>
  <c r="AC91" i="7" a="1"/>
  <c r="AD90" i="7" a="1"/>
  <c r="AE89" i="7" a="1"/>
  <c r="AF88" i="7" a="1"/>
  <c r="AG87" i="7" a="1"/>
  <c r="AH86" i="7" a="1"/>
  <c r="AI85" i="7" a="1"/>
  <c r="AJ84" i="7" a="1"/>
  <c r="AB84" i="7" a="1"/>
  <c r="AC83" i="7" a="1"/>
  <c r="AD82" i="7" a="1"/>
  <c r="AE81" i="7" a="1"/>
  <c r="AF80" i="7" a="1"/>
  <c r="AG79" i="7" a="1"/>
  <c r="AH78" i="7" a="1"/>
  <c r="AI77" i="7" a="1"/>
  <c r="AJ76" i="7" a="1"/>
  <c r="AB76" i="7" a="1"/>
  <c r="AC75" i="7" a="1"/>
  <c r="AD74" i="7" a="1"/>
  <c r="AE73" i="7" a="1"/>
  <c r="AF72" i="7" a="1"/>
  <c r="AG71" i="7" a="1"/>
  <c r="AH70" i="7" a="1"/>
  <c r="AI69" i="7" a="1"/>
  <c r="AJ68" i="7" a="1"/>
  <c r="AB68" i="7" a="1"/>
  <c r="AC67" i="7" a="1"/>
  <c r="AD66" i="7" a="1"/>
  <c r="AE65" i="7" a="1"/>
  <c r="AF64" i="7" a="1"/>
  <c r="AG63" i="7" a="1"/>
  <c r="AH62" i="7" a="1"/>
  <c r="AI61" i="7" a="1"/>
  <c r="AJ60" i="7" a="1"/>
  <c r="AB60" i="7" a="1"/>
  <c r="AC59" i="7" a="1"/>
  <c r="AD58" i="7" a="1"/>
  <c r="AE57" i="7" a="1"/>
  <c r="AF56" i="7" a="1"/>
  <c r="AG55" i="7" a="1"/>
  <c r="AH54" i="7" a="1"/>
  <c r="AI53" i="7" a="1"/>
  <c r="AJ52" i="7" a="1"/>
  <c r="AB52" i="7" a="1"/>
  <c r="AC51" i="7" a="1"/>
  <c r="AD50" i="7" a="1"/>
  <c r="AE49" i="7" a="1"/>
  <c r="AF48" i="7" a="1"/>
  <c r="AG47" i="7" a="1"/>
  <c r="AH46" i="7" a="1"/>
  <c r="AI45" i="7" a="1"/>
  <c r="AJ44" i="7" a="1"/>
  <c r="AB44" i="7" a="1"/>
  <c r="AC43" i="7" a="1"/>
  <c r="AD42" i="7" a="1"/>
  <c r="AF107" i="7" a="1"/>
  <c r="AG106" i="7" a="1"/>
  <c r="AH105" i="7" a="1"/>
  <c r="AI104" i="7" a="1"/>
  <c r="AJ103" i="7" a="1"/>
  <c r="AB103" i="7" a="1"/>
  <c r="AC102" i="7" a="1"/>
  <c r="AD101" i="7" a="1"/>
  <c r="AE100" i="7" a="1"/>
  <c r="AF99" i="7" a="1"/>
  <c r="AG98" i="7" a="1"/>
  <c r="AH97" i="7" a="1"/>
  <c r="AI96" i="7" a="1"/>
  <c r="AJ95" i="7" a="1"/>
  <c r="AB95" i="7" a="1"/>
  <c r="AC94" i="7" a="1"/>
  <c r="AD93" i="7" a="1"/>
  <c r="AE92" i="7" a="1"/>
  <c r="AF91" i="7" a="1"/>
  <c r="AG90" i="7" a="1"/>
  <c r="AH89" i="7" a="1"/>
  <c r="AI88" i="7" a="1"/>
  <c r="AJ87" i="7" a="1"/>
  <c r="AB87" i="7" a="1"/>
  <c r="AC86" i="7" a="1"/>
  <c r="AD85" i="7" a="1"/>
  <c r="AE84" i="7" a="1"/>
  <c r="AF83" i="7" a="1"/>
  <c r="AG82" i="7" a="1"/>
  <c r="AH81" i="7" a="1"/>
  <c r="AI80" i="7" a="1"/>
  <c r="AJ79" i="7" a="1"/>
  <c r="AB79" i="7" a="1"/>
  <c r="AC78" i="7" a="1"/>
  <c r="AD77" i="7" a="1"/>
  <c r="AE76" i="7" a="1"/>
  <c r="AF75" i="7" a="1"/>
  <c r="AG74" i="7" a="1"/>
  <c r="AH73" i="7" a="1"/>
  <c r="AI72" i="7" a="1"/>
  <c r="AJ71" i="7" a="1"/>
  <c r="AB71" i="7" a="1"/>
  <c r="AC70" i="7" a="1"/>
  <c r="AD69" i="7" a="1"/>
  <c r="AE68" i="7" a="1"/>
  <c r="AF67" i="7" a="1"/>
  <c r="AG66" i="7" a="1"/>
  <c r="AH65" i="7" a="1"/>
  <c r="AI64" i="7" a="1"/>
  <c r="AJ63" i="7" a="1"/>
  <c r="AB63" i="7" a="1"/>
  <c r="AC62" i="7" a="1"/>
  <c r="AD61" i="7" a="1"/>
  <c r="AE60" i="7" a="1"/>
  <c r="AF59" i="7" a="1"/>
  <c r="AG58" i="7" a="1"/>
  <c r="AH57" i="7" a="1"/>
  <c r="AI56" i="7" a="1"/>
  <c r="AJ55" i="7" a="1"/>
  <c r="AB55" i="7" a="1"/>
  <c r="AC54" i="7" a="1"/>
  <c r="AD53" i="7" a="1"/>
  <c r="AE52" i="7" a="1"/>
  <c r="AF51" i="7" a="1"/>
  <c r="AG50" i="7" a="1"/>
  <c r="AH49" i="7" a="1"/>
  <c r="AI48" i="7" a="1"/>
  <c r="AJ47" i="7" a="1"/>
  <c r="AB47" i="7" a="1"/>
  <c r="AC46" i="7" a="1"/>
  <c r="AD45" i="7" a="1"/>
  <c r="AE44" i="7" a="1"/>
  <c r="AF43" i="7" a="1"/>
  <c r="AG42" i="7" a="1"/>
  <c r="AH41" i="7" a="1"/>
  <c r="AI40" i="7" a="1"/>
  <c r="AJ39" i="7" a="1"/>
  <c r="AB39" i="7" a="1"/>
  <c r="AC38" i="7" a="1"/>
  <c r="AD37" i="7" a="1"/>
  <c r="AE36" i="7" a="1"/>
  <c r="AF35" i="7" a="1"/>
  <c r="AG34" i="7" a="1"/>
  <c r="AH33" i="7" a="1"/>
  <c r="AI32" i="7" a="1"/>
  <c r="AG41" i="7" a="1"/>
  <c r="AH40" i="7" a="1"/>
  <c r="AI39" i="7" a="1"/>
  <c r="AJ38" i="7" a="1"/>
  <c r="AB38" i="7" a="1"/>
  <c r="AC37" i="7" a="1"/>
  <c r="AD36" i="7" a="1"/>
  <c r="AE35" i="7" a="1"/>
  <c r="AF34" i="7" a="1"/>
  <c r="AG33" i="7" a="1"/>
  <c r="AH32" i="7" a="1"/>
  <c r="AD43" i="7" a="1"/>
  <c r="AE42" i="7" a="1"/>
  <c r="AF41" i="7" a="1"/>
  <c r="AG40" i="7" a="1"/>
  <c r="AH39" i="7" a="1"/>
  <c r="AI38" i="7" a="1"/>
  <c r="AJ37" i="7" a="1"/>
  <c r="AB37" i="7" a="1"/>
  <c r="AC36" i="7" a="1"/>
  <c r="AD35" i="7" a="1"/>
  <c r="AE34" i="7" a="1"/>
  <c r="AF33" i="7" a="1"/>
  <c r="AG32" i="7" a="1"/>
  <c r="AE41" i="7" a="1"/>
  <c r="AF40" i="7" a="1"/>
  <c r="AG39" i="7" a="1"/>
  <c r="AH38" i="7" a="1"/>
  <c r="AI37" i="7" a="1"/>
  <c r="AJ36" i="7" a="1"/>
  <c r="AB36" i="7" a="1"/>
  <c r="AC35" i="7" a="1"/>
  <c r="AD34" i="7" a="1"/>
  <c r="AE33" i="7" a="1"/>
  <c r="AF32" i="7" a="1"/>
  <c r="AE104" i="7" a="1"/>
  <c r="AF103" i="7" a="1"/>
  <c r="AG102" i="7" a="1"/>
  <c r="AH101" i="7" a="1"/>
  <c r="AI100" i="7" a="1"/>
  <c r="AJ99" i="7" a="1"/>
  <c r="AB99" i="7" a="1"/>
  <c r="AC98" i="7" a="1"/>
  <c r="AD97" i="7" a="1"/>
  <c r="AE96" i="7" a="1"/>
  <c r="AF95" i="7" a="1"/>
  <c r="AG94" i="7" a="1"/>
  <c r="AH93" i="7" a="1"/>
  <c r="AI92" i="7" a="1"/>
  <c r="AJ91" i="7" a="1"/>
  <c r="AB91" i="7" a="1"/>
  <c r="AC90" i="7" a="1"/>
  <c r="AD89" i="7" a="1"/>
  <c r="AE88" i="7" a="1"/>
  <c r="AF87" i="7" a="1"/>
  <c r="AG86" i="7" a="1"/>
  <c r="AH85" i="7" a="1"/>
  <c r="AI84" i="7" a="1"/>
  <c r="AJ83" i="7" a="1"/>
  <c r="AB83" i="7" a="1"/>
  <c r="AC82" i="7" a="1"/>
  <c r="AD81" i="7" a="1"/>
  <c r="AE80" i="7" a="1"/>
  <c r="AF79" i="7" a="1"/>
  <c r="AG78" i="7" a="1"/>
  <c r="AH77" i="7" a="1"/>
  <c r="AI76" i="7" a="1"/>
  <c r="AJ75" i="7" a="1"/>
  <c r="AB75" i="7" a="1"/>
  <c r="AC74" i="7" a="1"/>
  <c r="AD73" i="7" a="1"/>
  <c r="AE72" i="7" a="1"/>
  <c r="AF71" i="7" a="1"/>
  <c r="AG70" i="7" a="1"/>
  <c r="AH69" i="7" a="1"/>
  <c r="AI68" i="7" a="1"/>
  <c r="AJ67" i="7" a="1"/>
  <c r="AB67" i="7" a="1"/>
  <c r="AC66" i="7" a="1"/>
  <c r="AD65" i="7" a="1"/>
  <c r="AE64" i="7" a="1"/>
  <c r="AF63" i="7" a="1"/>
  <c r="AG62" i="7" a="1"/>
  <c r="AH61" i="7" a="1"/>
  <c r="AI60" i="7" a="1"/>
  <c r="AJ59" i="7" a="1"/>
  <c r="AB59" i="7" a="1"/>
  <c r="AC58" i="7" a="1"/>
  <c r="AD57" i="7" a="1"/>
  <c r="AE56" i="7" a="1"/>
  <c r="AF55" i="7" a="1"/>
  <c r="AG54" i="7" a="1"/>
  <c r="AH53" i="7" a="1"/>
  <c r="AI52" i="7" a="1"/>
  <c r="AJ51" i="7" a="1"/>
  <c r="AB51" i="7" a="1"/>
  <c r="AC50" i="7" a="1"/>
  <c r="AD49" i="7" a="1"/>
  <c r="AE48" i="7" a="1"/>
  <c r="AF47" i="7" a="1"/>
  <c r="AG46" i="7" a="1"/>
  <c r="AH45" i="7" a="1"/>
  <c r="AI44" i="7" a="1"/>
  <c r="AJ43" i="7" a="1"/>
  <c r="AB43" i="7" a="1"/>
  <c r="AC42" i="7" a="1"/>
  <c r="AD41" i="7" a="1"/>
  <c r="AE40" i="7" a="1"/>
  <c r="AF39" i="7" a="1"/>
  <c r="AG38" i="7" a="1"/>
  <c r="AH37" i="7" a="1"/>
  <c r="AI36" i="7" a="1"/>
  <c r="AJ35" i="7" a="1"/>
  <c r="AB35" i="7" a="1"/>
  <c r="AC34" i="7" a="1"/>
  <c r="AD33" i="7" a="1"/>
  <c r="AE32" i="7" a="1"/>
  <c r="AF110" i="7" a="1"/>
  <c r="AG109" i="7" a="1"/>
  <c r="AH108" i="7" a="1"/>
  <c r="AI107" i="7" a="1"/>
  <c r="AJ106" i="7" a="1"/>
  <c r="AB106" i="7" a="1"/>
  <c r="AC105" i="7" a="1"/>
  <c r="AD104" i="7" a="1"/>
  <c r="AE103" i="7" a="1"/>
  <c r="AF102" i="7" a="1"/>
  <c r="AG101" i="7" a="1"/>
  <c r="AH100" i="7" a="1"/>
  <c r="AI99" i="7" a="1"/>
  <c r="AJ98" i="7" a="1"/>
  <c r="AB98" i="7" a="1"/>
  <c r="AC97" i="7" a="1"/>
  <c r="AD96" i="7" a="1"/>
  <c r="AE95" i="7" a="1"/>
  <c r="AF94" i="7" a="1"/>
  <c r="AG93" i="7" a="1"/>
  <c r="AH92" i="7" a="1"/>
  <c r="AI91" i="7" a="1"/>
  <c r="AJ90" i="7" a="1"/>
  <c r="AB90" i="7" a="1"/>
  <c r="AC89" i="7" a="1"/>
  <c r="AD88" i="7" a="1"/>
  <c r="AE87" i="7" a="1"/>
  <c r="AF86" i="7" a="1"/>
  <c r="AG85" i="7" a="1"/>
  <c r="AH84" i="7" a="1"/>
  <c r="AI83" i="7" a="1"/>
  <c r="AJ82" i="7" a="1"/>
  <c r="AB82" i="7" a="1"/>
  <c r="AC81" i="7" a="1"/>
  <c r="AD80" i="7" a="1"/>
  <c r="AE79" i="7" a="1"/>
  <c r="AF78" i="7" a="1"/>
  <c r="AG77" i="7" a="1"/>
  <c r="AH76" i="7" a="1"/>
  <c r="AI75" i="7" a="1"/>
  <c r="AJ74" i="7" a="1"/>
  <c r="AB74" i="7" a="1"/>
  <c r="AC73" i="7" a="1"/>
  <c r="AD72" i="7" a="1"/>
  <c r="AE71" i="7" a="1"/>
  <c r="AF70" i="7" a="1"/>
  <c r="AG69" i="7" a="1"/>
  <c r="AH68" i="7" a="1"/>
  <c r="AI67" i="7" a="1"/>
  <c r="AJ66" i="7" a="1"/>
  <c r="AB66" i="7" a="1"/>
  <c r="AC65" i="7" a="1"/>
  <c r="AD64" i="7" a="1"/>
  <c r="AE63" i="7" a="1"/>
  <c r="AF62" i="7" a="1"/>
  <c r="AG61" i="7" a="1"/>
  <c r="AH60" i="7" a="1"/>
  <c r="AI59" i="7" a="1"/>
  <c r="AJ58" i="7" a="1"/>
  <c r="AB58" i="7" a="1"/>
  <c r="AC57" i="7" a="1"/>
  <c r="AD56" i="7" a="1"/>
  <c r="AE55" i="7" a="1"/>
  <c r="AF54" i="7" a="1"/>
  <c r="AG53" i="7" a="1"/>
  <c r="AH52" i="7" a="1"/>
  <c r="AI51" i="7" a="1"/>
  <c r="AJ50" i="7" a="1"/>
  <c r="AB50" i="7" a="1"/>
  <c r="AC49" i="7" a="1"/>
  <c r="AD48" i="7" a="1"/>
  <c r="AE47" i="7" a="1"/>
  <c r="AF46" i="7" a="1"/>
  <c r="AG45" i="7" a="1"/>
  <c r="AH44" i="7" a="1"/>
  <c r="AI43" i="7" a="1"/>
  <c r="AJ42" i="7" a="1"/>
  <c r="AB42" i="7" a="1"/>
  <c r="AC41" i="7" a="1"/>
  <c r="AD40" i="7" a="1"/>
  <c r="AE39" i="7" a="1"/>
  <c r="AF38" i="7" a="1"/>
  <c r="AG37" i="7" a="1"/>
  <c r="AH36" i="7" a="1"/>
  <c r="AI35" i="7" a="1"/>
  <c r="AJ34" i="7" a="1"/>
  <c r="AB34" i="7" a="1"/>
  <c r="AC33" i="7" a="1"/>
  <c r="AD32" i="7" a="1"/>
  <c r="AJ41" i="7" a="1"/>
  <c r="AB41" i="7" a="1"/>
  <c r="AC40" i="7" a="1"/>
  <c r="AD39" i="7" a="1"/>
  <c r="AE38" i="7" a="1"/>
  <c r="AF37" i="7" a="1"/>
  <c r="AG36" i="7" a="1"/>
  <c r="AH35" i="7" a="1"/>
  <c r="AI34" i="7" a="1"/>
  <c r="AJ33" i="7" a="1"/>
  <c r="AB33" i="7" a="1"/>
  <c r="AC32" i="7" a="1"/>
  <c r="P3" i="7"/>
  <c r="AD118" i="7" a="1"/>
  <c r="AE117" i="7" a="1"/>
  <c r="AF116" i="7" a="1"/>
  <c r="AG115" i="7" a="1"/>
  <c r="AH114" i="7" a="1"/>
  <c r="AI113" i="7" a="1"/>
  <c r="AJ112" i="7" a="1"/>
  <c r="AB112" i="7" a="1"/>
  <c r="AC111" i="7" a="1"/>
  <c r="AD110" i="7" a="1"/>
  <c r="AE109" i="7" a="1"/>
  <c r="AF108" i="7" a="1"/>
  <c r="AG107" i="7" a="1"/>
  <c r="AH106" i="7" a="1"/>
  <c r="AI105" i="7" a="1"/>
  <c r="AJ104" i="7" a="1"/>
  <c r="AB104" i="7" a="1"/>
  <c r="AC103" i="7" a="1"/>
  <c r="AD102" i="7" a="1"/>
  <c r="AE101" i="7" a="1"/>
  <c r="AF100" i="7" a="1"/>
  <c r="AG99" i="7" a="1"/>
  <c r="AH98" i="7" a="1"/>
  <c r="AI97" i="7" a="1"/>
  <c r="AJ96" i="7" a="1"/>
  <c r="AB96" i="7" a="1"/>
  <c r="AC95" i="7" a="1"/>
  <c r="AD94" i="7" a="1"/>
  <c r="AE93" i="7" a="1"/>
  <c r="AF92" i="7" a="1"/>
  <c r="AG91" i="7" a="1"/>
  <c r="AH90" i="7" a="1"/>
  <c r="AI89" i="7" a="1"/>
  <c r="AJ88" i="7" a="1"/>
  <c r="AB88" i="7" a="1"/>
  <c r="AC87" i="7" a="1"/>
  <c r="AD86" i="7" a="1"/>
  <c r="AE85" i="7" a="1"/>
  <c r="AF84" i="7" a="1"/>
  <c r="AG83" i="7" a="1"/>
  <c r="AH82" i="7" a="1"/>
  <c r="AI81" i="7" a="1"/>
  <c r="AJ80" i="7" a="1"/>
  <c r="AB80" i="7" a="1"/>
  <c r="AC79" i="7" a="1"/>
  <c r="AD78" i="7" a="1"/>
  <c r="AE77" i="7" a="1"/>
  <c r="AF76" i="7" a="1"/>
  <c r="AG75" i="7" a="1"/>
  <c r="AH74" i="7" a="1"/>
  <c r="AI73" i="7" a="1"/>
  <c r="AJ72" i="7" a="1"/>
  <c r="AB72" i="7" a="1"/>
  <c r="AC71" i="7" a="1"/>
  <c r="AD70" i="7" a="1"/>
  <c r="AE69" i="7" a="1"/>
  <c r="AF68" i="7" a="1"/>
  <c r="AG67" i="7" a="1"/>
  <c r="AH66" i="7" a="1"/>
  <c r="AI65" i="7" a="1"/>
  <c r="AJ64" i="7" a="1"/>
  <c r="AB64" i="7" a="1"/>
  <c r="AC63" i="7" a="1"/>
  <c r="AD62" i="7" a="1"/>
  <c r="AE61" i="7" a="1"/>
  <c r="AF60" i="7" a="1"/>
  <c r="AG59" i="7" a="1"/>
  <c r="AH58" i="7" a="1"/>
  <c r="AI57" i="7" a="1"/>
  <c r="AJ56" i="7" a="1"/>
  <c r="AB56" i="7" a="1"/>
  <c r="AC55" i="7" a="1"/>
  <c r="AD54" i="7" a="1"/>
  <c r="AE53" i="7" a="1"/>
  <c r="AF52" i="7" a="1"/>
  <c r="AG51" i="7" a="1"/>
  <c r="AH50" i="7" a="1"/>
  <c r="AI49" i="7" a="1"/>
  <c r="AJ48" i="7" a="1"/>
  <c r="AB48" i="7" a="1"/>
  <c r="AC47" i="7" a="1"/>
  <c r="AD46" i="7" a="1"/>
  <c r="AE45" i="7" a="1"/>
  <c r="AF44" i="7" a="1"/>
  <c r="AG43" i="7" a="1"/>
  <c r="AH42" i="7" a="1"/>
  <c r="AI41" i="7" a="1"/>
  <c r="AJ40" i="7" a="1"/>
  <c r="AB40" i="7" a="1"/>
  <c r="AC39" i="7" a="1"/>
  <c r="AD38" i="7" a="1"/>
  <c r="AE37" i="7" a="1"/>
  <c r="AF36" i="7" a="1"/>
  <c r="AG35" i="7" a="1"/>
  <c r="AH34" i="7" a="1"/>
  <c r="AI33" i="7" a="1"/>
  <c r="AJ32" i="7" a="1"/>
  <c r="AB32" i="7" a="1"/>
  <c r="AE29" i="7"/>
  <c r="G26" i="11"/>
  <c r="AG31" i="7"/>
  <c r="I28" i="11"/>
  <c r="AA30" i="7"/>
  <c r="C27" i="11"/>
  <c r="AE28" i="7"/>
  <c r="G25" i="11"/>
  <c r="AA26" i="7"/>
  <c r="C23" i="11"/>
  <c r="T5" i="7"/>
  <c r="H22" i="10"/>
  <c r="H26" i="10"/>
  <c r="H9" i="10"/>
  <c r="H13" i="10"/>
  <c r="T8" i="7"/>
  <c r="H23" i="10"/>
  <c r="H27" i="10"/>
  <c r="H6" i="10"/>
  <c r="H10" i="10"/>
  <c r="H14" i="10"/>
  <c r="H13" i="11"/>
  <c r="H5" i="10"/>
  <c r="H14" i="11"/>
  <c r="H20" i="10"/>
  <c r="H24" i="10"/>
  <c r="H28" i="10"/>
  <c r="H7" i="10"/>
  <c r="H11" i="10"/>
  <c r="H15" i="11"/>
  <c r="H19" i="10"/>
  <c r="H21" i="10"/>
  <c r="H25" i="10"/>
  <c r="H8" i="10"/>
  <c r="H12" i="10"/>
  <c r="AF25" i="7"/>
  <c r="H22" i="11"/>
  <c r="AF31" i="7"/>
  <c r="H28" i="11"/>
  <c r="AH30" i="7"/>
  <c r="J27" i="11"/>
  <c r="AJ29" i="7"/>
  <c r="L26" i="11"/>
  <c r="AB29" i="7"/>
  <c r="D26" i="11"/>
  <c r="AD28" i="7"/>
  <c r="F25" i="11"/>
  <c r="AF27" i="7"/>
  <c r="H24" i="11"/>
  <c r="AH26" i="7"/>
  <c r="J23" i="11"/>
  <c r="AA139" i="7"/>
  <c r="C136" i="11"/>
  <c r="AA131" i="7"/>
  <c r="C128" i="11"/>
  <c r="AA123" i="7"/>
  <c r="C120" i="11"/>
  <c r="AA115" i="7"/>
  <c r="C112" i="11"/>
  <c r="AA107" i="7"/>
  <c r="C104" i="11"/>
  <c r="AA99" i="7"/>
  <c r="C96" i="11"/>
  <c r="AA91" i="7"/>
  <c r="C88" i="11"/>
  <c r="AA83" i="7"/>
  <c r="C80" i="11"/>
  <c r="AA75" i="7"/>
  <c r="C72" i="11"/>
  <c r="AA67" i="7"/>
  <c r="C64" i="11"/>
  <c r="C56" i="11"/>
  <c r="AA59" i="7"/>
  <c r="AA51" i="7"/>
  <c r="C48" i="11"/>
  <c r="C40" i="11"/>
  <c r="AA43" i="7"/>
  <c r="AA35" i="7"/>
  <c r="C32" i="11"/>
  <c r="AI144" i="7"/>
  <c r="K141" i="11"/>
  <c r="AJ143" i="7"/>
  <c r="L140" i="11"/>
  <c r="AB143" i="7"/>
  <c r="D140" i="11"/>
  <c r="AC142" i="7"/>
  <c r="E139" i="11"/>
  <c r="F138" i="11"/>
  <c r="AD141" i="7"/>
  <c r="AE140" i="7"/>
  <c r="G137" i="11"/>
  <c r="AF139" i="7"/>
  <c r="H136" i="11"/>
  <c r="AG138" i="7"/>
  <c r="I135" i="11"/>
  <c r="J134" i="11"/>
  <c r="AH137" i="7"/>
  <c r="AI136" i="7"/>
  <c r="K133" i="11"/>
  <c r="AJ135" i="7"/>
  <c r="L132" i="11"/>
  <c r="AB135" i="7"/>
  <c r="D132" i="11"/>
  <c r="AC134" i="7"/>
  <c r="E131" i="11"/>
  <c r="F130" i="11"/>
  <c r="AD133" i="7"/>
  <c r="AP34" i="7" s="1"/>
  <c r="AE132" i="7"/>
  <c r="G129" i="11"/>
  <c r="AF131" i="7"/>
  <c r="H128" i="11"/>
  <c r="AG130" i="7"/>
  <c r="I127" i="11"/>
  <c r="J126" i="11"/>
  <c r="AH129" i="7"/>
  <c r="AI128" i="7"/>
  <c r="K125" i="11"/>
  <c r="AJ127" i="7"/>
  <c r="L124" i="11"/>
  <c r="AB127" i="7"/>
  <c r="D124" i="11"/>
  <c r="AC126" i="7"/>
  <c r="E123" i="11"/>
  <c r="F122" i="11"/>
  <c r="AD125" i="7"/>
  <c r="AE124" i="7"/>
  <c r="G121" i="11"/>
  <c r="AF123" i="7"/>
  <c r="H120" i="11"/>
  <c r="AG122" i="7"/>
  <c r="I119" i="11"/>
  <c r="J118" i="11"/>
  <c r="AH121" i="7"/>
  <c r="AT33" i="7" s="1"/>
  <c r="AI120" i="7"/>
  <c r="K117" i="11"/>
  <c r="AJ119" i="7"/>
  <c r="L116" i="11"/>
  <c r="AB119" i="7"/>
  <c r="D116" i="11"/>
  <c r="AC118" i="7"/>
  <c r="E115" i="11"/>
  <c r="AD117" i="7"/>
  <c r="F114" i="11"/>
  <c r="AE116" i="7"/>
  <c r="G113" i="11"/>
  <c r="AF115" i="7"/>
  <c r="H112" i="11"/>
  <c r="AG114" i="7"/>
  <c r="I111" i="11"/>
  <c r="AH113" i="7"/>
  <c r="J110" i="11"/>
  <c r="K109" i="11"/>
  <c r="AI112" i="7"/>
  <c r="AJ111" i="7"/>
  <c r="L108" i="11"/>
  <c r="AB111" i="7"/>
  <c r="D108" i="11"/>
  <c r="AC110" i="7"/>
  <c r="E107" i="11"/>
  <c r="AD109" i="7"/>
  <c r="AP32" i="7" s="1"/>
  <c r="F106" i="11"/>
  <c r="AE108" i="7"/>
  <c r="G105" i="11"/>
  <c r="AF107" i="7"/>
  <c r="H104" i="11"/>
  <c r="AG106" i="7"/>
  <c r="I103" i="11"/>
  <c r="AH105" i="7"/>
  <c r="J102" i="11"/>
  <c r="K101" i="11"/>
  <c r="AI104" i="7"/>
  <c r="AJ103" i="7"/>
  <c r="L100" i="11"/>
  <c r="AB103" i="7"/>
  <c r="D100" i="11"/>
  <c r="AC102" i="7"/>
  <c r="E99" i="11"/>
  <c r="AD101" i="7"/>
  <c r="F98" i="11"/>
  <c r="AE100" i="7"/>
  <c r="G97" i="11"/>
  <c r="AF99" i="7"/>
  <c r="H96" i="11"/>
  <c r="AG98" i="7"/>
  <c r="I95" i="11"/>
  <c r="AH97" i="7"/>
  <c r="AT31" i="7" s="1"/>
  <c r="J94" i="11"/>
  <c r="K93" i="11"/>
  <c r="AI96" i="7"/>
  <c r="AJ95" i="7"/>
  <c r="L92" i="11"/>
  <c r="AB95" i="7"/>
  <c r="D92" i="11"/>
  <c r="AC94" i="7"/>
  <c r="E91" i="11"/>
  <c r="AD93" i="7"/>
  <c r="F90" i="11"/>
  <c r="AE92" i="7"/>
  <c r="G89" i="11"/>
  <c r="AF91" i="7"/>
  <c r="H88" i="11"/>
  <c r="AG90" i="7"/>
  <c r="I87" i="11"/>
  <c r="AH89" i="7"/>
  <c r="J86" i="11"/>
  <c r="K85" i="11"/>
  <c r="AI88" i="7"/>
  <c r="AJ87" i="7"/>
  <c r="L84" i="11"/>
  <c r="AB87" i="7"/>
  <c r="D84" i="11"/>
  <c r="AC86" i="7"/>
  <c r="E83" i="11"/>
  <c r="AD85" i="7"/>
  <c r="AP30" i="7" s="1"/>
  <c r="F82" i="11"/>
  <c r="AE84" i="7"/>
  <c r="G81" i="11"/>
  <c r="AF83" i="7"/>
  <c r="H80" i="11"/>
  <c r="AG82" i="7"/>
  <c r="I79" i="11"/>
  <c r="AH81" i="7"/>
  <c r="J78" i="11"/>
  <c r="K77" i="11"/>
  <c r="AI80" i="7"/>
  <c r="AJ79" i="7"/>
  <c r="L76" i="11"/>
  <c r="AB79" i="7"/>
  <c r="D76" i="11"/>
  <c r="AC78" i="7"/>
  <c r="E75" i="11"/>
  <c r="AD77" i="7"/>
  <c r="F74" i="11"/>
  <c r="AE76" i="7"/>
  <c r="G73" i="11"/>
  <c r="AF75" i="7"/>
  <c r="H72" i="11"/>
  <c r="AG74" i="7"/>
  <c r="I71" i="11"/>
  <c r="AH73" i="7"/>
  <c r="AT29" i="7" s="1"/>
  <c r="J70" i="11"/>
  <c r="K69" i="11"/>
  <c r="AI72" i="7"/>
  <c r="AJ71" i="7"/>
  <c r="L68" i="11"/>
  <c r="AB71" i="7"/>
  <c r="D68" i="11"/>
  <c r="AC70" i="7"/>
  <c r="E67" i="11"/>
  <c r="AD69" i="7"/>
  <c r="F66" i="11"/>
  <c r="AE68" i="7"/>
  <c r="G65" i="11"/>
  <c r="AF67" i="7"/>
  <c r="H64" i="11"/>
  <c r="AG66" i="7"/>
  <c r="I63" i="11"/>
  <c r="AH65" i="7"/>
  <c r="J62" i="11"/>
  <c r="AI64" i="7"/>
  <c r="K61" i="11"/>
  <c r="AJ63" i="7"/>
  <c r="L60" i="11"/>
  <c r="AB63" i="7"/>
  <c r="D60" i="11"/>
  <c r="E59" i="11"/>
  <c r="AC62" i="7"/>
  <c r="AD61" i="7"/>
  <c r="AP28" i="7" s="1"/>
  <c r="F58" i="11"/>
  <c r="AE60" i="7"/>
  <c r="G57" i="11"/>
  <c r="AF59" i="7"/>
  <c r="H56" i="11"/>
  <c r="AG58" i="7"/>
  <c r="I55" i="11"/>
  <c r="AH57" i="7"/>
  <c r="J54" i="11"/>
  <c r="AI56" i="7"/>
  <c r="K53" i="11"/>
  <c r="AJ55" i="7"/>
  <c r="L52" i="11"/>
  <c r="AB55" i="7"/>
  <c r="D52" i="11"/>
  <c r="AC54" i="7"/>
  <c r="E51" i="11"/>
  <c r="AD53" i="7"/>
  <c r="F50" i="11"/>
  <c r="AE52" i="7"/>
  <c r="G49" i="11"/>
  <c r="AF51" i="7"/>
  <c r="H48" i="11"/>
  <c r="AG50" i="7"/>
  <c r="I47" i="11"/>
  <c r="AH49" i="7"/>
  <c r="AT27" i="7" s="1"/>
  <c r="J46" i="11"/>
  <c r="AI48" i="7"/>
  <c r="K45" i="11"/>
  <c r="AJ47" i="7"/>
  <c r="L44" i="11"/>
  <c r="AB47" i="7"/>
  <c r="D44" i="11"/>
  <c r="E43" i="11"/>
  <c r="AC46" i="7"/>
  <c r="AD45" i="7"/>
  <c r="F42" i="11"/>
  <c r="AE44" i="7"/>
  <c r="G41" i="11"/>
  <c r="AF43" i="7"/>
  <c r="H40" i="11"/>
  <c r="AG42" i="7"/>
  <c r="I39" i="11"/>
  <c r="AH41" i="7"/>
  <c r="J38" i="11"/>
  <c r="AI40" i="7"/>
  <c r="K37" i="11"/>
  <c r="AJ39" i="7"/>
  <c r="L36" i="11"/>
  <c r="AB39" i="7"/>
  <c r="D36" i="11"/>
  <c r="AC38" i="7"/>
  <c r="E35" i="11"/>
  <c r="AD37" i="7"/>
  <c r="AP26" i="7" s="1"/>
  <c r="F34" i="11"/>
  <c r="AE36" i="7"/>
  <c r="G33" i="11"/>
  <c r="AF35" i="7"/>
  <c r="H32" i="11"/>
  <c r="AG34" i="7"/>
  <c r="I31" i="11"/>
  <c r="J30" i="11"/>
  <c r="AH33" i="7"/>
  <c r="W5" i="7"/>
  <c r="AI32" i="7"/>
  <c r="K29" i="11"/>
  <c r="B152" i="11"/>
  <c r="Z144" i="7"/>
  <c r="B144" i="11"/>
  <c r="Z136" i="7"/>
  <c r="B136" i="11"/>
  <c r="Z128" i="7"/>
  <c r="B128" i="11"/>
  <c r="Z120" i="7"/>
  <c r="B120" i="11"/>
  <c r="Z112" i="7"/>
  <c r="B112" i="11"/>
  <c r="Z104" i="7"/>
  <c r="B104" i="11"/>
  <c r="Z96" i="7"/>
  <c r="B96" i="11"/>
  <c r="Z88" i="7"/>
  <c r="B88" i="11"/>
  <c r="Z80" i="7"/>
  <c r="B80" i="11"/>
  <c r="Z72" i="7"/>
  <c r="B72" i="11"/>
  <c r="Z64" i="7"/>
  <c r="B64" i="11"/>
  <c r="Z56" i="7"/>
  <c r="B56" i="11"/>
  <c r="Z48" i="7"/>
  <c r="B48" i="11"/>
  <c r="Z40" i="7"/>
  <c r="B40" i="11"/>
  <c r="Z32" i="7"/>
  <c r="AI31" i="7"/>
  <c r="K28" i="11"/>
  <c r="S4" i="7"/>
  <c r="G22" i="10"/>
  <c r="G26" i="10"/>
  <c r="G9" i="10"/>
  <c r="G13" i="10"/>
  <c r="S8" i="7"/>
  <c r="G23" i="10"/>
  <c r="G27" i="10"/>
  <c r="G6" i="10"/>
  <c r="G10" i="10"/>
  <c r="G14" i="10"/>
  <c r="G13" i="11"/>
  <c r="G5" i="10"/>
  <c r="G14" i="11"/>
  <c r="G20" i="10"/>
  <c r="G24" i="10"/>
  <c r="G28" i="10"/>
  <c r="G7" i="10"/>
  <c r="G11" i="10"/>
  <c r="G15" i="11"/>
  <c r="G19" i="10"/>
  <c r="G21" i="10"/>
  <c r="G25" i="10"/>
  <c r="G8" i="10"/>
  <c r="G12" i="10"/>
  <c r="AE25" i="7"/>
  <c r="G22" i="11"/>
  <c r="AE31" i="7"/>
  <c r="G28" i="11"/>
  <c r="AG30" i="7"/>
  <c r="I27" i="11"/>
  <c r="AI29" i="7"/>
  <c r="K26" i="11"/>
  <c r="AA29" i="7"/>
  <c r="C26" i="11"/>
  <c r="AC28" i="7"/>
  <c r="E25" i="11"/>
  <c r="AE27" i="7"/>
  <c r="G24" i="11"/>
  <c r="AG26" i="7"/>
  <c r="I23" i="11"/>
  <c r="AA138" i="7"/>
  <c r="C135" i="11"/>
  <c r="AA130" i="7"/>
  <c r="C127" i="11"/>
  <c r="AA122" i="7"/>
  <c r="C119" i="11"/>
  <c r="AA114" i="7"/>
  <c r="C111" i="11"/>
  <c r="AA106" i="7"/>
  <c r="C103" i="11"/>
  <c r="AA98" i="7"/>
  <c r="C95" i="11"/>
  <c r="AA90" i="7"/>
  <c r="C87" i="11"/>
  <c r="AA82" i="7"/>
  <c r="C79" i="11"/>
  <c r="AA74" i="7"/>
  <c r="C71" i="11"/>
  <c r="AA66" i="7"/>
  <c r="C63" i="11"/>
  <c r="AA58" i="7"/>
  <c r="C55" i="11"/>
  <c r="AA50" i="7"/>
  <c r="C47" i="11"/>
  <c r="AA42" i="7"/>
  <c r="C39" i="11"/>
  <c r="AA34" i="7"/>
  <c r="C31" i="11"/>
  <c r="AH144" i="7"/>
  <c r="J141" i="11"/>
  <c r="AI143" i="7"/>
  <c r="K140" i="11"/>
  <c r="L139" i="11"/>
  <c r="AJ142" i="7"/>
  <c r="D139" i="11"/>
  <c r="AB142" i="7"/>
  <c r="AC141" i="7"/>
  <c r="E138" i="11"/>
  <c r="AD140" i="7"/>
  <c r="F137" i="11"/>
  <c r="AE139" i="7"/>
  <c r="G136" i="11"/>
  <c r="H135" i="11"/>
  <c r="AF138" i="7"/>
  <c r="AG137" i="7"/>
  <c r="I134" i="11"/>
  <c r="AH136" i="7"/>
  <c r="J133" i="11"/>
  <c r="AI135" i="7"/>
  <c r="K132" i="11"/>
  <c r="L131" i="11"/>
  <c r="AJ134" i="7"/>
  <c r="D131" i="11"/>
  <c r="AB134" i="7"/>
  <c r="AC133" i="7"/>
  <c r="AO34" i="7" s="1"/>
  <c r="E130" i="11"/>
  <c r="AD132" i="7"/>
  <c r="F129" i="11"/>
  <c r="AE131" i="7"/>
  <c r="G128" i="11"/>
  <c r="H127" i="11"/>
  <c r="AF130" i="7"/>
  <c r="AG129" i="7"/>
  <c r="I126" i="11"/>
  <c r="AH128" i="7"/>
  <c r="J125" i="11"/>
  <c r="AI127" i="7"/>
  <c r="K124" i="11"/>
  <c r="L123" i="11"/>
  <c r="AJ126" i="7"/>
  <c r="D123" i="11"/>
  <c r="AB126" i="7"/>
  <c r="AC125" i="7"/>
  <c r="E122" i="11"/>
  <c r="AD124" i="7"/>
  <c r="F121" i="11"/>
  <c r="AE123" i="7"/>
  <c r="G120" i="11"/>
  <c r="H119" i="11"/>
  <c r="AF122" i="7"/>
  <c r="AG121" i="7"/>
  <c r="AS33" i="7" s="1"/>
  <c r="I118" i="11"/>
  <c r="AH120" i="7"/>
  <c r="J117" i="11"/>
  <c r="AI119" i="7"/>
  <c r="K116" i="11"/>
  <c r="L115" i="11"/>
  <c r="AJ118" i="7"/>
  <c r="AB118" i="7"/>
  <c r="D115" i="11"/>
  <c r="AC117" i="7"/>
  <c r="E114" i="11"/>
  <c r="AD116" i="7"/>
  <c r="F113" i="11"/>
  <c r="AE115" i="7"/>
  <c r="G112" i="11"/>
  <c r="AF114" i="7"/>
  <c r="H111" i="11"/>
  <c r="I110" i="11"/>
  <c r="AG113" i="7"/>
  <c r="AH112" i="7"/>
  <c r="J109" i="11"/>
  <c r="AI111" i="7"/>
  <c r="K108" i="11"/>
  <c r="AJ110" i="7"/>
  <c r="L107" i="11"/>
  <c r="AB110" i="7"/>
  <c r="D107" i="11"/>
  <c r="AC109" i="7"/>
  <c r="AO32" i="7" s="1"/>
  <c r="E106" i="11"/>
  <c r="AD108" i="7"/>
  <c r="F105" i="11"/>
  <c r="AE107" i="7"/>
  <c r="G104" i="11"/>
  <c r="AF106" i="7"/>
  <c r="H103" i="11"/>
  <c r="I102" i="11"/>
  <c r="AG105" i="7"/>
  <c r="AH104" i="7"/>
  <c r="J101" i="11"/>
  <c r="AI103" i="7"/>
  <c r="K100" i="11"/>
  <c r="AJ102" i="7"/>
  <c r="L99" i="11"/>
  <c r="AB102" i="7"/>
  <c r="D99" i="11"/>
  <c r="AC101" i="7"/>
  <c r="E98" i="11"/>
  <c r="AD100" i="7"/>
  <c r="F97" i="11"/>
  <c r="AE99" i="7"/>
  <c r="G96" i="11"/>
  <c r="AF98" i="7"/>
  <c r="H95" i="11"/>
  <c r="AG97" i="7"/>
  <c r="AS31" i="7" s="1"/>
  <c r="I94" i="11"/>
  <c r="AH96" i="7"/>
  <c r="J93" i="11"/>
  <c r="AI95" i="7"/>
  <c r="K92" i="11"/>
  <c r="AJ94" i="7"/>
  <c r="L91" i="11"/>
  <c r="AB94" i="7"/>
  <c r="D91" i="11"/>
  <c r="AC93" i="7"/>
  <c r="E90" i="11"/>
  <c r="AD92" i="7"/>
  <c r="F89" i="11"/>
  <c r="AE91" i="7"/>
  <c r="G88" i="11"/>
  <c r="AF90" i="7"/>
  <c r="H87" i="11"/>
  <c r="AG89" i="7"/>
  <c r="I86" i="11"/>
  <c r="AH88" i="7"/>
  <c r="J85" i="11"/>
  <c r="AI87" i="7"/>
  <c r="K84" i="11"/>
  <c r="AJ86" i="7"/>
  <c r="L83" i="11"/>
  <c r="AB86" i="7"/>
  <c r="D83" i="11"/>
  <c r="AC85" i="7"/>
  <c r="AO30" i="7" s="1"/>
  <c r="E82" i="11"/>
  <c r="AD84" i="7"/>
  <c r="F81" i="11"/>
  <c r="AE83" i="7"/>
  <c r="G80" i="11"/>
  <c r="AF82" i="7"/>
  <c r="H79" i="11"/>
  <c r="AG81" i="7"/>
  <c r="I78" i="11"/>
  <c r="AH80" i="7"/>
  <c r="J77" i="11"/>
  <c r="AI79" i="7"/>
  <c r="K76" i="11"/>
  <c r="AJ78" i="7"/>
  <c r="L75" i="11"/>
  <c r="AB78" i="7"/>
  <c r="D75" i="11"/>
  <c r="AC77" i="7"/>
  <c r="E74" i="11"/>
  <c r="AD76" i="7"/>
  <c r="F73" i="11"/>
  <c r="AE75" i="7"/>
  <c r="G72" i="11"/>
  <c r="AF74" i="7"/>
  <c r="H71" i="11"/>
  <c r="AG73" i="7"/>
  <c r="AS29" i="7" s="1"/>
  <c r="I70" i="11"/>
  <c r="AH72" i="7"/>
  <c r="J69" i="11"/>
  <c r="AI71" i="7"/>
  <c r="K68" i="11"/>
  <c r="AJ70" i="7"/>
  <c r="L67" i="11"/>
  <c r="AB70" i="7"/>
  <c r="D67" i="11"/>
  <c r="AC69" i="7"/>
  <c r="E66" i="11"/>
  <c r="AD68" i="7"/>
  <c r="F65" i="11"/>
  <c r="AE67" i="7"/>
  <c r="G64" i="11"/>
  <c r="AF66" i="7"/>
  <c r="H63" i="11"/>
  <c r="AG65" i="7"/>
  <c r="I62" i="11"/>
  <c r="AH64" i="7"/>
  <c r="J61" i="11"/>
  <c r="AI63" i="7"/>
  <c r="K60" i="11"/>
  <c r="AJ62" i="7"/>
  <c r="L59" i="11"/>
  <c r="AB62" i="7"/>
  <c r="D59" i="11"/>
  <c r="AC61" i="7"/>
  <c r="AO28" i="7" s="1"/>
  <c r="E58" i="11"/>
  <c r="AD60" i="7"/>
  <c r="F57" i="11"/>
  <c r="AE59" i="7"/>
  <c r="G56" i="11"/>
  <c r="AF58" i="7"/>
  <c r="H55" i="11"/>
  <c r="AG57" i="7"/>
  <c r="I54" i="11"/>
  <c r="AH56" i="7"/>
  <c r="J53" i="11"/>
  <c r="K52" i="11"/>
  <c r="AI55" i="7"/>
  <c r="AJ54" i="7"/>
  <c r="L51" i="11"/>
  <c r="AB54" i="7"/>
  <c r="D51" i="11"/>
  <c r="AC53" i="7"/>
  <c r="E50" i="11"/>
  <c r="AD52" i="7"/>
  <c r="F49" i="11"/>
  <c r="AE51" i="7"/>
  <c r="G48" i="11"/>
  <c r="AF50" i="7"/>
  <c r="H47" i="11"/>
  <c r="AG49" i="7"/>
  <c r="AS27" i="7" s="1"/>
  <c r="I46" i="11"/>
  <c r="AH48" i="7"/>
  <c r="J45" i="11"/>
  <c r="AI47" i="7"/>
  <c r="K44" i="11"/>
  <c r="AJ46" i="7"/>
  <c r="L43" i="11"/>
  <c r="AB46" i="7"/>
  <c r="D43" i="11"/>
  <c r="AC45" i="7"/>
  <c r="E42" i="11"/>
  <c r="AD44" i="7"/>
  <c r="F41" i="11"/>
  <c r="G40" i="11"/>
  <c r="AE43" i="7"/>
  <c r="AF42" i="7"/>
  <c r="H39" i="11"/>
  <c r="AG41" i="7"/>
  <c r="I38" i="11"/>
  <c r="AH40" i="7"/>
  <c r="J37" i="11"/>
  <c r="AI39" i="7"/>
  <c r="K36" i="11"/>
  <c r="AJ38" i="7"/>
  <c r="L35" i="11"/>
  <c r="AB38" i="7"/>
  <c r="D35" i="11"/>
  <c r="AC37" i="7"/>
  <c r="AO26" i="7" s="1"/>
  <c r="E34" i="11"/>
  <c r="AD36" i="7"/>
  <c r="F33" i="11"/>
  <c r="AE35" i="7"/>
  <c r="G32" i="11"/>
  <c r="AF34" i="7"/>
  <c r="H31" i="11"/>
  <c r="AG33" i="7"/>
  <c r="I30" i="11"/>
  <c r="AH32" i="7"/>
  <c r="J29" i="11"/>
  <c r="B151" i="11"/>
  <c r="Z143" i="7"/>
  <c r="B143" i="11"/>
  <c r="Z135" i="7"/>
  <c r="B135" i="11"/>
  <c r="Z127" i="7"/>
  <c r="B127" i="11"/>
  <c r="Z119" i="7"/>
  <c r="B119" i="11"/>
  <c r="Z111" i="7"/>
  <c r="B111" i="11"/>
  <c r="Z103" i="7"/>
  <c r="B103" i="11"/>
  <c r="Z95" i="7"/>
  <c r="B95" i="11"/>
  <c r="Z87" i="7"/>
  <c r="B87" i="11"/>
  <c r="Z79" i="7"/>
  <c r="B79" i="11"/>
  <c r="Z71" i="7"/>
  <c r="B71" i="11"/>
  <c r="Z63" i="7"/>
  <c r="B63" i="11"/>
  <c r="Z55" i="7"/>
  <c r="B55" i="11"/>
  <c r="Z47" i="7"/>
  <c r="B47" i="11"/>
  <c r="Z39" i="7"/>
  <c r="B39" i="11"/>
  <c r="Z31" i="7"/>
  <c r="AA31" i="7"/>
  <c r="C28" i="11"/>
  <c r="O6" i="7"/>
  <c r="C20" i="10"/>
  <c r="C24" i="10"/>
  <c r="C28" i="10"/>
  <c r="C7" i="10"/>
  <c r="C11" i="10"/>
  <c r="C5" i="10"/>
  <c r="C21" i="10"/>
  <c r="C25" i="10"/>
  <c r="C8" i="10"/>
  <c r="C12" i="10"/>
  <c r="C15" i="11"/>
  <c r="C19" i="10"/>
  <c r="C14" i="11"/>
  <c r="C22" i="10"/>
  <c r="C26" i="10"/>
  <c r="C9" i="10"/>
  <c r="C13" i="10"/>
  <c r="C13" i="11"/>
  <c r="C23" i="10"/>
  <c r="C27" i="10"/>
  <c r="C6" i="10"/>
  <c r="C10" i="10"/>
  <c r="C14" i="10"/>
  <c r="O8" i="7"/>
  <c r="AA25" i="7"/>
  <c r="C22" i="11"/>
  <c r="F28" i="11"/>
  <c r="AD31" i="7"/>
  <c r="AH29" i="7"/>
  <c r="J26" i="11"/>
  <c r="AJ28" i="7"/>
  <c r="L25" i="11"/>
  <c r="F24" i="11"/>
  <c r="AD27" i="7"/>
  <c r="AF26" i="7"/>
  <c r="H23" i="11"/>
  <c r="AA137" i="7"/>
  <c r="C134" i="11"/>
  <c r="AA129" i="7"/>
  <c r="C126" i="11"/>
  <c r="AA121" i="7"/>
  <c r="AM33" i="7" s="1"/>
  <c r="C118" i="11"/>
  <c r="AA113" i="7"/>
  <c r="C110" i="11"/>
  <c r="AA105" i="7"/>
  <c r="C102" i="11"/>
  <c r="AA97" i="7"/>
  <c r="AM31" i="7" s="1"/>
  <c r="C94" i="11"/>
  <c r="AA89" i="7"/>
  <c r="C86" i="11"/>
  <c r="AA81" i="7"/>
  <c r="C78" i="11"/>
  <c r="AA73" i="7"/>
  <c r="AM29" i="7" s="1"/>
  <c r="C70" i="11"/>
  <c r="AA65" i="7"/>
  <c r="C62" i="11"/>
  <c r="AA57" i="7"/>
  <c r="C54" i="11"/>
  <c r="AA49" i="7"/>
  <c r="AM27" i="7" s="1"/>
  <c r="C46" i="11"/>
  <c r="AA41" i="7"/>
  <c r="C38" i="11"/>
  <c r="AA33" i="7"/>
  <c r="C30" i="11"/>
  <c r="AG144" i="7"/>
  <c r="I141" i="11"/>
  <c r="J140" i="11"/>
  <c r="AH143" i="7"/>
  <c r="AI142" i="7"/>
  <c r="K139" i="11"/>
  <c r="AJ141" i="7"/>
  <c r="L138" i="11"/>
  <c r="AB141" i="7"/>
  <c r="D138" i="11"/>
  <c r="AC140" i="7"/>
  <c r="E137" i="11"/>
  <c r="F136" i="11"/>
  <c r="AD139" i="7"/>
  <c r="AE138" i="7"/>
  <c r="G135" i="11"/>
  <c r="AF137" i="7"/>
  <c r="H134" i="11"/>
  <c r="AG136" i="7"/>
  <c r="I133" i="11"/>
  <c r="J132" i="11"/>
  <c r="AH135" i="7"/>
  <c r="AI134" i="7"/>
  <c r="K131" i="11"/>
  <c r="AJ133" i="7"/>
  <c r="AV34" i="7" s="1"/>
  <c r="L130" i="11"/>
  <c r="AB133" i="7"/>
  <c r="AN34" i="7" s="1"/>
  <c r="D130" i="11"/>
  <c r="AC132" i="7"/>
  <c r="E129" i="11"/>
  <c r="F128" i="11"/>
  <c r="AD131" i="7"/>
  <c r="AE130" i="7"/>
  <c r="G127" i="11"/>
  <c r="AF129" i="7"/>
  <c r="H126" i="11"/>
  <c r="AG128" i="7"/>
  <c r="I125" i="11"/>
  <c r="J124" i="11"/>
  <c r="AH127" i="7"/>
  <c r="AI126" i="7"/>
  <c r="K123" i="11"/>
  <c r="AJ125" i="7"/>
  <c r="L122" i="11"/>
  <c r="AB125" i="7"/>
  <c r="D122" i="11"/>
  <c r="AC124" i="7"/>
  <c r="E121" i="11"/>
  <c r="F120" i="11"/>
  <c r="AD123" i="7"/>
  <c r="AE122" i="7"/>
  <c r="G119" i="11"/>
  <c r="AF121" i="7"/>
  <c r="AR33" i="7" s="1"/>
  <c r="H118" i="11"/>
  <c r="AG120" i="7"/>
  <c r="I117" i="11"/>
  <c r="J116" i="11"/>
  <c r="AH119" i="7"/>
  <c r="AI118" i="7"/>
  <c r="K115" i="11"/>
  <c r="AJ117" i="7"/>
  <c r="L114" i="11"/>
  <c r="AB117" i="7"/>
  <c r="D114" i="11"/>
  <c r="AC116" i="7"/>
  <c r="E113" i="11"/>
  <c r="AD115" i="7"/>
  <c r="F112" i="11"/>
  <c r="G111" i="11"/>
  <c r="AE114" i="7"/>
  <c r="AF113" i="7"/>
  <c r="H110" i="11"/>
  <c r="AG112" i="7"/>
  <c r="I109" i="11"/>
  <c r="AH111" i="7"/>
  <c r="J108" i="11"/>
  <c r="AI110" i="7"/>
  <c r="K107" i="11"/>
  <c r="AJ109" i="7"/>
  <c r="AV32" i="7" s="1"/>
  <c r="L106" i="11"/>
  <c r="AB109" i="7"/>
  <c r="AN32" i="7" s="1"/>
  <c r="D106" i="11"/>
  <c r="AC108" i="7"/>
  <c r="E105" i="11"/>
  <c r="AD107" i="7"/>
  <c r="F104" i="11"/>
  <c r="G103" i="11"/>
  <c r="AE106" i="7"/>
  <c r="AF105" i="7"/>
  <c r="H102" i="11"/>
  <c r="AG104" i="7"/>
  <c r="I101" i="11"/>
  <c r="AH103" i="7"/>
  <c r="J100" i="11"/>
  <c r="AI102" i="7"/>
  <c r="K99" i="11"/>
  <c r="AJ101" i="7"/>
  <c r="L98" i="11"/>
  <c r="AB101" i="7"/>
  <c r="D98" i="11"/>
  <c r="AC100" i="7"/>
  <c r="E97" i="11"/>
  <c r="AD99" i="7"/>
  <c r="F96" i="11"/>
  <c r="G95" i="11"/>
  <c r="AE98" i="7"/>
  <c r="AF97" i="7"/>
  <c r="AR31" i="7" s="1"/>
  <c r="H94" i="11"/>
  <c r="AG96" i="7"/>
  <c r="I93" i="11"/>
  <c r="AH95" i="7"/>
  <c r="J92" i="11"/>
  <c r="AI94" i="7"/>
  <c r="K91" i="11"/>
  <c r="AJ93" i="7"/>
  <c r="L90" i="11"/>
  <c r="AB93" i="7"/>
  <c r="D90" i="11"/>
  <c r="AC92" i="7"/>
  <c r="E89" i="11"/>
  <c r="AD91" i="7"/>
  <c r="F88" i="11"/>
  <c r="G87" i="11"/>
  <c r="AE90" i="7"/>
  <c r="AF89" i="7"/>
  <c r="H86" i="11"/>
  <c r="AG88" i="7"/>
  <c r="I85" i="11"/>
  <c r="AH87" i="7"/>
  <c r="J84" i="11"/>
  <c r="AI86" i="7"/>
  <c r="K83" i="11"/>
  <c r="AJ85" i="7"/>
  <c r="AV30" i="7" s="1"/>
  <c r="L82" i="11"/>
  <c r="AB85" i="7"/>
  <c r="AN30" i="7" s="1"/>
  <c r="D82" i="11"/>
  <c r="AC84" i="7"/>
  <c r="E81" i="11"/>
  <c r="AD83" i="7"/>
  <c r="F80" i="11"/>
  <c r="G79" i="11"/>
  <c r="AE82" i="7"/>
  <c r="AF81" i="7"/>
  <c r="H78" i="11"/>
  <c r="AG80" i="7"/>
  <c r="I77" i="11"/>
  <c r="AH79" i="7"/>
  <c r="J76" i="11"/>
  <c r="AI78" i="7"/>
  <c r="K75" i="11"/>
  <c r="AJ77" i="7"/>
  <c r="L74" i="11"/>
  <c r="AB77" i="7"/>
  <c r="D74" i="11"/>
  <c r="AC76" i="7"/>
  <c r="E73" i="11"/>
  <c r="AD75" i="7"/>
  <c r="F72" i="11"/>
  <c r="G71" i="11"/>
  <c r="AE74" i="7"/>
  <c r="AF73" i="7"/>
  <c r="AR29" i="7" s="1"/>
  <c r="H70" i="11"/>
  <c r="AG72" i="7"/>
  <c r="I69" i="11"/>
  <c r="AH71" i="7"/>
  <c r="J68" i="11"/>
  <c r="AI70" i="7"/>
  <c r="K67" i="11"/>
  <c r="AJ69" i="7"/>
  <c r="L66" i="11"/>
  <c r="AB69" i="7"/>
  <c r="D66" i="11"/>
  <c r="AC68" i="7"/>
  <c r="E65" i="11"/>
  <c r="AD67" i="7"/>
  <c r="F64" i="11"/>
  <c r="AE66" i="7"/>
  <c r="G63" i="11"/>
  <c r="AF65" i="7"/>
  <c r="H62" i="11"/>
  <c r="AG64" i="7"/>
  <c r="I61" i="11"/>
  <c r="AH63" i="7"/>
  <c r="J60" i="11"/>
  <c r="AI62" i="7"/>
  <c r="K59" i="11"/>
  <c r="AJ61" i="7"/>
  <c r="AV28" i="7" s="1"/>
  <c r="L58" i="11"/>
  <c r="AB61" i="7"/>
  <c r="AN28" i="7" s="1"/>
  <c r="D58" i="11"/>
  <c r="AC60" i="7"/>
  <c r="E57" i="11"/>
  <c r="AD59" i="7"/>
  <c r="F56" i="11"/>
  <c r="AE58" i="7"/>
  <c r="G55" i="11"/>
  <c r="AF57" i="7"/>
  <c r="H54" i="11"/>
  <c r="AG56" i="7"/>
  <c r="I53" i="11"/>
  <c r="AH55" i="7"/>
  <c r="J52" i="11"/>
  <c r="AI54" i="7"/>
  <c r="K51" i="11"/>
  <c r="AJ53" i="7"/>
  <c r="L50" i="11"/>
  <c r="AB53" i="7"/>
  <c r="D50" i="11"/>
  <c r="AC52" i="7"/>
  <c r="E49" i="11"/>
  <c r="AD51" i="7"/>
  <c r="F48" i="11"/>
  <c r="AE50" i="7"/>
  <c r="G47" i="11"/>
  <c r="AF49" i="7"/>
  <c r="AR27" i="7" s="1"/>
  <c r="H46" i="11"/>
  <c r="AG48" i="7"/>
  <c r="I45" i="11"/>
  <c r="AH47" i="7"/>
  <c r="J44" i="11"/>
  <c r="AI46" i="7"/>
  <c r="K43" i="11"/>
  <c r="AJ45" i="7"/>
  <c r="L42" i="11"/>
  <c r="AB45" i="7"/>
  <c r="D42" i="11"/>
  <c r="AC44" i="7"/>
  <c r="E41" i="11"/>
  <c r="AD43" i="7"/>
  <c r="F40" i="11"/>
  <c r="AE42" i="7"/>
  <c r="G39" i="11"/>
  <c r="AF41" i="7"/>
  <c r="H38" i="11"/>
  <c r="AG40" i="7"/>
  <c r="I37" i="11"/>
  <c r="AH39" i="7"/>
  <c r="J36" i="11"/>
  <c r="AI38" i="7"/>
  <c r="K35" i="11"/>
  <c r="AJ37" i="7"/>
  <c r="AV26" i="7" s="1"/>
  <c r="L34" i="11"/>
  <c r="AB37" i="7"/>
  <c r="AN26" i="7" s="1"/>
  <c r="D34" i="11"/>
  <c r="AC36" i="7"/>
  <c r="E33" i="11"/>
  <c r="AD35" i="7"/>
  <c r="F32" i="11"/>
  <c r="AE34" i="7"/>
  <c r="G31" i="11"/>
  <c r="AF33" i="7"/>
  <c r="H30" i="11"/>
  <c r="U5" i="7"/>
  <c r="AG32" i="7"/>
  <c r="I29" i="11"/>
  <c r="B150" i="11"/>
  <c r="Z142" i="7"/>
  <c r="B142" i="11"/>
  <c r="Z134" i="7"/>
  <c r="B134" i="11"/>
  <c r="Z126" i="7"/>
  <c r="B126" i="11"/>
  <c r="Z118" i="7"/>
  <c r="B118" i="11"/>
  <c r="Z110" i="7"/>
  <c r="B110" i="11"/>
  <c r="Z102" i="7"/>
  <c r="B102" i="11"/>
  <c r="Z94" i="7"/>
  <c r="B94" i="11"/>
  <c r="Z86" i="7"/>
  <c r="B86" i="11"/>
  <c r="Z78" i="7"/>
  <c r="B78" i="11"/>
  <c r="Z70" i="7"/>
  <c r="B70" i="11"/>
  <c r="Z62" i="7"/>
  <c r="B62" i="11"/>
  <c r="Z54" i="7"/>
  <c r="B54" i="11"/>
  <c r="Z46" i="7"/>
  <c r="B46" i="11"/>
  <c r="Z38" i="7"/>
  <c r="B38" i="11"/>
  <c r="Z30" i="7"/>
  <c r="R5" i="7"/>
  <c r="R8" i="7"/>
  <c r="F23" i="10"/>
  <c r="F27" i="10"/>
  <c r="F6" i="10"/>
  <c r="F10" i="10"/>
  <c r="F14" i="10"/>
  <c r="F13" i="11"/>
  <c r="F5" i="10"/>
  <c r="F14" i="11"/>
  <c r="F20" i="10"/>
  <c r="F24" i="10"/>
  <c r="F28" i="10"/>
  <c r="F7" i="10"/>
  <c r="F11" i="10"/>
  <c r="F15" i="11"/>
  <c r="F19" i="10"/>
  <c r="F21" i="10"/>
  <c r="F25" i="10"/>
  <c r="F8" i="10"/>
  <c r="F12" i="10"/>
  <c r="F22" i="10"/>
  <c r="F26" i="10"/>
  <c r="F9" i="10"/>
  <c r="F13" i="10"/>
  <c r="AD25" i="7"/>
  <c r="F22" i="11"/>
  <c r="AF30" i="7"/>
  <c r="H27" i="11"/>
  <c r="AB28" i="7"/>
  <c r="D25" i="11"/>
  <c r="P5" i="7"/>
  <c r="D13" i="11"/>
  <c r="D5" i="10"/>
  <c r="D14" i="11"/>
  <c r="D20" i="10"/>
  <c r="D24" i="10"/>
  <c r="D28" i="10"/>
  <c r="D7" i="10"/>
  <c r="D11" i="10"/>
  <c r="D15" i="11"/>
  <c r="D19" i="10"/>
  <c r="D21" i="10"/>
  <c r="D25" i="10"/>
  <c r="D8" i="10"/>
  <c r="D12" i="10"/>
  <c r="D22" i="10"/>
  <c r="D26" i="10"/>
  <c r="D9" i="10"/>
  <c r="D13" i="10"/>
  <c r="P8" i="7"/>
  <c r="D23" i="10"/>
  <c r="D27" i="10"/>
  <c r="D6" i="10"/>
  <c r="D10" i="10"/>
  <c r="D14" i="10"/>
  <c r="AB25" i="7"/>
  <c r="D22" i="11"/>
  <c r="Q4" i="7"/>
  <c r="E23" i="10"/>
  <c r="E27" i="10"/>
  <c r="E6" i="10"/>
  <c r="E10" i="10"/>
  <c r="E14" i="10"/>
  <c r="E13" i="11"/>
  <c r="E5" i="10"/>
  <c r="E14" i="11"/>
  <c r="E20" i="10"/>
  <c r="E24" i="10"/>
  <c r="E28" i="10"/>
  <c r="E7" i="10"/>
  <c r="E11" i="10"/>
  <c r="E15" i="11"/>
  <c r="E19" i="10"/>
  <c r="E21" i="10"/>
  <c r="E25" i="10"/>
  <c r="E8" i="10"/>
  <c r="E12" i="10"/>
  <c r="E22" i="10"/>
  <c r="E26" i="10"/>
  <c r="E9" i="10"/>
  <c r="E13" i="10"/>
  <c r="Q8" i="7"/>
  <c r="AC25" i="7"/>
  <c r="E22" i="11"/>
  <c r="AC31" i="7"/>
  <c r="E28" i="11"/>
  <c r="AE30" i="7"/>
  <c r="G27" i="11"/>
  <c r="AG29" i="7"/>
  <c r="I26" i="11"/>
  <c r="AI28" i="7"/>
  <c r="K25" i="11"/>
  <c r="AA28" i="7"/>
  <c r="C25" i="11"/>
  <c r="AC27" i="7"/>
  <c r="E24" i="11"/>
  <c r="AE26" i="7"/>
  <c r="G23" i="11"/>
  <c r="AA144" i="7"/>
  <c r="C141" i="11"/>
  <c r="AA136" i="7"/>
  <c r="C133" i="11"/>
  <c r="AA128" i="7"/>
  <c r="C125" i="11"/>
  <c r="AA120" i="7"/>
  <c r="C117" i="11"/>
  <c r="C109" i="11"/>
  <c r="AA112" i="7"/>
  <c r="C101" i="11"/>
  <c r="AA104" i="7"/>
  <c r="AA96" i="7"/>
  <c r="C93" i="11"/>
  <c r="AA88" i="7"/>
  <c r="C85" i="11"/>
  <c r="AA80" i="7"/>
  <c r="C77" i="11"/>
  <c r="AA72" i="7"/>
  <c r="C69" i="11"/>
  <c r="AA64" i="7"/>
  <c r="C61" i="11"/>
  <c r="AA56" i="7"/>
  <c r="C53" i="11"/>
  <c r="AA48" i="7"/>
  <c r="C45" i="11"/>
  <c r="AA40" i="7"/>
  <c r="C37" i="11"/>
  <c r="AA32" i="7"/>
  <c r="C29" i="11"/>
  <c r="H141" i="11"/>
  <c r="AF144" i="7"/>
  <c r="AG143" i="7"/>
  <c r="I140" i="11"/>
  <c r="AH142" i="7"/>
  <c r="J139" i="11"/>
  <c r="AI141" i="7"/>
  <c r="K138" i="11"/>
  <c r="L137" i="11"/>
  <c r="AJ140" i="7"/>
  <c r="D137" i="11"/>
  <c r="AB140" i="7"/>
  <c r="AC139" i="7"/>
  <c r="E136" i="11"/>
  <c r="AD138" i="7"/>
  <c r="F135" i="11"/>
  <c r="AE137" i="7"/>
  <c r="G134" i="11"/>
  <c r="H133" i="11"/>
  <c r="AF136" i="7"/>
  <c r="AG135" i="7"/>
  <c r="I132" i="11"/>
  <c r="AH134" i="7"/>
  <c r="J131" i="11"/>
  <c r="AI133" i="7"/>
  <c r="AU34" i="7" s="1"/>
  <c r="K130" i="11"/>
  <c r="L129" i="11"/>
  <c r="AJ132" i="7"/>
  <c r="D129" i="11"/>
  <c r="AB132" i="7"/>
  <c r="AC131" i="7"/>
  <c r="E128" i="11"/>
  <c r="AD130" i="7"/>
  <c r="F127" i="11"/>
  <c r="AE129" i="7"/>
  <c r="G126" i="11"/>
  <c r="H125" i="11"/>
  <c r="AF128" i="7"/>
  <c r="AG127" i="7"/>
  <c r="I124" i="11"/>
  <c r="AH126" i="7"/>
  <c r="J123" i="11"/>
  <c r="AI125" i="7"/>
  <c r="K122" i="11"/>
  <c r="L121" i="11"/>
  <c r="AJ124" i="7"/>
  <c r="D121" i="11"/>
  <c r="AB124" i="7"/>
  <c r="AC123" i="7"/>
  <c r="E120" i="11"/>
  <c r="AD122" i="7"/>
  <c r="F119" i="11"/>
  <c r="AE121" i="7"/>
  <c r="AQ33" i="7" s="1"/>
  <c r="G118" i="11"/>
  <c r="H117" i="11"/>
  <c r="AF120" i="7"/>
  <c r="AG119" i="7"/>
  <c r="I116" i="11"/>
  <c r="AH118" i="7"/>
  <c r="J115" i="11"/>
  <c r="AI117" i="7"/>
  <c r="K114" i="11"/>
  <c r="AJ116" i="7"/>
  <c r="L113" i="11"/>
  <c r="AB116" i="7"/>
  <c r="D113" i="11"/>
  <c r="E112" i="11"/>
  <c r="AC115" i="7"/>
  <c r="AD114" i="7"/>
  <c r="F111" i="11"/>
  <c r="AE113" i="7"/>
  <c r="G110" i="11"/>
  <c r="AF112" i="7"/>
  <c r="H109" i="11"/>
  <c r="AG111" i="7"/>
  <c r="I108" i="11"/>
  <c r="AH110" i="7"/>
  <c r="J107" i="11"/>
  <c r="AI109" i="7"/>
  <c r="AU32" i="7" s="1"/>
  <c r="K106" i="11"/>
  <c r="AJ108" i="7"/>
  <c r="L105" i="11"/>
  <c r="AB108" i="7"/>
  <c r="D105" i="11"/>
  <c r="E104" i="11"/>
  <c r="AC107" i="7"/>
  <c r="AD106" i="7"/>
  <c r="F103" i="11"/>
  <c r="AE105" i="7"/>
  <c r="G102" i="11"/>
  <c r="AF104" i="7"/>
  <c r="H101" i="11"/>
  <c r="AG103" i="7"/>
  <c r="I100" i="11"/>
  <c r="AH102" i="7"/>
  <c r="J99" i="11"/>
  <c r="AI101" i="7"/>
  <c r="K98" i="11"/>
  <c r="AJ100" i="7"/>
  <c r="L97" i="11"/>
  <c r="AB100" i="7"/>
  <c r="D97" i="11"/>
  <c r="AC99" i="7"/>
  <c r="E96" i="11"/>
  <c r="AD98" i="7"/>
  <c r="F95" i="11"/>
  <c r="AE97" i="7"/>
  <c r="AQ31" i="7" s="1"/>
  <c r="G94" i="11"/>
  <c r="AF96" i="7"/>
  <c r="H93" i="11"/>
  <c r="AG95" i="7"/>
  <c r="I92" i="11"/>
  <c r="AH94" i="7"/>
  <c r="J91" i="11"/>
  <c r="AI93" i="7"/>
  <c r="K90" i="11"/>
  <c r="AJ92" i="7"/>
  <c r="L89" i="11"/>
  <c r="AB92" i="7"/>
  <c r="D89" i="11"/>
  <c r="AC91" i="7"/>
  <c r="E88" i="11"/>
  <c r="AD90" i="7"/>
  <c r="F87" i="11"/>
  <c r="AE89" i="7"/>
  <c r="G86" i="11"/>
  <c r="AF88" i="7"/>
  <c r="H85" i="11"/>
  <c r="AG87" i="7"/>
  <c r="I84" i="11"/>
  <c r="AH86" i="7"/>
  <c r="J83" i="11"/>
  <c r="AI85" i="7"/>
  <c r="AU30" i="7" s="1"/>
  <c r="K82" i="11"/>
  <c r="AJ84" i="7"/>
  <c r="L81" i="11"/>
  <c r="AB84" i="7"/>
  <c r="D81" i="11"/>
  <c r="AC83" i="7"/>
  <c r="E80" i="11"/>
  <c r="AD82" i="7"/>
  <c r="F79" i="11"/>
  <c r="AE81" i="7"/>
  <c r="G78" i="11"/>
  <c r="AF80" i="7"/>
  <c r="H77" i="11"/>
  <c r="AG79" i="7"/>
  <c r="I76" i="11"/>
  <c r="AH78" i="7"/>
  <c r="J75" i="11"/>
  <c r="AI77" i="7"/>
  <c r="K74" i="11"/>
  <c r="AJ76" i="7"/>
  <c r="L73" i="11"/>
  <c r="AB76" i="7"/>
  <c r="D73" i="11"/>
  <c r="AC75" i="7"/>
  <c r="E72" i="11"/>
  <c r="AD74" i="7"/>
  <c r="F71" i="11"/>
  <c r="AE73" i="7"/>
  <c r="AQ29" i="7" s="1"/>
  <c r="G70" i="11"/>
  <c r="AF72" i="7"/>
  <c r="H69" i="11"/>
  <c r="AG71" i="7"/>
  <c r="I68" i="11"/>
  <c r="AH70" i="7"/>
  <c r="J67" i="11"/>
  <c r="AI69" i="7"/>
  <c r="K66" i="11"/>
  <c r="AJ68" i="7"/>
  <c r="L65" i="11"/>
  <c r="AB68" i="7"/>
  <c r="D65" i="11"/>
  <c r="E64" i="11"/>
  <c r="AC67" i="7"/>
  <c r="AD66" i="7"/>
  <c r="F63" i="11"/>
  <c r="G62" i="11"/>
  <c r="AE65" i="7"/>
  <c r="AF64" i="7"/>
  <c r="H61" i="11"/>
  <c r="AG63" i="7"/>
  <c r="I60" i="11"/>
  <c r="AH62" i="7"/>
  <c r="J59" i="11"/>
  <c r="K58" i="11"/>
  <c r="AI61" i="7"/>
  <c r="AU28" i="7" s="1"/>
  <c r="AJ60" i="7"/>
  <c r="L57" i="11"/>
  <c r="AB60" i="7"/>
  <c r="D57" i="11"/>
  <c r="AC59" i="7"/>
  <c r="E56" i="11"/>
  <c r="AD58" i="7"/>
  <c r="F55" i="11"/>
  <c r="AE57" i="7"/>
  <c r="G54" i="11"/>
  <c r="AF56" i="7"/>
  <c r="H53" i="11"/>
  <c r="AG55" i="7"/>
  <c r="I52" i="11"/>
  <c r="AH54" i="7"/>
  <c r="J51" i="11"/>
  <c r="K50" i="11"/>
  <c r="AI53" i="7"/>
  <c r="AJ52" i="7"/>
  <c r="L49" i="11"/>
  <c r="AB52" i="7"/>
  <c r="D49" i="11"/>
  <c r="AC51" i="7"/>
  <c r="E48" i="11"/>
  <c r="AD50" i="7"/>
  <c r="F47" i="11"/>
  <c r="G46" i="11"/>
  <c r="AE49" i="7"/>
  <c r="AQ27" i="7" s="1"/>
  <c r="AF48" i="7"/>
  <c r="H45" i="11"/>
  <c r="AG47" i="7"/>
  <c r="I44" i="11"/>
  <c r="AH46" i="7"/>
  <c r="J43" i="11"/>
  <c r="AI45" i="7"/>
  <c r="K42" i="11"/>
  <c r="AJ44" i="7"/>
  <c r="L41" i="11"/>
  <c r="AB44" i="7"/>
  <c r="D41" i="11"/>
  <c r="AC43" i="7"/>
  <c r="E40" i="11"/>
  <c r="AD42" i="7"/>
  <c r="F39" i="11"/>
  <c r="AE41" i="7"/>
  <c r="G38" i="11"/>
  <c r="AF40" i="7"/>
  <c r="H37" i="11"/>
  <c r="AG39" i="7"/>
  <c r="I36" i="11"/>
  <c r="AH38" i="7"/>
  <c r="J35" i="11"/>
  <c r="AI37" i="7"/>
  <c r="AU26" i="7" s="1"/>
  <c r="K34" i="11"/>
  <c r="L33" i="11"/>
  <c r="AJ36" i="7"/>
  <c r="AB36" i="7"/>
  <c r="D33" i="11"/>
  <c r="AC35" i="7"/>
  <c r="E32" i="11"/>
  <c r="AD34" i="7"/>
  <c r="F31" i="11"/>
  <c r="AE33" i="7"/>
  <c r="G30" i="11"/>
  <c r="AF32" i="7"/>
  <c r="H29" i="11"/>
  <c r="B149" i="11"/>
  <c r="Z141" i="7"/>
  <c r="B141" i="11"/>
  <c r="Z133" i="7"/>
  <c r="AL34" i="7" s="1"/>
  <c r="B133" i="11"/>
  <c r="Z125" i="7"/>
  <c r="B125" i="11"/>
  <c r="Z117" i="7"/>
  <c r="B117" i="11"/>
  <c r="Z109" i="7"/>
  <c r="AL32" i="7" s="1"/>
  <c r="B109" i="11"/>
  <c r="Z101" i="7"/>
  <c r="B101" i="11"/>
  <c r="Z93" i="7"/>
  <c r="B93" i="11"/>
  <c r="Z85" i="7"/>
  <c r="AL30" i="7" s="1"/>
  <c r="B85" i="11"/>
  <c r="Z77" i="7"/>
  <c r="B77" i="11"/>
  <c r="Z69" i="7"/>
  <c r="B69" i="11"/>
  <c r="Z61" i="7"/>
  <c r="AL28" i="7" s="1"/>
  <c r="B61" i="11"/>
  <c r="Z53" i="7"/>
  <c r="B53" i="11"/>
  <c r="Z45" i="7"/>
  <c r="B45" i="11"/>
  <c r="Z37" i="7"/>
  <c r="AL26" i="7" s="1"/>
  <c r="B37" i="11"/>
  <c r="Z29" i="7"/>
  <c r="X5" i="7"/>
  <c r="L13" i="11"/>
  <c r="L5" i="10"/>
  <c r="L14" i="11"/>
  <c r="L20" i="10"/>
  <c r="L24" i="10"/>
  <c r="L28" i="10"/>
  <c r="L7" i="10"/>
  <c r="L11" i="10"/>
  <c r="L15" i="11"/>
  <c r="L19" i="10"/>
  <c r="L21" i="10"/>
  <c r="L25" i="10"/>
  <c r="L8" i="10"/>
  <c r="L12" i="10"/>
  <c r="L22" i="10"/>
  <c r="L26" i="10"/>
  <c r="L9" i="10"/>
  <c r="L13" i="10"/>
  <c r="X8" i="7"/>
  <c r="L23" i="10"/>
  <c r="L27" i="10"/>
  <c r="L6" i="10"/>
  <c r="L10" i="10"/>
  <c r="L14" i="10"/>
  <c r="AJ25" i="7"/>
  <c r="L22" i="11"/>
  <c r="AJ31" i="7"/>
  <c r="L28" i="11"/>
  <c r="AB31" i="7"/>
  <c r="D28" i="11"/>
  <c r="AD30" i="7"/>
  <c r="F27" i="11"/>
  <c r="AF29" i="7"/>
  <c r="H26" i="11"/>
  <c r="AH28" i="7"/>
  <c r="J25" i="11"/>
  <c r="AJ27" i="7"/>
  <c r="L24" i="11"/>
  <c r="AB27" i="7"/>
  <c r="D24" i="11"/>
  <c r="AD26" i="7"/>
  <c r="F23" i="11"/>
  <c r="AA143" i="7"/>
  <c r="C140" i="11"/>
  <c r="AA135" i="7"/>
  <c r="C132" i="11"/>
  <c r="AA127" i="7"/>
  <c r="C124" i="11"/>
  <c r="AA119" i="7"/>
  <c r="C116" i="11"/>
  <c r="AA111" i="7"/>
  <c r="C108" i="11"/>
  <c r="AA103" i="7"/>
  <c r="C100" i="11"/>
  <c r="AA95" i="7"/>
  <c r="C92" i="11"/>
  <c r="AA87" i="7"/>
  <c r="C84" i="11"/>
  <c r="AA79" i="7"/>
  <c r="C76" i="11"/>
  <c r="AA71" i="7"/>
  <c r="C68" i="11"/>
  <c r="AA63" i="7"/>
  <c r="C60" i="11"/>
  <c r="AA55" i="7"/>
  <c r="C52" i="11"/>
  <c r="AA47" i="7"/>
  <c r="C44" i="11"/>
  <c r="AA39" i="7"/>
  <c r="C36" i="11"/>
  <c r="AE144" i="7"/>
  <c r="G141" i="11"/>
  <c r="AF143" i="7"/>
  <c r="H140" i="11"/>
  <c r="AG142" i="7"/>
  <c r="I139" i="11"/>
  <c r="J138" i="11"/>
  <c r="AH141" i="7"/>
  <c r="AI140" i="7"/>
  <c r="K137" i="11"/>
  <c r="AJ139" i="7"/>
  <c r="L136" i="11"/>
  <c r="AB139" i="7"/>
  <c r="D136" i="11"/>
  <c r="AC138" i="7"/>
  <c r="E135" i="11"/>
  <c r="F134" i="11"/>
  <c r="AD137" i="7"/>
  <c r="AE136" i="7"/>
  <c r="G133" i="11"/>
  <c r="AF135" i="7"/>
  <c r="H132" i="11"/>
  <c r="AG134" i="7"/>
  <c r="I131" i="11"/>
  <c r="J130" i="11"/>
  <c r="AH133" i="7"/>
  <c r="AT34" i="7" s="1"/>
  <c r="AI132" i="7"/>
  <c r="K129" i="11"/>
  <c r="AJ131" i="7"/>
  <c r="L128" i="11"/>
  <c r="AB131" i="7"/>
  <c r="D128" i="11"/>
  <c r="AC130" i="7"/>
  <c r="E127" i="11"/>
  <c r="F126" i="11"/>
  <c r="AD129" i="7"/>
  <c r="AE128" i="7"/>
  <c r="G125" i="11"/>
  <c r="AF127" i="7"/>
  <c r="H124" i="11"/>
  <c r="AG126" i="7"/>
  <c r="I123" i="11"/>
  <c r="J122" i="11"/>
  <c r="AH125" i="7"/>
  <c r="AI124" i="7"/>
  <c r="K121" i="11"/>
  <c r="AJ123" i="7"/>
  <c r="L120" i="11"/>
  <c r="AB123" i="7"/>
  <c r="D120" i="11"/>
  <c r="AC122" i="7"/>
  <c r="E119" i="11"/>
  <c r="F118" i="11"/>
  <c r="AD121" i="7"/>
  <c r="AP33" i="7" s="1"/>
  <c r="AE120" i="7"/>
  <c r="G117" i="11"/>
  <c r="AF119" i="7"/>
  <c r="H116" i="11"/>
  <c r="AG118" i="7"/>
  <c r="I115" i="11"/>
  <c r="AH117" i="7"/>
  <c r="J114" i="11"/>
  <c r="K113" i="11"/>
  <c r="AI116" i="7"/>
  <c r="AJ115" i="7"/>
  <c r="L112" i="11"/>
  <c r="AB115" i="7"/>
  <c r="D112" i="11"/>
  <c r="AC114" i="7"/>
  <c r="E111" i="11"/>
  <c r="AD113" i="7"/>
  <c r="F110" i="11"/>
  <c r="AE112" i="7"/>
  <c r="G109" i="11"/>
  <c r="AF111" i="7"/>
  <c r="H108" i="11"/>
  <c r="AG110" i="7"/>
  <c r="I107" i="11"/>
  <c r="AH109" i="7"/>
  <c r="AT32" i="7" s="1"/>
  <c r="J106" i="11"/>
  <c r="K105" i="11"/>
  <c r="AI108" i="7"/>
  <c r="AJ107" i="7"/>
  <c r="L104" i="11"/>
  <c r="AB107" i="7"/>
  <c r="D104" i="11"/>
  <c r="AC106" i="7"/>
  <c r="E103" i="11"/>
  <c r="AD105" i="7"/>
  <c r="F102" i="11"/>
  <c r="AE104" i="7"/>
  <c r="G101" i="11"/>
  <c r="AF103" i="7"/>
  <c r="H100" i="11"/>
  <c r="AG102" i="7"/>
  <c r="I99" i="11"/>
  <c r="AH101" i="7"/>
  <c r="J98" i="11"/>
  <c r="AI100" i="7"/>
  <c r="K97" i="11"/>
  <c r="AJ99" i="7"/>
  <c r="L96" i="11"/>
  <c r="AB99" i="7"/>
  <c r="D96" i="11"/>
  <c r="AC98" i="7"/>
  <c r="E95" i="11"/>
  <c r="AD97" i="7"/>
  <c r="AP31" i="7" s="1"/>
  <c r="F94" i="11"/>
  <c r="AE96" i="7"/>
  <c r="G93" i="11"/>
  <c r="AF95" i="7"/>
  <c r="H92" i="11"/>
  <c r="AG94" i="7"/>
  <c r="I91" i="11"/>
  <c r="AH93" i="7"/>
  <c r="J90" i="11"/>
  <c r="AI92" i="7"/>
  <c r="K89" i="11"/>
  <c r="AJ91" i="7"/>
  <c r="L88" i="11"/>
  <c r="AB91" i="7"/>
  <c r="D88" i="11"/>
  <c r="AC90" i="7"/>
  <c r="E87" i="11"/>
  <c r="AD89" i="7"/>
  <c r="F86" i="11"/>
  <c r="AE88" i="7"/>
  <c r="G85" i="11"/>
  <c r="AF87" i="7"/>
  <c r="H84" i="11"/>
  <c r="AG86" i="7"/>
  <c r="I83" i="11"/>
  <c r="AH85" i="7"/>
  <c r="AT30" i="7" s="1"/>
  <c r="J82" i="11"/>
  <c r="AI84" i="7"/>
  <c r="K81" i="11"/>
  <c r="AJ83" i="7"/>
  <c r="L80" i="11"/>
  <c r="AB83" i="7"/>
  <c r="D80" i="11"/>
  <c r="AC82" i="7"/>
  <c r="E79" i="11"/>
  <c r="AD81" i="7"/>
  <c r="F78" i="11"/>
  <c r="AE80" i="7"/>
  <c r="G77" i="11"/>
  <c r="AF79" i="7"/>
  <c r="H76" i="11"/>
  <c r="AG78" i="7"/>
  <c r="I75" i="11"/>
  <c r="AH77" i="7"/>
  <c r="J74" i="11"/>
  <c r="AI76" i="7"/>
  <c r="K73" i="11"/>
  <c r="AJ75" i="7"/>
  <c r="L72" i="11"/>
  <c r="AB75" i="7"/>
  <c r="D72" i="11"/>
  <c r="AC74" i="7"/>
  <c r="E71" i="11"/>
  <c r="AD73" i="7"/>
  <c r="AP29" i="7" s="1"/>
  <c r="F70" i="11"/>
  <c r="AE72" i="7"/>
  <c r="G69" i="11"/>
  <c r="AF71" i="7"/>
  <c r="H68" i="11"/>
  <c r="AG70" i="7"/>
  <c r="I67" i="11"/>
  <c r="AH69" i="7"/>
  <c r="J66" i="11"/>
  <c r="AI68" i="7"/>
  <c r="K65" i="11"/>
  <c r="AJ67" i="7"/>
  <c r="L64" i="11"/>
  <c r="AB67" i="7"/>
  <c r="D64" i="11"/>
  <c r="AC66" i="7"/>
  <c r="E63" i="11"/>
  <c r="AD65" i="7"/>
  <c r="F62" i="11"/>
  <c r="AE64" i="7"/>
  <c r="G61" i="11"/>
  <c r="AF63" i="7"/>
  <c r="H60" i="11"/>
  <c r="AG62" i="7"/>
  <c r="I59" i="11"/>
  <c r="AH61" i="7"/>
  <c r="AT28" i="7" s="1"/>
  <c r="J58" i="11"/>
  <c r="AI60" i="7"/>
  <c r="K57" i="11"/>
  <c r="AJ59" i="7"/>
  <c r="L56" i="11"/>
  <c r="AB59" i="7"/>
  <c r="D56" i="11"/>
  <c r="AC58" i="7"/>
  <c r="E55" i="11"/>
  <c r="AD57" i="7"/>
  <c r="F54" i="11"/>
  <c r="AE56" i="7"/>
  <c r="G53" i="11"/>
  <c r="AF55" i="7"/>
  <c r="H52" i="11"/>
  <c r="AG54" i="7"/>
  <c r="I51" i="11"/>
  <c r="AH53" i="7"/>
  <c r="J50" i="11"/>
  <c r="AI52" i="7"/>
  <c r="K49" i="11"/>
  <c r="AJ51" i="7"/>
  <c r="L48" i="11"/>
  <c r="AB51" i="7"/>
  <c r="D48" i="11"/>
  <c r="AC50" i="7"/>
  <c r="E47" i="11"/>
  <c r="AD49" i="7"/>
  <c r="AP27" i="7" s="1"/>
  <c r="F46" i="11"/>
  <c r="AE48" i="7"/>
  <c r="G45" i="11"/>
  <c r="AF47" i="7"/>
  <c r="H44" i="11"/>
  <c r="AG46" i="7"/>
  <c r="I43" i="11"/>
  <c r="AH45" i="7"/>
  <c r="J42" i="11"/>
  <c r="AI44" i="7"/>
  <c r="K41" i="11"/>
  <c r="AJ43" i="7"/>
  <c r="L40" i="11"/>
  <c r="AB43" i="7"/>
  <c r="D40" i="11"/>
  <c r="AC42" i="7"/>
  <c r="E39" i="11"/>
  <c r="AD41" i="7"/>
  <c r="F38" i="11"/>
  <c r="AE40" i="7"/>
  <c r="G37" i="11"/>
  <c r="AF39" i="7"/>
  <c r="H36" i="11"/>
  <c r="AG38" i="7"/>
  <c r="I35" i="11"/>
  <c r="J34" i="11"/>
  <c r="AH37" i="7"/>
  <c r="AT26" i="7" s="1"/>
  <c r="AI36" i="7"/>
  <c r="K33" i="11"/>
  <c r="AJ35" i="7"/>
  <c r="L32" i="11"/>
  <c r="AB35" i="7"/>
  <c r="D32" i="11"/>
  <c r="AC34" i="7"/>
  <c r="E31" i="11"/>
  <c r="AD33" i="7"/>
  <c r="F30" i="11"/>
  <c r="S5" i="7"/>
  <c r="AE32" i="7"/>
  <c r="G29" i="11"/>
  <c r="B148" i="11"/>
  <c r="Z140" i="7"/>
  <c r="B140" i="11"/>
  <c r="Z132" i="7"/>
  <c r="B132" i="11"/>
  <c r="Z124" i="7"/>
  <c r="B124" i="11"/>
  <c r="Z116" i="7"/>
  <c r="B116" i="11"/>
  <c r="Z108" i="7"/>
  <c r="B108" i="11"/>
  <c r="Z100" i="7"/>
  <c r="B100" i="11"/>
  <c r="Z92" i="7"/>
  <c r="B92" i="11"/>
  <c r="Z84" i="7"/>
  <c r="B84" i="11"/>
  <c r="Z76" i="7"/>
  <c r="B76" i="11"/>
  <c r="Z68" i="7"/>
  <c r="B68" i="11"/>
  <c r="Z60" i="7"/>
  <c r="B60" i="11"/>
  <c r="Z52" i="7"/>
  <c r="B52" i="11"/>
  <c r="Z44" i="7"/>
  <c r="B44" i="11"/>
  <c r="Z36" i="7"/>
  <c r="B36" i="11"/>
  <c r="Z28" i="7"/>
  <c r="W4" i="7"/>
  <c r="K14" i="11"/>
  <c r="K20" i="10"/>
  <c r="K24" i="10"/>
  <c r="K28" i="10"/>
  <c r="K7" i="10"/>
  <c r="K11" i="10"/>
  <c r="K15" i="11"/>
  <c r="K19" i="10"/>
  <c r="K21" i="10"/>
  <c r="K25" i="10"/>
  <c r="K8" i="10"/>
  <c r="K12" i="10"/>
  <c r="K22" i="10"/>
  <c r="K26" i="10"/>
  <c r="K9" i="10"/>
  <c r="K13" i="10"/>
  <c r="W8" i="7"/>
  <c r="K23" i="10"/>
  <c r="K27" i="10"/>
  <c r="K6" i="10"/>
  <c r="K10" i="10"/>
  <c r="K14" i="10"/>
  <c r="K13" i="11"/>
  <c r="K5" i="10"/>
  <c r="AI25" i="7"/>
  <c r="K22" i="11"/>
  <c r="AG28" i="7"/>
  <c r="I25" i="11"/>
  <c r="AA27" i="7"/>
  <c r="C24" i="11"/>
  <c r="AA142" i="7"/>
  <c r="C139" i="11"/>
  <c r="AA134" i="7"/>
  <c r="C131" i="11"/>
  <c r="AA118" i="7"/>
  <c r="C115" i="11"/>
  <c r="AA110" i="7"/>
  <c r="C107" i="11"/>
  <c r="AA102" i="7"/>
  <c r="C99" i="11"/>
  <c r="AA94" i="7"/>
  <c r="C91" i="11"/>
  <c r="AA86" i="7"/>
  <c r="C83" i="11"/>
  <c r="AA78" i="7"/>
  <c r="C75" i="11"/>
  <c r="AA70" i="7"/>
  <c r="C67" i="11"/>
  <c r="AA62" i="7"/>
  <c r="C59" i="11"/>
  <c r="AA54" i="7"/>
  <c r="C51" i="11"/>
  <c r="AA46" i="7"/>
  <c r="C43" i="11"/>
  <c r="AA38" i="7"/>
  <c r="C35" i="11"/>
  <c r="AD144" i="7"/>
  <c r="F141" i="11"/>
  <c r="AE143" i="7"/>
  <c r="G140" i="11"/>
  <c r="H139" i="11"/>
  <c r="AF142" i="7"/>
  <c r="AG141" i="7"/>
  <c r="I138" i="11"/>
  <c r="AH140" i="7"/>
  <c r="J137" i="11"/>
  <c r="AI139" i="7"/>
  <c r="K136" i="11"/>
  <c r="L135" i="11"/>
  <c r="AJ138" i="7"/>
  <c r="D135" i="11"/>
  <c r="AB138" i="7"/>
  <c r="AC137" i="7"/>
  <c r="E134" i="11"/>
  <c r="AD136" i="7"/>
  <c r="F133" i="11"/>
  <c r="AE135" i="7"/>
  <c r="G132" i="11"/>
  <c r="H131" i="11"/>
  <c r="AF134" i="7"/>
  <c r="AG133" i="7"/>
  <c r="AS34" i="7" s="1"/>
  <c r="I130" i="11"/>
  <c r="AH132" i="7"/>
  <c r="J129" i="11"/>
  <c r="AI131" i="7"/>
  <c r="K128" i="11"/>
  <c r="L127" i="11"/>
  <c r="AJ130" i="7"/>
  <c r="D127" i="11"/>
  <c r="AB130" i="7"/>
  <c r="AC129" i="7"/>
  <c r="E126" i="11"/>
  <c r="AD128" i="7"/>
  <c r="F125" i="11"/>
  <c r="AE127" i="7"/>
  <c r="G124" i="11"/>
  <c r="H123" i="11"/>
  <c r="AF126" i="7"/>
  <c r="AG125" i="7"/>
  <c r="I122" i="11"/>
  <c r="AH124" i="7"/>
  <c r="J121" i="11"/>
  <c r="AI123" i="7"/>
  <c r="K120" i="11"/>
  <c r="L119" i="11"/>
  <c r="AJ122" i="7"/>
  <c r="D119" i="11"/>
  <c r="AB122" i="7"/>
  <c r="AC121" i="7"/>
  <c r="AO33" i="7" s="1"/>
  <c r="E118" i="11"/>
  <c r="AD120" i="7"/>
  <c r="F117" i="11"/>
  <c r="AE119" i="7"/>
  <c r="G116" i="11"/>
  <c r="AF118" i="7"/>
  <c r="H115" i="11"/>
  <c r="I114" i="11"/>
  <c r="AG117" i="7"/>
  <c r="AH116" i="7"/>
  <c r="J113" i="11"/>
  <c r="AI115" i="7"/>
  <c r="K112" i="11"/>
  <c r="AJ114" i="7"/>
  <c r="L111" i="11"/>
  <c r="AB114" i="7"/>
  <c r="D111" i="11"/>
  <c r="AC113" i="7"/>
  <c r="E110" i="11"/>
  <c r="AD112" i="7"/>
  <c r="F109" i="11"/>
  <c r="AE111" i="7"/>
  <c r="G108" i="11"/>
  <c r="AF110" i="7"/>
  <c r="H107" i="11"/>
  <c r="I106" i="11"/>
  <c r="AG109" i="7"/>
  <c r="AS32" i="7" s="1"/>
  <c r="AH108" i="7"/>
  <c r="J105" i="11"/>
  <c r="AI107" i="7"/>
  <c r="K104" i="11"/>
  <c r="AJ106" i="7"/>
  <c r="L103" i="11"/>
  <c r="AB106" i="7"/>
  <c r="D103" i="11"/>
  <c r="AC105" i="7"/>
  <c r="E102" i="11"/>
  <c r="AD104" i="7"/>
  <c r="F101" i="11"/>
  <c r="AE103" i="7"/>
  <c r="G100" i="11"/>
  <c r="AF102" i="7"/>
  <c r="H99" i="11"/>
  <c r="I98" i="11"/>
  <c r="AG101" i="7"/>
  <c r="AH100" i="7"/>
  <c r="J97" i="11"/>
  <c r="AI99" i="7"/>
  <c r="K96" i="11"/>
  <c r="AJ98" i="7"/>
  <c r="L95" i="11"/>
  <c r="AB98" i="7"/>
  <c r="D95" i="11"/>
  <c r="AC97" i="7"/>
  <c r="AO31" i="7" s="1"/>
  <c r="E94" i="11"/>
  <c r="AD96" i="7"/>
  <c r="F93" i="11"/>
  <c r="AE95" i="7"/>
  <c r="G92" i="11"/>
  <c r="AF94" i="7"/>
  <c r="H91" i="11"/>
  <c r="I90" i="11"/>
  <c r="AG93" i="7"/>
  <c r="AH92" i="7"/>
  <c r="J89" i="11"/>
  <c r="AI91" i="7"/>
  <c r="K88" i="11"/>
  <c r="AJ90" i="7"/>
  <c r="L87" i="11"/>
  <c r="AB90" i="7"/>
  <c r="D87" i="11"/>
  <c r="AC89" i="7"/>
  <c r="E86" i="11"/>
  <c r="AD88" i="7"/>
  <c r="F85" i="11"/>
  <c r="AE87" i="7"/>
  <c r="G84" i="11"/>
  <c r="AF86" i="7"/>
  <c r="H83" i="11"/>
  <c r="I82" i="11"/>
  <c r="AG85" i="7"/>
  <c r="AS30" i="7" s="1"/>
  <c r="AH84" i="7"/>
  <c r="J81" i="11"/>
  <c r="AI83" i="7"/>
  <c r="K80" i="11"/>
  <c r="AJ82" i="7"/>
  <c r="L79" i="11"/>
  <c r="AB82" i="7"/>
  <c r="D79" i="11"/>
  <c r="AC81" i="7"/>
  <c r="E78" i="11"/>
  <c r="AD80" i="7"/>
  <c r="F77" i="11"/>
  <c r="AE79" i="7"/>
  <c r="G76" i="11"/>
  <c r="AF78" i="7"/>
  <c r="H75" i="11"/>
  <c r="I74" i="11"/>
  <c r="AG77" i="7"/>
  <c r="AH76" i="7"/>
  <c r="J73" i="11"/>
  <c r="AI75" i="7"/>
  <c r="K72" i="11"/>
  <c r="AJ74" i="7"/>
  <c r="L71" i="11"/>
  <c r="AB74" i="7"/>
  <c r="D71" i="11"/>
  <c r="AC73" i="7"/>
  <c r="AO29" i="7" s="1"/>
  <c r="E70" i="11"/>
  <c r="AD72" i="7"/>
  <c r="F69" i="11"/>
  <c r="AE71" i="7"/>
  <c r="G68" i="11"/>
  <c r="AF70" i="7"/>
  <c r="H67" i="11"/>
  <c r="I66" i="11"/>
  <c r="AG69" i="7"/>
  <c r="AH68" i="7"/>
  <c r="J65" i="11"/>
  <c r="AI67" i="7"/>
  <c r="K64" i="11"/>
  <c r="AJ66" i="7"/>
  <c r="L63" i="11"/>
  <c r="AB66" i="7"/>
  <c r="D63" i="11"/>
  <c r="AC65" i="7"/>
  <c r="E62" i="11"/>
  <c r="AD64" i="7"/>
  <c r="F61" i="11"/>
  <c r="G60" i="11"/>
  <c r="AE63" i="7"/>
  <c r="AF62" i="7"/>
  <c r="H59" i="11"/>
  <c r="AG61" i="7"/>
  <c r="AS28" i="7" s="1"/>
  <c r="I58" i="11"/>
  <c r="AH60" i="7"/>
  <c r="J57" i="11"/>
  <c r="AI59" i="7"/>
  <c r="K56" i="11"/>
  <c r="AJ58" i="7"/>
  <c r="L55" i="11"/>
  <c r="AB58" i="7"/>
  <c r="D55" i="11"/>
  <c r="AC57" i="7"/>
  <c r="E54" i="11"/>
  <c r="AD56" i="7"/>
  <c r="F53" i="11"/>
  <c r="G52" i="11"/>
  <c r="AE55" i="7"/>
  <c r="AF54" i="7"/>
  <c r="H51" i="11"/>
  <c r="AG53" i="7"/>
  <c r="I50" i="11"/>
  <c r="AH52" i="7"/>
  <c r="J49" i="11"/>
  <c r="AI51" i="7"/>
  <c r="K48" i="11"/>
  <c r="AJ50" i="7"/>
  <c r="L47" i="11"/>
  <c r="AB50" i="7"/>
  <c r="D47" i="11"/>
  <c r="AC49" i="7"/>
  <c r="AO27" i="7" s="1"/>
  <c r="E46" i="11"/>
  <c r="AD48" i="7"/>
  <c r="F45" i="11"/>
  <c r="G44" i="11"/>
  <c r="AE47" i="7"/>
  <c r="AF46" i="7"/>
  <c r="H43" i="11"/>
  <c r="AG45" i="7"/>
  <c r="I42" i="11"/>
  <c r="AH44" i="7"/>
  <c r="J41" i="11"/>
  <c r="K40" i="11"/>
  <c r="AI43" i="7"/>
  <c r="AJ42" i="7"/>
  <c r="L39" i="11"/>
  <c r="AB42" i="7"/>
  <c r="D39" i="11"/>
  <c r="AC41" i="7"/>
  <c r="E38" i="11"/>
  <c r="AD40" i="7"/>
  <c r="F37" i="11"/>
  <c r="AE39" i="7"/>
  <c r="G36" i="11"/>
  <c r="AF38" i="7"/>
  <c r="H35" i="11"/>
  <c r="AG37" i="7"/>
  <c r="AS26" i="7" s="1"/>
  <c r="I34" i="11"/>
  <c r="AH36" i="7"/>
  <c r="J33" i="11"/>
  <c r="AI35" i="7"/>
  <c r="K32" i="11"/>
  <c r="AJ34" i="7"/>
  <c r="L31" i="11"/>
  <c r="AB34" i="7"/>
  <c r="D31" i="11"/>
  <c r="AC33" i="7"/>
  <c r="E30" i="11"/>
  <c r="AD32" i="7"/>
  <c r="F29" i="11"/>
  <c r="B147" i="11"/>
  <c r="Z139" i="7"/>
  <c r="B139" i="11"/>
  <c r="Z131" i="7"/>
  <c r="B131" i="11"/>
  <c r="Z123" i="7"/>
  <c r="B123" i="11"/>
  <c r="Z115" i="7"/>
  <c r="B115" i="11"/>
  <c r="Z107" i="7"/>
  <c r="B107" i="11"/>
  <c r="Z99" i="7"/>
  <c r="B99" i="11"/>
  <c r="Z91" i="7"/>
  <c r="B91" i="11"/>
  <c r="Z83" i="7"/>
  <c r="B83" i="11"/>
  <c r="Z75" i="7"/>
  <c r="B75" i="11"/>
  <c r="Z67" i="7"/>
  <c r="B67" i="11"/>
  <c r="Z59" i="7"/>
  <c r="B59" i="11"/>
  <c r="Z51" i="7"/>
  <c r="B51" i="11"/>
  <c r="Z43" i="7"/>
  <c r="B43" i="11"/>
  <c r="Z35" i="7"/>
  <c r="B35" i="11"/>
  <c r="Z27" i="7"/>
  <c r="AC30" i="7"/>
  <c r="E27" i="11"/>
  <c r="AI27" i="7"/>
  <c r="K24" i="11"/>
  <c r="AC26" i="7"/>
  <c r="E23" i="11"/>
  <c r="AA126" i="7"/>
  <c r="C123" i="11"/>
  <c r="V5" i="7"/>
  <c r="J15" i="11"/>
  <c r="J19" i="10"/>
  <c r="J21" i="10"/>
  <c r="J25" i="10"/>
  <c r="J8" i="10"/>
  <c r="J12" i="10"/>
  <c r="J22" i="10"/>
  <c r="J26" i="10"/>
  <c r="J34" i="10" s="1"/>
  <c r="V12" i="10" s="1"/>
  <c r="J9" i="10"/>
  <c r="J13" i="10"/>
  <c r="V8" i="7"/>
  <c r="V10" i="7" s="1"/>
  <c r="J23" i="10"/>
  <c r="J27" i="10"/>
  <c r="J6" i="10"/>
  <c r="J10" i="10"/>
  <c r="J14" i="10"/>
  <c r="J13" i="11"/>
  <c r="J5" i="10"/>
  <c r="J14" i="11"/>
  <c r="J20" i="10"/>
  <c r="J24" i="10"/>
  <c r="J28" i="10"/>
  <c r="J7" i="10"/>
  <c r="J11" i="10"/>
  <c r="AH25" i="7"/>
  <c r="J22" i="11"/>
  <c r="AH31" i="7"/>
  <c r="J28" i="11"/>
  <c r="AJ30" i="7"/>
  <c r="L27" i="11"/>
  <c r="AB30" i="7"/>
  <c r="D27" i="11"/>
  <c r="AD29" i="7"/>
  <c r="F26" i="11"/>
  <c r="AF28" i="7"/>
  <c r="H25" i="11"/>
  <c r="AH27" i="7"/>
  <c r="J24" i="11"/>
  <c r="AJ26" i="7"/>
  <c r="L23" i="11"/>
  <c r="P4" i="7"/>
  <c r="P7" i="7" s="1"/>
  <c r="AB26" i="7"/>
  <c r="D23" i="11"/>
  <c r="AA141" i="7"/>
  <c r="C138" i="11"/>
  <c r="AA133" i="7"/>
  <c r="AM34" i="7" s="1"/>
  <c r="C130" i="11"/>
  <c r="AA125" i="7"/>
  <c r="C122" i="11"/>
  <c r="AA117" i="7"/>
  <c r="C114" i="11"/>
  <c r="AA109" i="7"/>
  <c r="AM32" i="7" s="1"/>
  <c r="C106" i="11"/>
  <c r="AA101" i="7"/>
  <c r="C98" i="11"/>
  <c r="AA93" i="7"/>
  <c r="C90" i="11"/>
  <c r="AA85" i="7"/>
  <c r="AM30" i="7" s="1"/>
  <c r="C82" i="11"/>
  <c r="AA77" i="7"/>
  <c r="C74" i="11"/>
  <c r="AA69" i="7"/>
  <c r="C66" i="11"/>
  <c r="AA61" i="7"/>
  <c r="AM28" i="7" s="1"/>
  <c r="C58" i="11"/>
  <c r="C50" i="11"/>
  <c r="AA53" i="7"/>
  <c r="AA45" i="7"/>
  <c r="C42" i="11"/>
  <c r="AA37" i="7"/>
  <c r="AM26" i="7" s="1"/>
  <c r="C34" i="11"/>
  <c r="AC144" i="7"/>
  <c r="E141" i="11"/>
  <c r="F140" i="11"/>
  <c r="AD143" i="7"/>
  <c r="AE142" i="7"/>
  <c r="G139" i="11"/>
  <c r="AF141" i="7"/>
  <c r="H138" i="11"/>
  <c r="AG140" i="7"/>
  <c r="I137" i="11"/>
  <c r="J136" i="11"/>
  <c r="AH139" i="7"/>
  <c r="AI138" i="7"/>
  <c r="K135" i="11"/>
  <c r="AJ137" i="7"/>
  <c r="L134" i="11"/>
  <c r="AB137" i="7"/>
  <c r="D134" i="11"/>
  <c r="AC136" i="7"/>
  <c r="E133" i="11"/>
  <c r="F132" i="11"/>
  <c r="AD135" i="7"/>
  <c r="AE134" i="7"/>
  <c r="G131" i="11"/>
  <c r="AF133" i="7"/>
  <c r="AR34" i="7" s="1"/>
  <c r="H130" i="11"/>
  <c r="AG132" i="7"/>
  <c r="I129" i="11"/>
  <c r="J128" i="11"/>
  <c r="AH131" i="7"/>
  <c r="AI130" i="7"/>
  <c r="K127" i="11"/>
  <c r="AJ129" i="7"/>
  <c r="L126" i="11"/>
  <c r="AB129" i="7"/>
  <c r="D126" i="11"/>
  <c r="AC128" i="7"/>
  <c r="E125" i="11"/>
  <c r="F124" i="11"/>
  <c r="AD127" i="7"/>
  <c r="AE126" i="7"/>
  <c r="G123" i="11"/>
  <c r="AF125" i="7"/>
  <c r="H122" i="11"/>
  <c r="AG124" i="7"/>
  <c r="I121" i="11"/>
  <c r="J120" i="11"/>
  <c r="AH123" i="7"/>
  <c r="AI122" i="7"/>
  <c r="K119" i="11"/>
  <c r="AJ121" i="7"/>
  <c r="AV33" i="7" s="1"/>
  <c r="L118" i="11"/>
  <c r="AB121" i="7"/>
  <c r="AN33" i="7" s="1"/>
  <c r="D118" i="11"/>
  <c r="AC120" i="7"/>
  <c r="E117" i="11"/>
  <c r="F116" i="11"/>
  <c r="AD119" i="7"/>
  <c r="G115" i="11"/>
  <c r="AE118" i="7"/>
  <c r="AF117" i="7"/>
  <c r="H114" i="11"/>
  <c r="AG116" i="7"/>
  <c r="I113" i="11"/>
  <c r="AH115" i="7"/>
  <c r="J112" i="11"/>
  <c r="AI114" i="7"/>
  <c r="K111" i="11"/>
  <c r="AJ113" i="7"/>
  <c r="L110" i="11"/>
  <c r="AB113" i="7"/>
  <c r="D110" i="11"/>
  <c r="AC112" i="7"/>
  <c r="E109" i="11"/>
  <c r="AD111" i="7"/>
  <c r="F108" i="11"/>
  <c r="G107" i="11"/>
  <c r="AE110" i="7"/>
  <c r="AF109" i="7"/>
  <c r="AR32" i="7" s="1"/>
  <c r="H106" i="11"/>
  <c r="AG108" i="7"/>
  <c r="I105" i="11"/>
  <c r="AH107" i="7"/>
  <c r="J104" i="11"/>
  <c r="AI106" i="7"/>
  <c r="K103" i="11"/>
  <c r="AJ105" i="7"/>
  <c r="L102" i="11"/>
  <c r="AB105" i="7"/>
  <c r="D102" i="11"/>
  <c r="AC104" i="7"/>
  <c r="E101" i="11"/>
  <c r="AD103" i="7"/>
  <c r="F100" i="11"/>
  <c r="G99" i="11"/>
  <c r="AE102" i="7"/>
  <c r="AF101" i="7"/>
  <c r="H98" i="11"/>
  <c r="AG100" i="7"/>
  <c r="I97" i="11"/>
  <c r="AH99" i="7"/>
  <c r="J96" i="11"/>
  <c r="AI98" i="7"/>
  <c r="K95" i="11"/>
  <c r="AJ97" i="7"/>
  <c r="AV31" i="7" s="1"/>
  <c r="L94" i="11"/>
  <c r="AB97" i="7"/>
  <c r="AN31" i="7" s="1"/>
  <c r="D94" i="11"/>
  <c r="AC96" i="7"/>
  <c r="E93" i="11"/>
  <c r="AD95" i="7"/>
  <c r="F92" i="11"/>
  <c r="AE94" i="7"/>
  <c r="G91" i="11"/>
  <c r="AF93" i="7"/>
  <c r="H90" i="11"/>
  <c r="AG92" i="7"/>
  <c r="I89" i="11"/>
  <c r="AH91" i="7"/>
  <c r="J88" i="11"/>
  <c r="AI90" i="7"/>
  <c r="K87" i="11"/>
  <c r="AJ89" i="7"/>
  <c r="L86" i="11"/>
  <c r="AB89" i="7"/>
  <c r="D86" i="11"/>
  <c r="AC88" i="7"/>
  <c r="E85" i="11"/>
  <c r="AD87" i="7"/>
  <c r="F84" i="11"/>
  <c r="AE86" i="7"/>
  <c r="G83" i="11"/>
  <c r="AF85" i="7"/>
  <c r="AR30" i="7" s="1"/>
  <c r="H82" i="11"/>
  <c r="AG84" i="7"/>
  <c r="I81" i="11"/>
  <c r="AH83" i="7"/>
  <c r="J80" i="11"/>
  <c r="AI82" i="7"/>
  <c r="K79" i="11"/>
  <c r="AJ81" i="7"/>
  <c r="L78" i="11"/>
  <c r="AB81" i="7"/>
  <c r="D78" i="11"/>
  <c r="AC80" i="7"/>
  <c r="E77" i="11"/>
  <c r="AD79" i="7"/>
  <c r="F76" i="11"/>
  <c r="AE78" i="7"/>
  <c r="G75" i="11"/>
  <c r="AF77" i="7"/>
  <c r="H74" i="11"/>
  <c r="AG76" i="7"/>
  <c r="I73" i="11"/>
  <c r="AH75" i="7"/>
  <c r="J72" i="11"/>
  <c r="AI74" i="7"/>
  <c r="K71" i="11"/>
  <c r="AJ73" i="7"/>
  <c r="AV29" i="7" s="1"/>
  <c r="L70" i="11"/>
  <c r="AB73" i="7"/>
  <c r="AN29" i="7" s="1"/>
  <c r="D70" i="11"/>
  <c r="AC72" i="7"/>
  <c r="E69" i="11"/>
  <c r="AD71" i="7"/>
  <c r="F68" i="11"/>
  <c r="AE70" i="7"/>
  <c r="G67" i="11"/>
  <c r="AF69" i="7"/>
  <c r="H66" i="11"/>
  <c r="AG68" i="7"/>
  <c r="I65" i="11"/>
  <c r="AH67" i="7"/>
  <c r="J64" i="11"/>
  <c r="AI66" i="7"/>
  <c r="K63" i="11"/>
  <c r="AJ65" i="7"/>
  <c r="L62" i="11"/>
  <c r="AB65" i="7"/>
  <c r="D62" i="11"/>
  <c r="AC64" i="7"/>
  <c r="E61" i="11"/>
  <c r="AD63" i="7"/>
  <c r="F60" i="11"/>
  <c r="AE62" i="7"/>
  <c r="G59" i="11"/>
  <c r="AF61" i="7"/>
  <c r="AR28" i="7" s="1"/>
  <c r="H58" i="11"/>
  <c r="AG60" i="7"/>
  <c r="I57" i="11"/>
  <c r="AH59" i="7"/>
  <c r="J56" i="11"/>
  <c r="AI58" i="7"/>
  <c r="K55" i="11"/>
  <c r="AJ57" i="7"/>
  <c r="L54" i="11"/>
  <c r="AB57" i="7"/>
  <c r="D54" i="11"/>
  <c r="AC56" i="7"/>
  <c r="E53" i="11"/>
  <c r="AD55" i="7"/>
  <c r="F52" i="11"/>
  <c r="AE54" i="7"/>
  <c r="G51" i="11"/>
  <c r="AF53" i="7"/>
  <c r="H50" i="11"/>
  <c r="I49" i="11"/>
  <c r="AG52" i="7"/>
  <c r="AH51" i="7"/>
  <c r="J48" i="11"/>
  <c r="AI50" i="7"/>
  <c r="K47" i="11"/>
  <c r="AJ49" i="7"/>
  <c r="AV27" i="7" s="1"/>
  <c r="L46" i="11"/>
  <c r="AB49" i="7"/>
  <c r="AN27" i="7" s="1"/>
  <c r="D46" i="11"/>
  <c r="AC48" i="7"/>
  <c r="E45" i="11"/>
  <c r="AD47" i="7"/>
  <c r="F44" i="11"/>
  <c r="AE46" i="7"/>
  <c r="G43" i="11"/>
  <c r="AF45" i="7"/>
  <c r="H42" i="11"/>
  <c r="AG44" i="7"/>
  <c r="I41" i="11"/>
  <c r="AH43" i="7"/>
  <c r="J40" i="11"/>
  <c r="AI42" i="7"/>
  <c r="K39" i="11"/>
  <c r="AJ41" i="7"/>
  <c r="L38" i="11"/>
  <c r="AB41" i="7"/>
  <c r="D38" i="11"/>
  <c r="AC40" i="7"/>
  <c r="E37" i="11"/>
  <c r="AD39" i="7"/>
  <c r="F36" i="11"/>
  <c r="AE38" i="7"/>
  <c r="G35" i="11"/>
  <c r="AF37" i="7"/>
  <c r="AR26" i="7" s="1"/>
  <c r="H34" i="11"/>
  <c r="AG36" i="7"/>
  <c r="I33" i="11"/>
  <c r="AH35" i="7"/>
  <c r="J32" i="11"/>
  <c r="AI34" i="7"/>
  <c r="K31" i="11"/>
  <c r="AJ33" i="7"/>
  <c r="L30" i="11"/>
  <c r="AB33" i="7"/>
  <c r="D30" i="11"/>
  <c r="Q5" i="7"/>
  <c r="AC32" i="7"/>
  <c r="E29" i="11"/>
  <c r="B146" i="11"/>
  <c r="Z138" i="7"/>
  <c r="B138" i="11"/>
  <c r="Z130" i="7"/>
  <c r="B130" i="11"/>
  <c r="Z122" i="7"/>
  <c r="B122" i="11"/>
  <c r="Z114" i="7"/>
  <c r="B114" i="11"/>
  <c r="Z106" i="7"/>
  <c r="B106" i="11"/>
  <c r="Z98" i="7"/>
  <c r="B98" i="11"/>
  <c r="Z90" i="7"/>
  <c r="B90" i="11"/>
  <c r="Z82" i="7"/>
  <c r="B82" i="11"/>
  <c r="Z74" i="7"/>
  <c r="B74" i="11"/>
  <c r="Z66" i="7"/>
  <c r="B66" i="11"/>
  <c r="Z58" i="7"/>
  <c r="B58" i="11"/>
  <c r="Z50" i="7"/>
  <c r="B50" i="11"/>
  <c r="Z42" i="7"/>
  <c r="B42" i="11"/>
  <c r="Z34" i="7"/>
  <c r="B34" i="11"/>
  <c r="Z26" i="7"/>
  <c r="U4" i="7"/>
  <c r="I21" i="10"/>
  <c r="I25" i="10"/>
  <c r="I8" i="10"/>
  <c r="I12" i="10"/>
  <c r="I22" i="10"/>
  <c r="I26" i="10"/>
  <c r="I9" i="10"/>
  <c r="I13" i="10"/>
  <c r="U8" i="7"/>
  <c r="U10" i="7" s="1"/>
  <c r="I23" i="10"/>
  <c r="I27" i="10"/>
  <c r="I6" i="10"/>
  <c r="I10" i="10"/>
  <c r="I14" i="10"/>
  <c r="I13" i="11"/>
  <c r="I5" i="10"/>
  <c r="I14" i="11"/>
  <c r="I20" i="10"/>
  <c r="I24" i="10"/>
  <c r="I28" i="10"/>
  <c r="I7" i="10"/>
  <c r="I11" i="10"/>
  <c r="I15" i="11"/>
  <c r="I19" i="10"/>
  <c r="AG25" i="7"/>
  <c r="I22" i="11"/>
  <c r="AI30" i="7"/>
  <c r="K27" i="11"/>
  <c r="AC29" i="7"/>
  <c r="E26" i="11"/>
  <c r="AG27" i="7"/>
  <c r="I24" i="11"/>
  <c r="AI26" i="7"/>
  <c r="K23" i="11"/>
  <c r="AA140" i="7"/>
  <c r="C137" i="11"/>
  <c r="AA132" i="7"/>
  <c r="C129" i="11"/>
  <c r="AA124" i="7"/>
  <c r="C121" i="11"/>
  <c r="C113" i="11"/>
  <c r="AA116" i="7"/>
  <c r="C105" i="11"/>
  <c r="AA108" i="7"/>
  <c r="C97" i="11"/>
  <c r="AA100" i="7"/>
  <c r="C89" i="11"/>
  <c r="AA92" i="7"/>
  <c r="C81" i="11"/>
  <c r="AA84" i="7"/>
  <c r="C73" i="11"/>
  <c r="AA76" i="7"/>
  <c r="C65" i="11"/>
  <c r="AA68" i="7"/>
  <c r="AA60" i="7"/>
  <c r="C57" i="11"/>
  <c r="AA52" i="7"/>
  <c r="C49" i="11"/>
  <c r="AA44" i="7"/>
  <c r="C41" i="11"/>
  <c r="AA36" i="7"/>
  <c r="C33" i="11"/>
  <c r="L141" i="11"/>
  <c r="AJ144" i="7"/>
  <c r="D141" i="11"/>
  <c r="AB144" i="7"/>
  <c r="AC143" i="7"/>
  <c r="E140" i="11"/>
  <c r="AD142" i="7"/>
  <c r="F139" i="11"/>
  <c r="AE141" i="7"/>
  <c r="G138" i="11"/>
  <c r="H137" i="11"/>
  <c r="AF140" i="7"/>
  <c r="AG139" i="7"/>
  <c r="I136" i="11"/>
  <c r="AH138" i="7"/>
  <c r="J135" i="11"/>
  <c r="AI137" i="7"/>
  <c r="K134" i="11"/>
  <c r="L133" i="11"/>
  <c r="AJ136" i="7"/>
  <c r="D133" i="11"/>
  <c r="AB136" i="7"/>
  <c r="AC135" i="7"/>
  <c r="E132" i="11"/>
  <c r="AD134" i="7"/>
  <c r="F131" i="11"/>
  <c r="AE133" i="7"/>
  <c r="AQ34" i="7" s="1"/>
  <c r="G130" i="11"/>
  <c r="H129" i="11"/>
  <c r="AF132" i="7"/>
  <c r="AG131" i="7"/>
  <c r="I128" i="11"/>
  <c r="AH130" i="7"/>
  <c r="J127" i="11"/>
  <c r="AI129" i="7"/>
  <c r="K126" i="11"/>
  <c r="L125" i="11"/>
  <c r="AJ128" i="7"/>
  <c r="D125" i="11"/>
  <c r="AB128" i="7"/>
  <c r="AC127" i="7"/>
  <c r="E124" i="11"/>
  <c r="AD126" i="7"/>
  <c r="F123" i="11"/>
  <c r="AE125" i="7"/>
  <c r="G122" i="11"/>
  <c r="H121" i="11"/>
  <c r="AF124" i="7"/>
  <c r="AG123" i="7"/>
  <c r="I120" i="11"/>
  <c r="AH122" i="7"/>
  <c r="J119" i="11"/>
  <c r="AI121" i="7"/>
  <c r="AU33" i="7" s="1"/>
  <c r="K118" i="11"/>
  <c r="L117" i="11"/>
  <c r="AJ120" i="7"/>
  <c r="D117" i="11"/>
  <c r="AB120" i="7"/>
  <c r="AC119" i="7"/>
  <c r="E116" i="11"/>
  <c r="AD118" i="7"/>
  <c r="F115" i="11"/>
  <c r="AE117" i="7"/>
  <c r="G114" i="11"/>
  <c r="AF116" i="7"/>
  <c r="H113" i="11"/>
  <c r="AG115" i="7"/>
  <c r="I112" i="11"/>
  <c r="AH114" i="7"/>
  <c r="J111" i="11"/>
  <c r="AI113" i="7"/>
  <c r="K110" i="11"/>
  <c r="AJ112" i="7"/>
  <c r="L109" i="11"/>
  <c r="AB112" i="7"/>
  <c r="D109" i="11"/>
  <c r="E108" i="11"/>
  <c r="AC111" i="7"/>
  <c r="AD110" i="7"/>
  <c r="F107" i="11"/>
  <c r="AE109" i="7"/>
  <c r="AQ32" i="7" s="1"/>
  <c r="G106" i="11"/>
  <c r="AF108" i="7"/>
  <c r="H105" i="11"/>
  <c r="AG107" i="7"/>
  <c r="I104" i="11"/>
  <c r="AH106" i="7"/>
  <c r="J103" i="11"/>
  <c r="AI105" i="7"/>
  <c r="K102" i="11"/>
  <c r="AJ104" i="7"/>
  <c r="L101" i="11"/>
  <c r="AB104" i="7"/>
  <c r="D101" i="11"/>
  <c r="E100" i="11"/>
  <c r="AC103" i="7"/>
  <c r="AD102" i="7"/>
  <c r="F99" i="11"/>
  <c r="AE101" i="7"/>
  <c r="G98" i="11"/>
  <c r="AF100" i="7"/>
  <c r="H97" i="11"/>
  <c r="AG99" i="7"/>
  <c r="I96" i="11"/>
  <c r="AH98" i="7"/>
  <c r="J95" i="11"/>
  <c r="AI97" i="7"/>
  <c r="AU31" i="7" s="1"/>
  <c r="K94" i="11"/>
  <c r="AJ96" i="7"/>
  <c r="L93" i="11"/>
  <c r="AB96" i="7"/>
  <c r="D93" i="11"/>
  <c r="E92" i="11"/>
  <c r="AC95" i="7"/>
  <c r="AD94" i="7"/>
  <c r="F91" i="11"/>
  <c r="AE93" i="7"/>
  <c r="G90" i="11"/>
  <c r="AF92" i="7"/>
  <c r="H89" i="11"/>
  <c r="AG91" i="7"/>
  <c r="I88" i="11"/>
  <c r="AH90" i="7"/>
  <c r="J87" i="11"/>
  <c r="AI89" i="7"/>
  <c r="K86" i="11"/>
  <c r="AJ88" i="7"/>
  <c r="L85" i="11"/>
  <c r="AB88" i="7"/>
  <c r="D85" i="11"/>
  <c r="E84" i="11"/>
  <c r="AC87" i="7"/>
  <c r="AD86" i="7"/>
  <c r="F83" i="11"/>
  <c r="AE85" i="7"/>
  <c r="AQ30" i="7" s="1"/>
  <c r="G82" i="11"/>
  <c r="AF84" i="7"/>
  <c r="H81" i="11"/>
  <c r="AG83" i="7"/>
  <c r="I80" i="11"/>
  <c r="AH82" i="7"/>
  <c r="J79" i="11"/>
  <c r="AI81" i="7"/>
  <c r="K78" i="11"/>
  <c r="AJ80" i="7"/>
  <c r="L77" i="11"/>
  <c r="AB80" i="7"/>
  <c r="D77" i="11"/>
  <c r="E76" i="11"/>
  <c r="AC79" i="7"/>
  <c r="AD78" i="7"/>
  <c r="F75" i="11"/>
  <c r="AE77" i="7"/>
  <c r="G74" i="11"/>
  <c r="AF76" i="7"/>
  <c r="H73" i="11"/>
  <c r="AG75" i="7"/>
  <c r="I72" i="11"/>
  <c r="AH74" i="7"/>
  <c r="J71" i="11"/>
  <c r="AI73" i="7"/>
  <c r="AU29" i="7" s="1"/>
  <c r="K70" i="11"/>
  <c r="AJ72" i="7"/>
  <c r="L69" i="11"/>
  <c r="AB72" i="7"/>
  <c r="D69" i="11"/>
  <c r="E68" i="11"/>
  <c r="AC71" i="7"/>
  <c r="AD70" i="7"/>
  <c r="F67" i="11"/>
  <c r="G66" i="11"/>
  <c r="AE69" i="7"/>
  <c r="AF68" i="7"/>
  <c r="H65" i="11"/>
  <c r="AG67" i="7"/>
  <c r="I64" i="11"/>
  <c r="AH66" i="7"/>
  <c r="J63" i="11"/>
  <c r="AI65" i="7"/>
  <c r="K62" i="11"/>
  <c r="AJ64" i="7"/>
  <c r="L61" i="11"/>
  <c r="AB64" i="7"/>
  <c r="D61" i="11"/>
  <c r="AC63" i="7"/>
  <c r="E60" i="11"/>
  <c r="AD62" i="7"/>
  <c r="F59" i="11"/>
  <c r="AE61" i="7"/>
  <c r="AQ28" i="7" s="1"/>
  <c r="G58" i="11"/>
  <c r="AF60" i="7"/>
  <c r="H57" i="11"/>
  <c r="AG59" i="7"/>
  <c r="I56" i="11"/>
  <c r="AH58" i="7"/>
  <c r="J55" i="11"/>
  <c r="AI57" i="7"/>
  <c r="K54" i="11"/>
  <c r="AJ56" i="7"/>
  <c r="L53" i="11"/>
  <c r="AB56" i="7"/>
  <c r="D53" i="11"/>
  <c r="AC55" i="7"/>
  <c r="E52" i="11"/>
  <c r="AD54" i="7"/>
  <c r="F51" i="11"/>
  <c r="AE53" i="7"/>
  <c r="G50" i="11"/>
  <c r="AF52" i="7"/>
  <c r="H49" i="11"/>
  <c r="AG51" i="7"/>
  <c r="I48" i="11"/>
  <c r="AH50" i="7"/>
  <c r="J47" i="11"/>
  <c r="K46" i="11"/>
  <c r="AI49" i="7"/>
  <c r="AU27" i="7" s="1"/>
  <c r="AJ48" i="7"/>
  <c r="L45" i="11"/>
  <c r="AB48" i="7"/>
  <c r="D45" i="11"/>
  <c r="AC47" i="7"/>
  <c r="E44" i="11"/>
  <c r="AD46" i="7"/>
  <c r="F43" i="11"/>
  <c r="AE45" i="7"/>
  <c r="G42" i="11"/>
  <c r="AF44" i="7"/>
  <c r="H41" i="11"/>
  <c r="AG43" i="7"/>
  <c r="I40" i="11"/>
  <c r="AH42" i="7"/>
  <c r="J39" i="11"/>
  <c r="AI41" i="7"/>
  <c r="K38" i="11"/>
  <c r="AJ40" i="7"/>
  <c r="L37" i="11"/>
  <c r="AB40" i="7"/>
  <c r="D37" i="11"/>
  <c r="AC39" i="7"/>
  <c r="E36" i="11"/>
  <c r="AD38" i="7"/>
  <c r="F35" i="11"/>
  <c r="AE37" i="7"/>
  <c r="AQ26" i="7" s="1"/>
  <c r="G34" i="11"/>
  <c r="AF36" i="7"/>
  <c r="H33" i="11"/>
  <c r="AG35" i="7"/>
  <c r="I32" i="11"/>
  <c r="AH34" i="7"/>
  <c r="J31" i="11"/>
  <c r="AI33" i="7"/>
  <c r="K30" i="11"/>
  <c r="AJ32" i="7"/>
  <c r="L29" i="11"/>
  <c r="AB32" i="7"/>
  <c r="D29" i="11"/>
  <c r="B145" i="11"/>
  <c r="Z137" i="7"/>
  <c r="B137" i="11"/>
  <c r="Z129" i="7"/>
  <c r="B129" i="11"/>
  <c r="Z121" i="7"/>
  <c r="AL33" i="7" s="1"/>
  <c r="B121" i="11"/>
  <c r="Z113" i="7"/>
  <c r="B113" i="11"/>
  <c r="Z105" i="7"/>
  <c r="B105" i="11"/>
  <c r="Z97" i="7"/>
  <c r="AL31" i="7" s="1"/>
  <c r="B97" i="11"/>
  <c r="Z89" i="7"/>
  <c r="B89" i="11"/>
  <c r="Z81" i="7"/>
  <c r="B81" i="11"/>
  <c r="Z73" i="7"/>
  <c r="AL29" i="7" s="1"/>
  <c r="B73" i="11"/>
  <c r="Z65" i="7"/>
  <c r="B65" i="11"/>
  <c r="Z57" i="7"/>
  <c r="B57" i="11"/>
  <c r="Z49" i="7"/>
  <c r="AL27" i="7" s="1"/>
  <c r="B49" i="11"/>
  <c r="Z41" i="7"/>
  <c r="B41" i="11"/>
  <c r="Z33" i="7"/>
  <c r="B33" i="11"/>
  <c r="Z25" i="7"/>
  <c r="AL25" i="7" s="1"/>
  <c r="O4" i="7"/>
  <c r="O5" i="7"/>
  <c r="O10" i="7"/>
  <c r="W10" i="7"/>
  <c r="S10" i="7"/>
  <c r="Q10" i="7"/>
  <c r="X6" i="7"/>
  <c r="V6" i="7"/>
  <c r="T6" i="7"/>
  <c r="R6" i="7"/>
  <c r="P6" i="7"/>
  <c r="X4" i="7"/>
  <c r="V4" i="7"/>
  <c r="T4" i="7"/>
  <c r="R4" i="7"/>
  <c r="X10" i="7"/>
  <c r="T10" i="7"/>
  <c r="R10" i="7"/>
  <c r="P10" i="7"/>
  <c r="W6" i="7"/>
  <c r="U6" i="7"/>
  <c r="S6" i="7"/>
  <c r="Q6" i="7"/>
  <c r="W3" i="7"/>
  <c r="U3" i="7"/>
  <c r="S3" i="7"/>
  <c r="Q3" i="7"/>
  <c r="R13" i="7"/>
  <c r="X13" i="7"/>
  <c r="T13" i="7"/>
  <c r="P13" i="7"/>
  <c r="W13" i="7"/>
  <c r="U13" i="7"/>
  <c r="S13" i="7"/>
  <c r="Q13" i="7"/>
  <c r="O109" i="11" l="1"/>
  <c r="G145" i="11"/>
  <c r="H152" i="11"/>
  <c r="C152" i="11"/>
  <c r="G142" i="11"/>
  <c r="H149" i="11"/>
  <c r="L146" i="11"/>
  <c r="D147" i="11"/>
  <c r="H146" i="11"/>
  <c r="K142" i="11"/>
  <c r="K151" i="11"/>
  <c r="L149" i="11"/>
  <c r="L150" i="11"/>
  <c r="C146" i="11"/>
  <c r="J145" i="11"/>
  <c r="K152" i="11"/>
  <c r="J146" i="11"/>
  <c r="C33" i="10" a="1"/>
  <c r="I147" i="11"/>
  <c r="H145" i="11"/>
  <c r="C145" i="11"/>
  <c r="H147" i="11"/>
  <c r="H148" i="11"/>
  <c r="G148" i="11"/>
  <c r="F142" i="11"/>
  <c r="G149" i="11"/>
  <c r="C148" i="11"/>
  <c r="E142" i="11"/>
  <c r="F149" i="11"/>
  <c r="C149" i="11"/>
  <c r="E143" i="11"/>
  <c r="F150" i="11"/>
  <c r="K150" i="11"/>
  <c r="I145" i="11"/>
  <c r="I144" i="11"/>
  <c r="J144" i="11"/>
  <c r="D143" i="11"/>
  <c r="E150" i="11"/>
  <c r="D144" i="11"/>
  <c r="E151" i="11"/>
  <c r="G152" i="11"/>
  <c r="K143" i="11"/>
  <c r="C151" i="11"/>
  <c r="I152" i="11"/>
  <c r="G147" i="11"/>
  <c r="G146" i="11"/>
  <c r="F148" i="11"/>
  <c r="L143" i="11"/>
  <c r="D151" i="11"/>
  <c r="L144" i="11"/>
  <c r="D152" i="11"/>
  <c r="D150" i="11"/>
  <c r="E148" i="11"/>
  <c r="E149" i="11"/>
  <c r="K144" i="11"/>
  <c r="L151" i="11"/>
  <c r="C147" i="11"/>
  <c r="K145" i="11"/>
  <c r="P57" i="11"/>
  <c r="R57" i="11"/>
  <c r="O57" i="11"/>
  <c r="S57" i="11"/>
  <c r="Q57" i="11"/>
  <c r="V57" i="11" s="1"/>
  <c r="O121" i="11"/>
  <c r="Q121" i="11"/>
  <c r="S121" i="11"/>
  <c r="P121" i="11"/>
  <c r="R121" i="11"/>
  <c r="R89" i="11"/>
  <c r="Q89" i="11"/>
  <c r="P89" i="11"/>
  <c r="S89" i="11"/>
  <c r="R58" i="11"/>
  <c r="P58" i="11"/>
  <c r="O58" i="11"/>
  <c r="Q58" i="11"/>
  <c r="V58" i="11" s="1"/>
  <c r="S58" i="11"/>
  <c r="P90" i="11"/>
  <c r="R90" i="11"/>
  <c r="Q90" i="11"/>
  <c r="V90" i="11" s="1"/>
  <c r="O90" i="11"/>
  <c r="S90" i="11"/>
  <c r="P122" i="11"/>
  <c r="R122" i="11"/>
  <c r="O122" i="11"/>
  <c r="S122" i="11"/>
  <c r="Q122" i="11"/>
  <c r="P51" i="11"/>
  <c r="U51" i="11" s="1"/>
  <c r="R51" i="11"/>
  <c r="Q51" i="11"/>
  <c r="O51" i="11"/>
  <c r="S51" i="11"/>
  <c r="Q83" i="11"/>
  <c r="S83" i="11"/>
  <c r="P83" i="11"/>
  <c r="U83" i="11" s="1"/>
  <c r="R83" i="11"/>
  <c r="O83" i="11"/>
  <c r="O115" i="11"/>
  <c r="Q115" i="11"/>
  <c r="V115" i="11" s="1"/>
  <c r="S115" i="11"/>
  <c r="R115" i="11"/>
  <c r="P115" i="11"/>
  <c r="U115" i="11" s="1"/>
  <c r="AU16" i="7"/>
  <c r="AU18" i="7" s="1"/>
  <c r="AU14" i="7"/>
  <c r="AI16" i="7"/>
  <c r="AI18" i="7" s="1"/>
  <c r="AI12" i="7"/>
  <c r="AI13" i="7"/>
  <c r="AU13" i="7"/>
  <c r="AU25" i="7"/>
  <c r="AI14" i="7"/>
  <c r="AU12" i="7"/>
  <c r="R36" i="11"/>
  <c r="O36" i="11"/>
  <c r="Q36" i="11"/>
  <c r="S36" i="11"/>
  <c r="P36" i="11"/>
  <c r="O68" i="11"/>
  <c r="Q68" i="11"/>
  <c r="S68" i="11"/>
  <c r="P68" i="11"/>
  <c r="U68" i="11" s="1"/>
  <c r="R68" i="11"/>
  <c r="P100" i="11"/>
  <c r="R100" i="11"/>
  <c r="O100" i="11"/>
  <c r="S100" i="11"/>
  <c r="Q100" i="11"/>
  <c r="P132" i="11"/>
  <c r="R132" i="11"/>
  <c r="O132" i="11"/>
  <c r="S132" i="11"/>
  <c r="Q132" i="11"/>
  <c r="O89" i="11"/>
  <c r="R29" i="11"/>
  <c r="O29" i="11"/>
  <c r="S29" i="11"/>
  <c r="Q29" i="11"/>
  <c r="P29" i="11"/>
  <c r="S61" i="11"/>
  <c r="Q61" i="11"/>
  <c r="P61" i="11"/>
  <c r="R61" i="11"/>
  <c r="O61" i="11"/>
  <c r="P93" i="11"/>
  <c r="O93" i="11"/>
  <c r="Q93" i="11"/>
  <c r="S93" i="11"/>
  <c r="R93" i="11"/>
  <c r="O125" i="11"/>
  <c r="Q125" i="11"/>
  <c r="S125" i="11"/>
  <c r="P125" i="11"/>
  <c r="R125" i="11"/>
  <c r="C34" i="10"/>
  <c r="O5" i="10" s="1"/>
  <c r="R17" i="11" a="1"/>
  <c r="R17" i="11" s="1"/>
  <c r="P17" i="11" a="1"/>
  <c r="P17" i="11" s="1"/>
  <c r="S17" i="11" a="1"/>
  <c r="S17" i="11" s="1"/>
  <c r="O17" i="11" a="1"/>
  <c r="O17" i="11" s="1"/>
  <c r="Q17" i="11" a="1"/>
  <c r="Q17" i="11" s="1"/>
  <c r="S7" i="7"/>
  <c r="S9" i="7"/>
  <c r="AE4" i="7"/>
  <c r="S32" i="11"/>
  <c r="P32" i="11"/>
  <c r="R32" i="11"/>
  <c r="O32" i="11"/>
  <c r="Q32" i="11"/>
  <c r="O64" i="11"/>
  <c r="Q64" i="11"/>
  <c r="V64" i="11" s="1"/>
  <c r="S64" i="11"/>
  <c r="P64" i="11"/>
  <c r="R64" i="11"/>
  <c r="O96" i="11"/>
  <c r="S96" i="11"/>
  <c r="Q96" i="11"/>
  <c r="P96" i="11"/>
  <c r="R96" i="11"/>
  <c r="P128" i="11"/>
  <c r="R128" i="11"/>
  <c r="Q128" i="11"/>
  <c r="V128" i="11" s="1"/>
  <c r="O128" i="11"/>
  <c r="S128" i="11"/>
  <c r="S33" i="11"/>
  <c r="Q33" i="11"/>
  <c r="P33" i="11"/>
  <c r="R33" i="11"/>
  <c r="O33" i="11"/>
  <c r="S129" i="11"/>
  <c r="R129" i="11"/>
  <c r="P129" i="11"/>
  <c r="O129" i="11"/>
  <c r="Q129" i="11"/>
  <c r="V129" i="11" s="1"/>
  <c r="W7" i="7"/>
  <c r="W9" i="7"/>
  <c r="AI4" i="7"/>
  <c r="AO13" i="7"/>
  <c r="AO16" i="7"/>
  <c r="AO18" i="7" s="1"/>
  <c r="AC16" i="7"/>
  <c r="AC18" i="7" s="1"/>
  <c r="AC14" i="7"/>
  <c r="AO25" i="7"/>
  <c r="AO20" i="7" s="1"/>
  <c r="AO14" i="7"/>
  <c r="AO12" i="7"/>
  <c r="AC12" i="7"/>
  <c r="AC13" i="7"/>
  <c r="D34" i="10"/>
  <c r="O54" i="11"/>
  <c r="Q54" i="11"/>
  <c r="S54" i="11"/>
  <c r="R54" i="11"/>
  <c r="P54" i="11"/>
  <c r="R86" i="11"/>
  <c r="Q86" i="11"/>
  <c r="O86" i="11"/>
  <c r="S86" i="11"/>
  <c r="P86" i="11"/>
  <c r="Q118" i="11"/>
  <c r="P118" i="11"/>
  <c r="R118" i="11"/>
  <c r="O118" i="11"/>
  <c r="S118" i="11"/>
  <c r="AF20" i="7"/>
  <c r="R55" i="11"/>
  <c r="Q55" i="11"/>
  <c r="S55" i="11"/>
  <c r="O55" i="11"/>
  <c r="P55" i="11"/>
  <c r="O87" i="11"/>
  <c r="Q87" i="11"/>
  <c r="S87" i="11"/>
  <c r="P87" i="11"/>
  <c r="R87" i="11"/>
  <c r="Q119" i="11"/>
  <c r="S119" i="11"/>
  <c r="R119" i="11"/>
  <c r="P119" i="11"/>
  <c r="O119" i="11"/>
  <c r="AG20" i="7"/>
  <c r="T7" i="7"/>
  <c r="T9" i="7"/>
  <c r="AF4" i="7"/>
  <c r="O101" i="11"/>
  <c r="S65" i="11"/>
  <c r="Q65" i="11"/>
  <c r="O65" i="11"/>
  <c r="P65" i="11"/>
  <c r="P97" i="11"/>
  <c r="S97" i="11"/>
  <c r="O97" i="11"/>
  <c r="R97" i="11"/>
  <c r="I34" i="10"/>
  <c r="O34" i="11"/>
  <c r="Q34" i="11"/>
  <c r="V34" i="11" s="1"/>
  <c r="S34" i="11"/>
  <c r="R34" i="11"/>
  <c r="P34" i="11"/>
  <c r="O66" i="11"/>
  <c r="Q66" i="11"/>
  <c r="V66" i="11" s="1"/>
  <c r="S66" i="11"/>
  <c r="R66" i="11"/>
  <c r="P66" i="11"/>
  <c r="P98" i="11"/>
  <c r="R98" i="11"/>
  <c r="Q98" i="11"/>
  <c r="O98" i="11"/>
  <c r="S98" i="11"/>
  <c r="Q130" i="11"/>
  <c r="S130" i="11"/>
  <c r="O130" i="11"/>
  <c r="P130" i="11"/>
  <c r="R130" i="11"/>
  <c r="AC20" i="7"/>
  <c r="S59" i="11"/>
  <c r="P59" i="11"/>
  <c r="R59" i="11"/>
  <c r="Q59" i="11"/>
  <c r="O59" i="11"/>
  <c r="O91" i="11"/>
  <c r="Q91" i="11"/>
  <c r="S91" i="11"/>
  <c r="P91" i="11"/>
  <c r="U91" i="11" s="1"/>
  <c r="R91" i="11"/>
  <c r="O131" i="11"/>
  <c r="Q131" i="11"/>
  <c r="S131" i="11"/>
  <c r="P131" i="11"/>
  <c r="R131" i="11"/>
  <c r="AE5" i="7"/>
  <c r="G33" i="10"/>
  <c r="O44" i="11"/>
  <c r="Q44" i="11"/>
  <c r="S44" i="11"/>
  <c r="P44" i="11"/>
  <c r="R44" i="11"/>
  <c r="R76" i="11"/>
  <c r="O76" i="11"/>
  <c r="S76" i="11"/>
  <c r="Q76" i="11"/>
  <c r="P76" i="11"/>
  <c r="Q108" i="11"/>
  <c r="O108" i="11"/>
  <c r="S108" i="11"/>
  <c r="P108" i="11"/>
  <c r="R108" i="11"/>
  <c r="S140" i="11"/>
  <c r="Q140" i="11"/>
  <c r="P140" i="11"/>
  <c r="R140" i="11"/>
  <c r="O140" i="11"/>
  <c r="AD20" i="7"/>
  <c r="AV14" i="7"/>
  <c r="AV16" i="7"/>
  <c r="AV18" i="7" s="1"/>
  <c r="AJ16" i="7"/>
  <c r="AJ18" i="7" s="1"/>
  <c r="AV13" i="7"/>
  <c r="AJ12" i="7"/>
  <c r="AV12" i="7"/>
  <c r="AJ13" i="7"/>
  <c r="AV25" i="7"/>
  <c r="AV20" i="7" s="1"/>
  <c r="AJ14" i="7"/>
  <c r="R65" i="11"/>
  <c r="Q97" i="11"/>
  <c r="P37" i="11"/>
  <c r="R37" i="11"/>
  <c r="O37" i="11"/>
  <c r="S37" i="11"/>
  <c r="Q37" i="11"/>
  <c r="P69" i="11"/>
  <c r="O69" i="11"/>
  <c r="Q69" i="11"/>
  <c r="S69" i="11"/>
  <c r="R69" i="11"/>
  <c r="P133" i="11"/>
  <c r="O133" i="11"/>
  <c r="Q133" i="11"/>
  <c r="S133" i="11"/>
  <c r="R133" i="11"/>
  <c r="E34" i="10"/>
  <c r="Q5" i="10" s="1"/>
  <c r="Q7" i="7"/>
  <c r="AC4" i="7"/>
  <c r="Q9" i="7"/>
  <c r="Q22" i="11"/>
  <c r="O22" i="11"/>
  <c r="R22" i="11"/>
  <c r="P22" i="11"/>
  <c r="S22" i="11"/>
  <c r="G34" i="10"/>
  <c r="S5" i="10" s="1"/>
  <c r="Q72" i="11"/>
  <c r="P72" i="11"/>
  <c r="R72" i="11"/>
  <c r="O72" i="11"/>
  <c r="S72" i="11"/>
  <c r="P104" i="11"/>
  <c r="U104" i="11" s="1"/>
  <c r="R104" i="11"/>
  <c r="Q104" i="11"/>
  <c r="O104" i="11"/>
  <c r="S104" i="11"/>
  <c r="R136" i="11"/>
  <c r="O136" i="11"/>
  <c r="S136" i="11"/>
  <c r="Q136" i="11"/>
  <c r="V136" i="11" s="1"/>
  <c r="P136" i="11"/>
  <c r="S27" i="11"/>
  <c r="P27" i="11"/>
  <c r="R27" i="11"/>
  <c r="Q27" i="11"/>
  <c r="O27" i="11"/>
  <c r="Q41" i="11"/>
  <c r="P41" i="11"/>
  <c r="R41" i="11"/>
  <c r="O41" i="11"/>
  <c r="S41" i="11"/>
  <c r="O137" i="11"/>
  <c r="Q137" i="11"/>
  <c r="S137" i="11"/>
  <c r="R137" i="11"/>
  <c r="P137" i="11"/>
  <c r="U137" i="11" s="1"/>
  <c r="AI20" i="7"/>
  <c r="AG16" i="7"/>
  <c r="AG18" i="7" s="1"/>
  <c r="AS16" i="7"/>
  <c r="AS18" i="7" s="1"/>
  <c r="AS13" i="7"/>
  <c r="AS12" i="7"/>
  <c r="AG12" i="7"/>
  <c r="AG13" i="7"/>
  <c r="AS25" i="7"/>
  <c r="AS20" i="7" s="1"/>
  <c r="AG14" i="7"/>
  <c r="AS14" i="7"/>
  <c r="O24" i="11"/>
  <c r="Q24" i="11"/>
  <c r="V24" i="11" s="1"/>
  <c r="S24" i="11"/>
  <c r="P24" i="11"/>
  <c r="R24" i="11"/>
  <c r="AJ5" i="7"/>
  <c r="L33" i="10"/>
  <c r="S101" i="11"/>
  <c r="R101" i="11"/>
  <c r="Q101" i="11"/>
  <c r="P101" i="11"/>
  <c r="U101" i="11" s="1"/>
  <c r="AE20" i="7"/>
  <c r="AP25" i="7"/>
  <c r="AP20" i="7" s="1"/>
  <c r="AP16" i="7"/>
  <c r="AP18" i="7" s="1"/>
  <c r="AD16" i="7"/>
  <c r="AD18" i="7" s="1"/>
  <c r="AD13" i="7"/>
  <c r="AD14" i="7"/>
  <c r="AP14" i="7"/>
  <c r="AP13" i="7"/>
  <c r="AP12" i="7"/>
  <c r="AD12" i="7"/>
  <c r="O30" i="11"/>
  <c r="Q30" i="11"/>
  <c r="S30" i="11"/>
  <c r="R30" i="11"/>
  <c r="P30" i="11"/>
  <c r="S62" i="11"/>
  <c r="R62" i="11"/>
  <c r="P62" i="11"/>
  <c r="O62" i="11"/>
  <c r="Q62" i="11"/>
  <c r="S94" i="11"/>
  <c r="O94" i="11"/>
  <c r="P94" i="11"/>
  <c r="U94" i="11" s="1"/>
  <c r="R94" i="11"/>
  <c r="Q94" i="11"/>
  <c r="P126" i="11"/>
  <c r="R126" i="11"/>
  <c r="O126" i="11"/>
  <c r="S126" i="11"/>
  <c r="Q126" i="11"/>
  <c r="AM14" i="7"/>
  <c r="AM16" i="7"/>
  <c r="AM18" i="7" s="1"/>
  <c r="AA16" i="7"/>
  <c r="AA18" i="7" s="1"/>
  <c r="AA14" i="7"/>
  <c r="AM13" i="7"/>
  <c r="AM12" i="7"/>
  <c r="AM25" i="7"/>
  <c r="AM20" i="7" s="1"/>
  <c r="AA13" i="7"/>
  <c r="AA12" i="7"/>
  <c r="AA17" i="7" s="1"/>
  <c r="P31" i="11"/>
  <c r="R31" i="11"/>
  <c r="Q31" i="11"/>
  <c r="S31" i="11"/>
  <c r="O31" i="11"/>
  <c r="P63" i="11"/>
  <c r="R63" i="11"/>
  <c r="Q63" i="11"/>
  <c r="S63" i="11"/>
  <c r="O63" i="11"/>
  <c r="P95" i="11"/>
  <c r="R95" i="11"/>
  <c r="O95" i="11"/>
  <c r="Q95" i="11"/>
  <c r="V95" i="11" s="1"/>
  <c r="S95" i="11"/>
  <c r="O127" i="11"/>
  <c r="Q127" i="11"/>
  <c r="S127" i="11"/>
  <c r="R127" i="11"/>
  <c r="P127" i="11"/>
  <c r="AI5" i="7"/>
  <c r="K33" i="10"/>
  <c r="Q40" i="11"/>
  <c r="R40" i="11"/>
  <c r="S40" i="11"/>
  <c r="P40" i="11"/>
  <c r="O40" i="11"/>
  <c r="U7" i="7"/>
  <c r="AG4" i="7"/>
  <c r="U9" i="7"/>
  <c r="Q42" i="11"/>
  <c r="S42" i="11"/>
  <c r="R42" i="11"/>
  <c r="P42" i="11"/>
  <c r="O42" i="11"/>
  <c r="Q74" i="11"/>
  <c r="O74" i="11"/>
  <c r="S74" i="11"/>
  <c r="P74" i="11"/>
  <c r="R74" i="11"/>
  <c r="P106" i="11"/>
  <c r="R106" i="11"/>
  <c r="O106" i="11"/>
  <c r="S106" i="11"/>
  <c r="Q106" i="11"/>
  <c r="P138" i="11"/>
  <c r="R138" i="11"/>
  <c r="Q138" i="11"/>
  <c r="S138" i="11"/>
  <c r="O138" i="11"/>
  <c r="V5" i="10"/>
  <c r="P35" i="11"/>
  <c r="R35" i="11"/>
  <c r="Q35" i="11"/>
  <c r="O35" i="11"/>
  <c r="S35" i="11"/>
  <c r="P67" i="11"/>
  <c r="R67" i="11"/>
  <c r="Q67" i="11"/>
  <c r="O67" i="11"/>
  <c r="S67" i="11"/>
  <c r="O99" i="11"/>
  <c r="Q99" i="11"/>
  <c r="S99" i="11"/>
  <c r="P99" i="11"/>
  <c r="R99" i="11"/>
  <c r="P139" i="11"/>
  <c r="R139" i="11"/>
  <c r="O139" i="11"/>
  <c r="Q139" i="11"/>
  <c r="S139" i="11"/>
  <c r="O52" i="11"/>
  <c r="Q52" i="11"/>
  <c r="S52" i="11"/>
  <c r="P52" i="11"/>
  <c r="R52" i="11"/>
  <c r="S84" i="11"/>
  <c r="Q84" i="11"/>
  <c r="P84" i="11"/>
  <c r="R84" i="11"/>
  <c r="O84" i="11"/>
  <c r="P116" i="11"/>
  <c r="R116" i="11"/>
  <c r="Q116" i="11"/>
  <c r="V116" i="11" s="1"/>
  <c r="O116" i="11"/>
  <c r="S116" i="11"/>
  <c r="O73" i="11"/>
  <c r="Q105" i="11"/>
  <c r="P45" i="11"/>
  <c r="R45" i="11"/>
  <c r="O45" i="11"/>
  <c r="S45" i="11"/>
  <c r="Q45" i="11"/>
  <c r="Q77" i="11"/>
  <c r="S77" i="11"/>
  <c r="R77" i="11"/>
  <c r="P77" i="11"/>
  <c r="O77" i="11"/>
  <c r="O141" i="11"/>
  <c r="Q141" i="11"/>
  <c r="S141" i="11"/>
  <c r="R141" i="11"/>
  <c r="P141" i="11"/>
  <c r="AN16" i="7"/>
  <c r="AN18" i="7" s="1"/>
  <c r="AB16" i="7"/>
  <c r="AB18" i="7" s="1"/>
  <c r="AN25" i="7"/>
  <c r="AN14" i="7"/>
  <c r="AN13" i="7"/>
  <c r="AN12" i="7"/>
  <c r="AB12" i="7"/>
  <c r="AB13" i="7"/>
  <c r="AB14" i="7"/>
  <c r="AD5" i="7"/>
  <c r="F33" i="10"/>
  <c r="O11" i="10"/>
  <c r="Q48" i="11"/>
  <c r="S48" i="11"/>
  <c r="P48" i="11"/>
  <c r="R48" i="11"/>
  <c r="O48" i="11"/>
  <c r="P80" i="11"/>
  <c r="U80" i="11" s="1"/>
  <c r="R80" i="11"/>
  <c r="O80" i="11"/>
  <c r="S80" i="11"/>
  <c r="Q80" i="11"/>
  <c r="P112" i="11"/>
  <c r="R112" i="11"/>
  <c r="Q112" i="11"/>
  <c r="O112" i="11"/>
  <c r="S112" i="11"/>
  <c r="AF16" i="7"/>
  <c r="AF18" i="7" s="1"/>
  <c r="AR16" i="7"/>
  <c r="AR18" i="7" s="1"/>
  <c r="AR14" i="7"/>
  <c r="AR13" i="7"/>
  <c r="AF12" i="7"/>
  <c r="AR12" i="7"/>
  <c r="AF13" i="7"/>
  <c r="AR25" i="7"/>
  <c r="AR20" i="7" s="1"/>
  <c r="AF14" i="7"/>
  <c r="AB20" i="7"/>
  <c r="O49" i="11"/>
  <c r="S49" i="11"/>
  <c r="Q49" i="11"/>
  <c r="P49" i="11"/>
  <c r="R49" i="11"/>
  <c r="AC5" i="7"/>
  <c r="E33" i="10"/>
  <c r="P9" i="7"/>
  <c r="AB4" i="7"/>
  <c r="AT16" i="7"/>
  <c r="AT18" i="7" s="1"/>
  <c r="AH16" i="7"/>
  <c r="AH18" i="7" s="1"/>
  <c r="AT14" i="7"/>
  <c r="AT12" i="7"/>
  <c r="AH12" i="7"/>
  <c r="AH13" i="7"/>
  <c r="AT25" i="7"/>
  <c r="AH14" i="7"/>
  <c r="AT13" i="7"/>
  <c r="AT20" i="7"/>
  <c r="L34" i="10"/>
  <c r="R109" i="11"/>
  <c r="P109" i="11"/>
  <c r="U109" i="11" s="1"/>
  <c r="S109" i="11"/>
  <c r="Q109" i="11"/>
  <c r="V109" i="11" s="1"/>
  <c r="P12" i="10"/>
  <c r="AB5" i="7"/>
  <c r="D33" i="10"/>
  <c r="AG5" i="7"/>
  <c r="I33" i="10"/>
  <c r="Q38" i="11"/>
  <c r="S38" i="11"/>
  <c r="R38" i="11"/>
  <c r="P38" i="11"/>
  <c r="O38" i="11"/>
  <c r="P70" i="11"/>
  <c r="R70" i="11"/>
  <c r="Q70" i="11"/>
  <c r="O70" i="11"/>
  <c r="S70" i="11"/>
  <c r="S102" i="11"/>
  <c r="O102" i="11"/>
  <c r="P102" i="11"/>
  <c r="U102" i="11" s="1"/>
  <c r="R102" i="11"/>
  <c r="Q102" i="11"/>
  <c r="S134" i="11"/>
  <c r="P134" i="11"/>
  <c r="R134" i="11"/>
  <c r="Q134" i="11"/>
  <c r="O134" i="11"/>
  <c r="O12" i="10"/>
  <c r="O7" i="10"/>
  <c r="O28" i="11"/>
  <c r="Q28" i="11"/>
  <c r="V28" i="11" s="1"/>
  <c r="S28" i="11"/>
  <c r="P28" i="11"/>
  <c r="U28" i="11" s="1"/>
  <c r="R28" i="11"/>
  <c r="P39" i="11"/>
  <c r="R39" i="11"/>
  <c r="Q39" i="11"/>
  <c r="S39" i="11"/>
  <c r="O39" i="11"/>
  <c r="R71" i="11"/>
  <c r="O71" i="11"/>
  <c r="Q71" i="11"/>
  <c r="S71" i="11"/>
  <c r="P71" i="11"/>
  <c r="S103" i="11"/>
  <c r="R103" i="11"/>
  <c r="P103" i="11"/>
  <c r="O103" i="11"/>
  <c r="Q103" i="11"/>
  <c r="Q135" i="11"/>
  <c r="V135" i="11" s="1"/>
  <c r="S135" i="11"/>
  <c r="P135" i="11"/>
  <c r="U135" i="11" s="1"/>
  <c r="R135" i="11"/>
  <c r="O135" i="11"/>
  <c r="AF5" i="7"/>
  <c r="H33" i="10"/>
  <c r="R7" i="7"/>
  <c r="R9" i="7"/>
  <c r="AD4" i="7"/>
  <c r="X7" i="7"/>
  <c r="AJ4" i="7"/>
  <c r="X9" i="7"/>
  <c r="R105" i="11"/>
  <c r="S105" i="11"/>
  <c r="P105" i="11"/>
  <c r="O105" i="11"/>
  <c r="V105" i="11" s="1"/>
  <c r="O81" i="11"/>
  <c r="R81" i="11"/>
  <c r="P81" i="11"/>
  <c r="S81" i="11"/>
  <c r="P113" i="11"/>
  <c r="R113" i="11"/>
  <c r="S113" i="11"/>
  <c r="O113" i="11"/>
  <c r="U12" i="10"/>
  <c r="S82" i="11"/>
  <c r="P82" i="11"/>
  <c r="R82" i="11"/>
  <c r="Q82" i="11"/>
  <c r="O82" i="11"/>
  <c r="O114" i="11"/>
  <c r="S114" i="11"/>
  <c r="Q114" i="11"/>
  <c r="P114" i="11"/>
  <c r="R114" i="11"/>
  <c r="AH12" i="10"/>
  <c r="AH26" i="10" s="1"/>
  <c r="V26" i="10"/>
  <c r="J33" i="10"/>
  <c r="AH5" i="7"/>
  <c r="P43" i="11"/>
  <c r="R43" i="11"/>
  <c r="Q43" i="11"/>
  <c r="O43" i="11"/>
  <c r="S43" i="11"/>
  <c r="R75" i="11"/>
  <c r="O75" i="11"/>
  <c r="Q75" i="11"/>
  <c r="V75" i="11" s="1"/>
  <c r="S75" i="11"/>
  <c r="P75" i="11"/>
  <c r="S107" i="11"/>
  <c r="R107" i="11"/>
  <c r="P107" i="11"/>
  <c r="O107" i="11"/>
  <c r="Q107" i="11"/>
  <c r="K34" i="10"/>
  <c r="W5" i="10" s="1"/>
  <c r="S60" i="11"/>
  <c r="P60" i="11"/>
  <c r="R60" i="11"/>
  <c r="O60" i="11"/>
  <c r="Q60" i="11"/>
  <c r="P92" i="11"/>
  <c r="R92" i="11"/>
  <c r="O92" i="11"/>
  <c r="S92" i="11"/>
  <c r="Q92" i="11"/>
  <c r="O124" i="11"/>
  <c r="S124" i="11"/>
  <c r="P124" i="11"/>
  <c r="R124" i="11"/>
  <c r="Q124" i="11"/>
  <c r="Q81" i="11"/>
  <c r="Q113" i="11"/>
  <c r="P53" i="11"/>
  <c r="R53" i="11"/>
  <c r="O53" i="11"/>
  <c r="S53" i="11"/>
  <c r="Q53" i="11"/>
  <c r="O85" i="11"/>
  <c r="Q85" i="11"/>
  <c r="V85" i="11" s="1"/>
  <c r="S85" i="11"/>
  <c r="R85" i="11"/>
  <c r="P85" i="11"/>
  <c r="R117" i="11"/>
  <c r="O117" i="11"/>
  <c r="Q117" i="11"/>
  <c r="S117" i="11"/>
  <c r="P117" i="11"/>
  <c r="U117" i="11" s="1"/>
  <c r="P25" i="11"/>
  <c r="R25" i="11"/>
  <c r="O25" i="11"/>
  <c r="S25" i="11"/>
  <c r="Q25" i="11"/>
  <c r="R26" i="11"/>
  <c r="P26" i="11"/>
  <c r="O26" i="11"/>
  <c r="Q26" i="11"/>
  <c r="S26" i="11"/>
  <c r="P88" i="11"/>
  <c r="R88" i="11"/>
  <c r="O88" i="11"/>
  <c r="S88" i="11"/>
  <c r="Q88" i="11"/>
  <c r="R120" i="11"/>
  <c r="Q120" i="11"/>
  <c r="O120" i="11"/>
  <c r="S120" i="11"/>
  <c r="P120" i="11"/>
  <c r="AH20" i="7"/>
  <c r="H34" i="10"/>
  <c r="T11" i="10" s="1"/>
  <c r="Q23" i="11"/>
  <c r="S23" i="11"/>
  <c r="O23" i="11"/>
  <c r="P23" i="11"/>
  <c r="R23" i="11"/>
  <c r="V7" i="7"/>
  <c r="AH4" i="7"/>
  <c r="V9" i="7"/>
  <c r="P73" i="11"/>
  <c r="S73" i="11"/>
  <c r="R73" i="11"/>
  <c r="Q73" i="11"/>
  <c r="O50" i="11"/>
  <c r="Q50" i="11"/>
  <c r="S50" i="11"/>
  <c r="R50" i="11"/>
  <c r="P50" i="11"/>
  <c r="AJ20" i="7"/>
  <c r="R123" i="11"/>
  <c r="P123" i="11"/>
  <c r="O123" i="11"/>
  <c r="Q123" i="11"/>
  <c r="S123" i="11"/>
  <c r="AU20" i="7"/>
  <c r="F34" i="10"/>
  <c r="R12" i="10" s="1"/>
  <c r="AN20" i="7"/>
  <c r="O46" i="11"/>
  <c r="Q46" i="11"/>
  <c r="S46" i="11"/>
  <c r="R46" i="11"/>
  <c r="P46" i="11"/>
  <c r="P78" i="11"/>
  <c r="R78" i="11"/>
  <c r="Q78" i="11"/>
  <c r="O78" i="11"/>
  <c r="S78" i="11"/>
  <c r="P110" i="11"/>
  <c r="R110" i="11"/>
  <c r="O110" i="11"/>
  <c r="S110" i="11"/>
  <c r="Q110" i="11"/>
  <c r="S47" i="11"/>
  <c r="O47" i="11"/>
  <c r="P47" i="11"/>
  <c r="R47" i="11"/>
  <c r="Q47" i="11"/>
  <c r="Q79" i="11"/>
  <c r="S79" i="11"/>
  <c r="P79" i="11"/>
  <c r="R79" i="11"/>
  <c r="O79" i="11"/>
  <c r="O111" i="11"/>
  <c r="Q111" i="11"/>
  <c r="S111" i="11"/>
  <c r="R111" i="11"/>
  <c r="P111" i="11"/>
  <c r="AQ12" i="7"/>
  <c r="AQ16" i="7"/>
  <c r="AQ18" i="7" s="1"/>
  <c r="AE16" i="7"/>
  <c r="AE18" i="7" s="1"/>
  <c r="AE12" i="7"/>
  <c r="AQ14" i="7"/>
  <c r="AE13" i="7"/>
  <c r="AQ13" i="7"/>
  <c r="AQ25" i="7"/>
  <c r="AQ20" i="7" s="1"/>
  <c r="AE14" i="7"/>
  <c r="Q56" i="11"/>
  <c r="O56" i="11"/>
  <c r="R56" i="11"/>
  <c r="P56" i="11"/>
  <c r="S56" i="11"/>
  <c r="AA20" i="7"/>
  <c r="AA5" i="7"/>
  <c r="C33" i="10"/>
  <c r="O9" i="7"/>
  <c r="AA4" i="7"/>
  <c r="O7" i="7"/>
  <c r="AA15" i="7"/>
  <c r="U60" i="11" l="1"/>
  <c r="V69" i="11"/>
  <c r="U25" i="11"/>
  <c r="U95" i="11"/>
  <c r="V31" i="11"/>
  <c r="U126" i="11"/>
  <c r="V100" i="11"/>
  <c r="U46" i="11"/>
  <c r="O8" i="10"/>
  <c r="U130" i="11"/>
  <c r="U98" i="11"/>
  <c r="V78" i="11"/>
  <c r="V79" i="11"/>
  <c r="V47" i="11"/>
  <c r="U67" i="11"/>
  <c r="U31" i="11"/>
  <c r="U66" i="11"/>
  <c r="U26" i="11"/>
  <c r="V25" i="11"/>
  <c r="U107" i="11"/>
  <c r="X8" i="10"/>
  <c r="V131" i="11"/>
  <c r="U64" i="11"/>
  <c r="U5" i="10"/>
  <c r="V76" i="11"/>
  <c r="V121" i="11"/>
  <c r="P9" i="10"/>
  <c r="P23" i="10" s="1"/>
  <c r="P147" i="11"/>
  <c r="R147" i="11"/>
  <c r="O147" i="11"/>
  <c r="Q147" i="11"/>
  <c r="V147" i="11" s="1"/>
  <c r="S147" i="11"/>
  <c r="U42" i="11"/>
  <c r="S6" i="10"/>
  <c r="V108" i="11"/>
  <c r="V59" i="11"/>
  <c r="U93" i="11"/>
  <c r="P5" i="10"/>
  <c r="S11" i="10"/>
  <c r="U119" i="11"/>
  <c r="U32" i="11"/>
  <c r="U132" i="11"/>
  <c r="R144" i="11"/>
  <c r="O144" i="11"/>
  <c r="S144" i="11"/>
  <c r="Q144" i="11"/>
  <c r="P144" i="11"/>
  <c r="U144" i="11" s="1"/>
  <c r="U40" i="11"/>
  <c r="V56" i="11"/>
  <c r="X6" i="10"/>
  <c r="U106" i="11"/>
  <c r="U41" i="11"/>
  <c r="S8" i="10"/>
  <c r="X11" i="10"/>
  <c r="U123" i="11"/>
  <c r="V73" i="11"/>
  <c r="S12" i="10"/>
  <c r="U92" i="11"/>
  <c r="V82" i="11"/>
  <c r="U113" i="11"/>
  <c r="V134" i="11"/>
  <c r="Q12" i="10"/>
  <c r="AC12" i="10" s="1"/>
  <c r="AC26" i="10" s="1"/>
  <c r="V138" i="11"/>
  <c r="V63" i="11"/>
  <c r="O6" i="10"/>
  <c r="V41" i="11"/>
  <c r="U37" i="11"/>
  <c r="V140" i="11"/>
  <c r="U59" i="11"/>
  <c r="U55" i="11"/>
  <c r="V68" i="11"/>
  <c r="U90" i="11"/>
  <c r="O149" i="11"/>
  <c r="R149" i="11"/>
  <c r="S149" i="11"/>
  <c r="P149" i="11"/>
  <c r="Q149" i="11"/>
  <c r="P146" i="11"/>
  <c r="U146" i="11" s="1"/>
  <c r="R146" i="11"/>
  <c r="Q146" i="11"/>
  <c r="S146" i="11"/>
  <c r="O146" i="11"/>
  <c r="T14" i="10"/>
  <c r="AF14" i="10" s="1"/>
  <c r="AF28" i="10" s="1"/>
  <c r="U84" i="11"/>
  <c r="U118" i="11"/>
  <c r="U33" i="11"/>
  <c r="U128" i="11"/>
  <c r="U61" i="11"/>
  <c r="V83" i="11"/>
  <c r="R143" i="11"/>
  <c r="O143" i="11"/>
  <c r="Q143" i="11"/>
  <c r="S143" i="11"/>
  <c r="P143" i="11"/>
  <c r="P145" i="11"/>
  <c r="U145" i="11" s="1"/>
  <c r="O145" i="11"/>
  <c r="S145" i="11"/>
  <c r="Q145" i="11"/>
  <c r="V145" i="11" s="1"/>
  <c r="R145" i="11"/>
  <c r="R15" i="11" s="1"/>
  <c r="T9" i="10"/>
  <c r="X9" i="10"/>
  <c r="V42" i="11"/>
  <c r="U30" i="11"/>
  <c r="R14" i="10"/>
  <c r="AD14" i="10" s="1"/>
  <c r="AD28" i="10" s="1"/>
  <c r="U82" i="11"/>
  <c r="U81" i="11"/>
  <c r="U103" i="11"/>
  <c r="V38" i="11"/>
  <c r="V80" i="11"/>
  <c r="V77" i="11"/>
  <c r="V84" i="11"/>
  <c r="V35" i="11"/>
  <c r="U138" i="11"/>
  <c r="V126" i="11"/>
  <c r="V101" i="11"/>
  <c r="AE6" i="7"/>
  <c r="V33" i="11"/>
  <c r="S150" i="11"/>
  <c r="O150" i="11"/>
  <c r="R150" i="11"/>
  <c r="P150" i="11"/>
  <c r="Q150" i="11"/>
  <c r="S142" i="11"/>
  <c r="S13" i="11" s="1"/>
  <c r="P142" i="11"/>
  <c r="R142" i="11"/>
  <c r="Q142" i="11"/>
  <c r="O142" i="11"/>
  <c r="O15" i="11" s="1"/>
  <c r="O152" i="11"/>
  <c r="P152" i="11"/>
  <c r="S152" i="11"/>
  <c r="Q152" i="11"/>
  <c r="R152" i="11"/>
  <c r="U105" i="11"/>
  <c r="U48" i="11"/>
  <c r="T6" i="10"/>
  <c r="W6" i="10"/>
  <c r="W20" i="10" s="1"/>
  <c r="U134" i="11"/>
  <c r="U111" i="11"/>
  <c r="U78" i="11"/>
  <c r="P14" i="10"/>
  <c r="W11" i="10"/>
  <c r="W25" i="10" s="1"/>
  <c r="U50" i="11"/>
  <c r="U73" i="11"/>
  <c r="V88" i="11"/>
  <c r="U85" i="11"/>
  <c r="AC6" i="7"/>
  <c r="V48" i="11"/>
  <c r="V106" i="11"/>
  <c r="AG7" i="7"/>
  <c r="AI6" i="7"/>
  <c r="U108" i="11"/>
  <c r="V11" i="10"/>
  <c r="V25" i="10" s="1"/>
  <c r="V98" i="11"/>
  <c r="V55" i="11"/>
  <c r="O13" i="10"/>
  <c r="AA13" i="10" s="1"/>
  <c r="AA27" i="10" s="1"/>
  <c r="U121" i="11"/>
  <c r="U57" i="11"/>
  <c r="P151" i="11"/>
  <c r="U151" i="11" s="1"/>
  <c r="Q151" i="11"/>
  <c r="V151" i="11" s="1"/>
  <c r="R151" i="11"/>
  <c r="S151" i="11"/>
  <c r="O151" i="11"/>
  <c r="R148" i="11"/>
  <c r="O148" i="11"/>
  <c r="S148" i="11"/>
  <c r="Q148" i="11"/>
  <c r="P148" i="11"/>
  <c r="U148" i="11" s="1"/>
  <c r="U88" i="11"/>
  <c r="U56" i="11"/>
  <c r="Q14" i="10"/>
  <c r="W9" i="10"/>
  <c r="AI9" i="10" s="1"/>
  <c r="AI23" i="10" s="1"/>
  <c r="V92" i="11"/>
  <c r="U7" i="10"/>
  <c r="V133" i="11"/>
  <c r="V37" i="11"/>
  <c r="U131" i="11"/>
  <c r="V96" i="11"/>
  <c r="V32" i="11"/>
  <c r="U100" i="11"/>
  <c r="V36" i="11"/>
  <c r="V51" i="11"/>
  <c r="U58" i="11"/>
  <c r="T25" i="10"/>
  <c r="AF11" i="10"/>
  <c r="AF25" i="10" s="1"/>
  <c r="AJ8" i="10"/>
  <c r="AJ22" i="10" s="1"/>
  <c r="X22" i="10"/>
  <c r="AB9" i="10"/>
  <c r="AB23" i="10" s="1"/>
  <c r="O27" i="10"/>
  <c r="AI11" i="10"/>
  <c r="AI25" i="10" s="1"/>
  <c r="AA8" i="10"/>
  <c r="AA22" i="10" s="1"/>
  <c r="O22" i="10"/>
  <c r="R26" i="10"/>
  <c r="AD12" i="10"/>
  <c r="AD26" i="10" s="1"/>
  <c r="AJ7" i="7"/>
  <c r="AJ6" i="7"/>
  <c r="AF15" i="7"/>
  <c r="AF17" i="7"/>
  <c r="AI6" i="10"/>
  <c r="AI20" i="10" s="1"/>
  <c r="V8" i="10"/>
  <c r="U23" i="11"/>
  <c r="U120" i="11"/>
  <c r="U53" i="11"/>
  <c r="V103" i="11"/>
  <c r="W14" i="10"/>
  <c r="V49" i="11"/>
  <c r="AA11" i="10"/>
  <c r="AA25" i="10" s="1"/>
  <c r="O25" i="10"/>
  <c r="AN17" i="7"/>
  <c r="AN15" i="7"/>
  <c r="V45" i="11"/>
  <c r="V99" i="11"/>
  <c r="U74" i="11"/>
  <c r="V127" i="11"/>
  <c r="V94" i="11"/>
  <c r="AD15" i="7"/>
  <c r="AD17" i="7"/>
  <c r="V7" i="10"/>
  <c r="AS17" i="7"/>
  <c r="AS15" i="7"/>
  <c r="V137" i="11"/>
  <c r="V27" i="11"/>
  <c r="O10" i="10"/>
  <c r="R11" i="10"/>
  <c r="U69" i="11"/>
  <c r="V91" i="11"/>
  <c r="V130" i="11"/>
  <c r="U11" i="10"/>
  <c r="U65" i="11"/>
  <c r="T5" i="10"/>
  <c r="V119" i="11"/>
  <c r="U54" i="11"/>
  <c r="P6" i="10"/>
  <c r="AC17" i="7"/>
  <c r="AC15" i="7"/>
  <c r="X5" i="10"/>
  <c r="U10" i="10"/>
  <c r="P10" i="10"/>
  <c r="V125" i="11"/>
  <c r="W7" i="10"/>
  <c r="T28" i="10"/>
  <c r="AR17" i="7"/>
  <c r="AR15" i="7"/>
  <c r="V141" i="11"/>
  <c r="V139" i="11"/>
  <c r="AA6" i="10"/>
  <c r="AA20" i="10" s="1"/>
  <c r="O20" i="10"/>
  <c r="AP17" i="7"/>
  <c r="AP15" i="7"/>
  <c r="AB5" i="10"/>
  <c r="AB19" i="10" s="1"/>
  <c r="P19" i="10"/>
  <c r="X12" i="10"/>
  <c r="U72" i="11"/>
  <c r="P7" i="10"/>
  <c r="AH11" i="10"/>
  <c r="AH25" i="10" s="1"/>
  <c r="U19" i="10"/>
  <c r="AG5" i="10"/>
  <c r="AG19" i="10" s="1"/>
  <c r="S13" i="10"/>
  <c r="AO17" i="7"/>
  <c r="AO15" i="7"/>
  <c r="AI7" i="7"/>
  <c r="AE7" i="7"/>
  <c r="P13" i="10"/>
  <c r="AU17" i="7"/>
  <c r="AU15" i="7"/>
  <c r="V14" i="10"/>
  <c r="U14" i="10"/>
  <c r="U27" i="11"/>
  <c r="V72" i="11"/>
  <c r="U22" i="11"/>
  <c r="U44" i="11"/>
  <c r="V9" i="10"/>
  <c r="U9" i="10"/>
  <c r="V65" i="11"/>
  <c r="S10" i="10"/>
  <c r="U87" i="11"/>
  <c r="V118" i="11"/>
  <c r="P11" i="10"/>
  <c r="Q13" i="10"/>
  <c r="V61" i="11"/>
  <c r="X7" i="10"/>
  <c r="V122" i="11"/>
  <c r="AC14" i="10"/>
  <c r="AC28" i="10" s="1"/>
  <c r="Q28" i="10"/>
  <c r="AE12" i="10"/>
  <c r="AE26" i="10" s="1"/>
  <c r="S26" i="10"/>
  <c r="W12" i="10"/>
  <c r="AG7" i="10"/>
  <c r="AG21" i="10" s="1"/>
  <c r="U21" i="10"/>
  <c r="AE15" i="7"/>
  <c r="AE17" i="7"/>
  <c r="V111" i="11"/>
  <c r="U110" i="11"/>
  <c r="V23" i="11"/>
  <c r="V120" i="11"/>
  <c r="P8" i="10"/>
  <c r="X10" i="10"/>
  <c r="V43" i="11"/>
  <c r="U114" i="11"/>
  <c r="V70" i="11"/>
  <c r="V112" i="11"/>
  <c r="U52" i="11"/>
  <c r="U35" i="11"/>
  <c r="V74" i="11"/>
  <c r="U63" i="11"/>
  <c r="V104" i="11"/>
  <c r="S9" i="10"/>
  <c r="R13" i="11"/>
  <c r="AC7" i="7"/>
  <c r="U133" i="11"/>
  <c r="AV17" i="7"/>
  <c r="AV15" i="7"/>
  <c r="V6" i="10"/>
  <c r="U34" i="11"/>
  <c r="U6" i="10"/>
  <c r="O14" i="10"/>
  <c r="U86" i="11"/>
  <c r="V54" i="11"/>
  <c r="U129" i="11"/>
  <c r="T7" i="10"/>
  <c r="U96" i="11"/>
  <c r="Q10" i="10"/>
  <c r="U36" i="11"/>
  <c r="U89" i="11"/>
  <c r="U47" i="11"/>
  <c r="V46" i="11"/>
  <c r="V123" i="11"/>
  <c r="T13" i="10"/>
  <c r="V26" i="11"/>
  <c r="Q8" i="10"/>
  <c r="V117" i="11"/>
  <c r="V53" i="11"/>
  <c r="X13" i="10"/>
  <c r="W10" i="10"/>
  <c r="U75" i="11"/>
  <c r="V114" i="11"/>
  <c r="U26" i="10"/>
  <c r="AG12" i="10"/>
  <c r="AG26" i="10" s="1"/>
  <c r="V81" i="11"/>
  <c r="AD7" i="7"/>
  <c r="AD6" i="7"/>
  <c r="V39" i="11"/>
  <c r="AA7" i="10"/>
  <c r="AA21" i="10" s="1"/>
  <c r="O21" i="10"/>
  <c r="V102" i="11"/>
  <c r="AG6" i="7"/>
  <c r="R5" i="10"/>
  <c r="U77" i="11"/>
  <c r="U45" i="11"/>
  <c r="U116" i="11"/>
  <c r="U139" i="11"/>
  <c r="V67" i="11"/>
  <c r="V19" i="10"/>
  <c r="AH5" i="10"/>
  <c r="AH19" i="10" s="1"/>
  <c r="T12" i="10"/>
  <c r="S7" i="10"/>
  <c r="U24" i="11"/>
  <c r="U136" i="11"/>
  <c r="S19" i="10"/>
  <c r="AE5" i="10"/>
  <c r="AE19" i="10" s="1"/>
  <c r="AJ15" i="7"/>
  <c r="AJ17" i="7"/>
  <c r="U140" i="11"/>
  <c r="U76" i="11"/>
  <c r="V44" i="11"/>
  <c r="V87" i="11"/>
  <c r="O9" i="10"/>
  <c r="Q9" i="10"/>
  <c r="V13" i="10"/>
  <c r="S14" i="10"/>
  <c r="V93" i="11"/>
  <c r="U29" i="11"/>
  <c r="V132" i="11"/>
  <c r="V89" i="11"/>
  <c r="AJ6" i="10"/>
  <c r="AJ20" i="10" s="1"/>
  <c r="X20" i="10"/>
  <c r="V50" i="11"/>
  <c r="AH7" i="7"/>
  <c r="AH6" i="7"/>
  <c r="T10" i="10"/>
  <c r="V124" i="11"/>
  <c r="W13" i="10"/>
  <c r="U43" i="11"/>
  <c r="V113" i="11"/>
  <c r="U71" i="11"/>
  <c r="AA12" i="10"/>
  <c r="AA26" i="10" s="1"/>
  <c r="O26" i="10"/>
  <c r="U70" i="11"/>
  <c r="X14" i="10"/>
  <c r="AH17" i="7"/>
  <c r="AH15" i="7"/>
  <c r="T8" i="10"/>
  <c r="U112" i="11"/>
  <c r="V52" i="11"/>
  <c r="V40" i="11"/>
  <c r="U127" i="11"/>
  <c r="AM17" i="7"/>
  <c r="AM15" i="7"/>
  <c r="V62" i="11"/>
  <c r="V30" i="11"/>
  <c r="AE6" i="10"/>
  <c r="AE20" i="10" s="1"/>
  <c r="S20" i="10"/>
  <c r="Q13" i="11"/>
  <c r="Q15" i="11"/>
  <c r="Q14" i="11"/>
  <c r="V22" i="11"/>
  <c r="Q7" i="10"/>
  <c r="V97" i="11"/>
  <c r="AF7" i="7"/>
  <c r="AF6" i="7"/>
  <c r="Q6" i="10"/>
  <c r="V10" i="10"/>
  <c r="V29" i="11"/>
  <c r="AB14" i="10"/>
  <c r="AB28" i="10" s="1"/>
  <c r="P28" i="10"/>
  <c r="AF9" i="10"/>
  <c r="AF23" i="10" s="1"/>
  <c r="T23" i="10"/>
  <c r="S22" i="10"/>
  <c r="AE8" i="10"/>
  <c r="AE22" i="10" s="1"/>
  <c r="AF6" i="10"/>
  <c r="AF20" i="10" s="1"/>
  <c r="T20" i="10"/>
  <c r="AQ17" i="7"/>
  <c r="AQ15" i="7"/>
  <c r="U39" i="11"/>
  <c r="AT17" i="7"/>
  <c r="AT15" i="7"/>
  <c r="U141" i="11"/>
  <c r="U99" i="11"/>
  <c r="AE11" i="10"/>
  <c r="AE25" i="10" s="1"/>
  <c r="S25" i="10"/>
  <c r="R9" i="10"/>
  <c r="Q19" i="10"/>
  <c r="AC5" i="10"/>
  <c r="AC19" i="10" s="1"/>
  <c r="V86" i="11"/>
  <c r="R13" i="10"/>
  <c r="Q11" i="10"/>
  <c r="U125" i="11"/>
  <c r="AI15" i="7"/>
  <c r="AI17" i="7"/>
  <c r="U122" i="11"/>
  <c r="AB7" i="7"/>
  <c r="AB6" i="7"/>
  <c r="AJ11" i="10"/>
  <c r="AJ25" i="10" s="1"/>
  <c r="X25" i="10"/>
  <c r="W19" i="10"/>
  <c r="AI5" i="10"/>
  <c r="AI19" i="10" s="1"/>
  <c r="U79" i="11"/>
  <c r="V110" i="11"/>
  <c r="R8" i="10"/>
  <c r="AJ9" i="10"/>
  <c r="AJ23" i="10" s="1"/>
  <c r="X23" i="10"/>
  <c r="U8" i="10"/>
  <c r="U124" i="11"/>
  <c r="V60" i="11"/>
  <c r="V107" i="11"/>
  <c r="V71" i="11"/>
  <c r="U38" i="11"/>
  <c r="AB12" i="10"/>
  <c r="AB26" i="10" s="1"/>
  <c r="P26" i="10"/>
  <c r="U49" i="11"/>
  <c r="AB15" i="7"/>
  <c r="AB17" i="7"/>
  <c r="W8" i="10"/>
  <c r="U62" i="11"/>
  <c r="R7" i="10"/>
  <c r="AG15" i="7"/>
  <c r="AG17" i="7"/>
  <c r="R6" i="10"/>
  <c r="U97" i="11"/>
  <c r="R10" i="10"/>
  <c r="U13" i="10"/>
  <c r="AA5" i="10"/>
  <c r="AA19" i="10" s="1"/>
  <c r="O19" i="10"/>
  <c r="AA7" i="7"/>
  <c r="AA6" i="7"/>
  <c r="P13" i="11" l="1"/>
  <c r="O13" i="11"/>
  <c r="R14" i="11"/>
  <c r="P14" i="11"/>
  <c r="V148" i="11"/>
  <c r="V142" i="11"/>
  <c r="S14" i="11"/>
  <c r="U143" i="11"/>
  <c r="V144" i="11"/>
  <c r="O14" i="11"/>
  <c r="S15" i="11"/>
  <c r="W23" i="10"/>
  <c r="V150" i="11"/>
  <c r="R28" i="10"/>
  <c r="U152" i="11"/>
  <c r="U150" i="11"/>
  <c r="V146" i="11"/>
  <c r="P15" i="11"/>
  <c r="Q26" i="10"/>
  <c r="V149" i="11"/>
  <c r="U142" i="11"/>
  <c r="V143" i="11"/>
  <c r="U149" i="11"/>
  <c r="U147" i="11"/>
  <c r="V152" i="11"/>
  <c r="R27" i="10"/>
  <c r="AD13" i="10"/>
  <c r="AD27" i="10" s="1"/>
  <c r="AC6" i="10"/>
  <c r="AC20" i="10" s="1"/>
  <c r="Q20" i="10"/>
  <c r="AF8" i="10"/>
  <c r="AF22" i="10" s="1"/>
  <c r="T22" i="10"/>
  <c r="AC9" i="10"/>
  <c r="AC23" i="10" s="1"/>
  <c r="Q23" i="10"/>
  <c r="T26" i="10"/>
  <c r="AF12" i="10"/>
  <c r="AF26" i="10" s="1"/>
  <c r="AD5" i="10"/>
  <c r="AD19" i="10" s="1"/>
  <c r="R19" i="10"/>
  <c r="AG6" i="10"/>
  <c r="AG20" i="10" s="1"/>
  <c r="U20" i="10"/>
  <c r="AJ12" i="10"/>
  <c r="AJ26" i="10" s="1"/>
  <c r="X26" i="10"/>
  <c r="AG10" i="10"/>
  <c r="AG24" i="10" s="1"/>
  <c r="U24" i="10"/>
  <c r="W28" i="10"/>
  <c r="AI14" i="10"/>
  <c r="AI28" i="10" s="1"/>
  <c r="AG11" i="10"/>
  <c r="AG25" i="10" s="1"/>
  <c r="U25" i="10"/>
  <c r="V20" i="10"/>
  <c r="AH6" i="10"/>
  <c r="AH20" i="10" s="1"/>
  <c r="AE9" i="10"/>
  <c r="AE23" i="10" s="1"/>
  <c r="S23" i="10"/>
  <c r="S24" i="10"/>
  <c r="AE10" i="10"/>
  <c r="AE24" i="10" s="1"/>
  <c r="AC7" i="10"/>
  <c r="AC21" i="10" s="1"/>
  <c r="Q21" i="10"/>
  <c r="P27" i="10"/>
  <c r="AB13" i="10"/>
  <c r="AB27" i="10" s="1"/>
  <c r="X19" i="10"/>
  <c r="AJ5" i="10"/>
  <c r="AJ19" i="10" s="1"/>
  <c r="AD10" i="10"/>
  <c r="AD24" i="10" s="1"/>
  <c r="R24" i="10"/>
  <c r="AI13" i="10"/>
  <c r="AI27" i="10" s="1"/>
  <c r="W27" i="10"/>
  <c r="AJ14" i="10"/>
  <c r="AJ28" i="10" s="1"/>
  <c r="X28" i="10"/>
  <c r="T27" i="10"/>
  <c r="AF13" i="10"/>
  <c r="AF27" i="10" s="1"/>
  <c r="T21" i="10"/>
  <c r="AF7" i="10"/>
  <c r="AF21" i="10" s="1"/>
  <c r="P21" i="10"/>
  <c r="AB7" i="10"/>
  <c r="AB21" i="10" s="1"/>
  <c r="AH7" i="10"/>
  <c r="AH21" i="10" s="1"/>
  <c r="V21" i="10"/>
  <c r="W22" i="10"/>
  <c r="AI8" i="10"/>
  <c r="AI22" i="10" s="1"/>
  <c r="AD9" i="10"/>
  <c r="AD23" i="10" s="1"/>
  <c r="R23" i="10"/>
  <c r="AC8" i="10"/>
  <c r="AC22" i="10" s="1"/>
  <c r="Q22" i="10"/>
  <c r="AC10" i="10"/>
  <c r="AC24" i="10" s="1"/>
  <c r="Q24" i="10"/>
  <c r="R20" i="10"/>
  <c r="AD6" i="10"/>
  <c r="AD20" i="10" s="1"/>
  <c r="AG8" i="10"/>
  <c r="AG22" i="10" s="1"/>
  <c r="U22" i="10"/>
  <c r="AC11" i="10"/>
  <c r="AC25" i="10" s="1"/>
  <c r="Q25" i="10"/>
  <c r="AH10" i="10"/>
  <c r="AH24" i="10" s="1"/>
  <c r="V24" i="10"/>
  <c r="T24" i="10"/>
  <c r="AF10" i="10"/>
  <c r="AF24" i="10" s="1"/>
  <c r="X24" i="10"/>
  <c r="AJ10" i="10"/>
  <c r="AJ24" i="10" s="1"/>
  <c r="AJ7" i="10"/>
  <c r="AJ21" i="10" s="1"/>
  <c r="X21" i="10"/>
  <c r="AG9" i="10"/>
  <c r="AG23" i="10" s="1"/>
  <c r="U23" i="10"/>
  <c r="P20" i="10"/>
  <c r="AB6" i="10"/>
  <c r="AB20" i="10" s="1"/>
  <c r="AI7" i="10"/>
  <c r="AI21" i="10" s="1"/>
  <c r="W21" i="10"/>
  <c r="AD11" i="10"/>
  <c r="AD25" i="10" s="1"/>
  <c r="R25" i="10"/>
  <c r="AI10" i="10"/>
  <c r="AI24" i="10" s="1"/>
  <c r="W24" i="10"/>
  <c r="AB8" i="10"/>
  <c r="AB22" i="10" s="1"/>
  <c r="P22" i="10"/>
  <c r="AH9" i="10"/>
  <c r="AH23" i="10" s="1"/>
  <c r="V23" i="10"/>
  <c r="AG14" i="10"/>
  <c r="AG28" i="10" s="1"/>
  <c r="U28" i="10"/>
  <c r="AE14" i="10"/>
  <c r="AE28" i="10" s="1"/>
  <c r="S28" i="10"/>
  <c r="X27" i="10"/>
  <c r="AJ13" i="10"/>
  <c r="AJ27" i="10" s="1"/>
  <c r="AI12" i="10"/>
  <c r="AI26" i="10" s="1"/>
  <c r="W26" i="10"/>
  <c r="Q27" i="10"/>
  <c r="AC13" i="10"/>
  <c r="AC27" i="10" s="1"/>
  <c r="AH14" i="10"/>
  <c r="AH28" i="10" s="1"/>
  <c r="V28" i="10"/>
  <c r="AE13" i="10"/>
  <c r="AE27" i="10" s="1"/>
  <c r="S27" i="10"/>
  <c r="AA10" i="10"/>
  <c r="AA24" i="10" s="1"/>
  <c r="O24" i="10"/>
  <c r="AG13" i="10"/>
  <c r="AG27" i="10" s="1"/>
  <c r="U27" i="10"/>
  <c r="AA9" i="10"/>
  <c r="AA23" i="10" s="1"/>
  <c r="O23" i="10"/>
  <c r="AD7" i="10"/>
  <c r="AD21" i="10" s="1"/>
  <c r="R21" i="10"/>
  <c r="AD8" i="10"/>
  <c r="AD22" i="10" s="1"/>
  <c r="R22" i="10"/>
  <c r="AH13" i="10"/>
  <c r="AH27" i="10" s="1"/>
  <c r="V27" i="10"/>
  <c r="AE7" i="10"/>
  <c r="AE21" i="10" s="1"/>
  <c r="S21" i="10"/>
  <c r="AA14" i="10"/>
  <c r="AA28" i="10" s="1"/>
  <c r="O28" i="10"/>
  <c r="AB11" i="10"/>
  <c r="AB25" i="10" s="1"/>
  <c r="P25" i="10"/>
  <c r="AB10" i="10"/>
  <c r="AB24" i="10" s="1"/>
  <c r="P24" i="10"/>
  <c r="AF5" i="10"/>
  <c r="AF19" i="10" s="1"/>
  <c r="T19" i="10"/>
  <c r="AH8" i="10"/>
  <c r="AH22" i="10" s="1"/>
  <c r="V22" i="10"/>
</calcChain>
</file>

<file path=xl/sharedStrings.xml><?xml version="1.0" encoding="utf-8"?>
<sst xmlns="http://schemas.openxmlformats.org/spreadsheetml/2006/main" count="163" uniqueCount="109">
  <si>
    <t>Index Values</t>
  </si>
  <si>
    <t>Date</t>
  </si>
  <si>
    <t>US.CASH</t>
  </si>
  <si>
    <t>US.GOVT.13</t>
  </si>
  <si>
    <t>US.GOVT</t>
  </si>
  <si>
    <t>US.CORP</t>
  </si>
  <si>
    <t>US.EQ</t>
  </si>
  <si>
    <t>GL.EQ</t>
  </si>
  <si>
    <t>Monthly Returns</t>
  </si>
  <si>
    <t>Statistics - Monthly</t>
  </si>
  <si>
    <t>Mean</t>
  </si>
  <si>
    <t>StDev</t>
  </si>
  <si>
    <t>Freq&lt;0</t>
  </si>
  <si>
    <t>Parametric VaR</t>
  </si>
  <si>
    <t>Empirical VaR</t>
  </si>
  <si>
    <t>Parametric CVaR</t>
  </si>
  <si>
    <t>Empirical CVaR</t>
  </si>
  <si>
    <t>confidence</t>
  </si>
  <si>
    <t>Average of asset returns</t>
  </si>
  <si>
    <t>Annualized Mean</t>
  </si>
  <si>
    <t>(1 + Average of monthly returns) ^ 12 - 1</t>
  </si>
  <si>
    <t>Standard deviation of asset returns</t>
  </si>
  <si>
    <t>Annualized StDev</t>
  </si>
  <si>
    <t>Monthly StDev * Square root of time</t>
  </si>
  <si>
    <t>Number of observations &lt; 0, divided by total observations</t>
  </si>
  <si>
    <t>Mean - (number of standard deviations * standard deviation of asset returns)</t>
  </si>
  <si>
    <t>(1 - confidence) percentile of asset returns</t>
  </si>
  <si>
    <t>Mean-StDev*EXP(-0.5*NORMSINV(1-confidence)^2)/((1-confidence)*SQRT(2*PI()))</t>
  </si>
  <si>
    <t>Average of observations &lt;= VaR</t>
  </si>
  <si>
    <t>Hints</t>
  </si>
  <si>
    <t>Covariance</t>
  </si>
  <si>
    <t>Correlation</t>
  </si>
  <si>
    <t>Vol via Cov</t>
  </si>
  <si>
    <t>Corr(a,b) * StDev(a) * StDev(b)</t>
  </si>
  <si>
    <t>SQRT() of the diagonal of the covariance matrix</t>
  </si>
  <si>
    <t>Cov(a,b) / (StDev(a) * StDev(b))</t>
  </si>
  <si>
    <t>Port Vol via Cov</t>
  </si>
  <si>
    <t>{=SQRT(MMULT(MMULT(portwts,covs),TRANSPOSE(portwts)))}</t>
  </si>
  <si>
    <t>Statistics - Annualized</t>
  </si>
  <si>
    <t>Annualized ParVaR</t>
  </si>
  <si>
    <t>Annualized ParCVaR</t>
  </si>
  <si>
    <t>Statistics - Rolling Annual</t>
  </si>
  <si>
    <t>Serial Correlation</t>
  </si>
  <si>
    <t>Rolling Annual Returns</t>
  </si>
  <si>
    <t>Annual Returns</t>
  </si>
  <si>
    <t>Statistics - Annual</t>
  </si>
  <si>
    <t>Correlations - Monthly Data</t>
  </si>
  <si>
    <t>Covariance - Monthly Data</t>
  </si>
  <si>
    <t>StDevs</t>
  </si>
  <si>
    <t>From Rets</t>
  </si>
  <si>
    <t>From Cov</t>
  </si>
  <si>
    <t>Correlation from Covariance</t>
  </si>
  <si>
    <t>Covariance from Correlation</t>
  </si>
  <si>
    <t>Check - Correlation from Covariance</t>
  </si>
  <si>
    <t>Check - Covariance from Correlation</t>
  </si>
  <si>
    <t>Multivariate</t>
  </si>
  <si>
    <t>Bench</t>
  </si>
  <si>
    <t>PortA</t>
  </si>
  <si>
    <t>PortB</t>
  </si>
  <si>
    <t>xPortA</t>
  </si>
  <si>
    <t>xPortB</t>
  </si>
  <si>
    <t>Tot</t>
  </si>
  <si>
    <t>Asset Statistics</t>
  </si>
  <si>
    <t>Vol</t>
  </si>
  <si>
    <t>VaR</t>
  </si>
  <si>
    <t>Portfolio Statistics</t>
  </si>
  <si>
    <t>Alpha</t>
  </si>
  <si>
    <t>TE</t>
  </si>
  <si>
    <t>RelVaR</t>
  </si>
  <si>
    <t>TE via Cov</t>
  </si>
  <si>
    <t>Portfolio Returns</t>
  </si>
  <si>
    <t>Asset Returns</t>
  </si>
  <si>
    <t>Check xPort Rets</t>
  </si>
  <si>
    <t>Asset A</t>
  </si>
  <si>
    <t>Asset B</t>
  </si>
  <si>
    <t>mean</t>
  </si>
  <si>
    <t>stdev</t>
  </si>
  <si>
    <t>CVaR</t>
  </si>
  <si>
    <t>z-score</t>
  </si>
  <si>
    <t>zmin</t>
  </si>
  <si>
    <t>zmax</t>
  </si>
  <si>
    <t>z</t>
  </si>
  <si>
    <t>xA</t>
  </si>
  <si>
    <t>f(xA)</t>
  </si>
  <si>
    <t>xB</t>
  </si>
  <si>
    <t>f(xB)</t>
  </si>
  <si>
    <t>Mean A</t>
  </si>
  <si>
    <t>Mean B</t>
  </si>
  <si>
    <t>Vol A L</t>
  </si>
  <si>
    <t>Vol B L</t>
  </si>
  <si>
    <t>Vol A</t>
  </si>
  <si>
    <t>Vol B</t>
  </si>
  <si>
    <t>vola</t>
  </si>
  <si>
    <t>volb</t>
  </si>
  <si>
    <t>for chart</t>
  </si>
  <si>
    <t>&lt;0 A</t>
  </si>
  <si>
    <t>&lt;0 B</t>
  </si>
  <si>
    <t>A</t>
  </si>
  <si>
    <t>B</t>
  </si>
  <si>
    <t>% &lt;0</t>
  </si>
  <si>
    <t>Parameters</t>
  </si>
  <si>
    <t>confidence @ 1 SD</t>
  </si>
  <si>
    <t>vol</t>
  </si>
  <si>
    <t>same var @ 95% confidence</t>
  </si>
  <si>
    <t>...</t>
  </si>
  <si>
    <t>US.AGCY.13</t>
  </si>
  <si>
    <t>US.CORP.13</t>
  </si>
  <si>
    <t>US.AGCY</t>
  </si>
  <si>
    <t>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</si>
</sst>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2" formatCode="_(&quot;$&quot;* #,##0_);_(&quot;$&quot;* \(#,##0\);_(&quot;$&quot;* &quot;-&quot;_);_(@_)"/>
    <numFmt numFmtId="41" formatCode="_(* #,##0_);_(* \(#,##0\);_(* &quot;-&quot;_);_(@_)"/>
    <numFmt numFmtId="44" formatCode="_(&quot;$&quot;* #,##0.00_);_(&quot;$&quot;* \(#,##0.00\);_(&quot;$&quot;* &quot;-&quot;??_);_(@_)"/>
    <numFmt numFmtId="164" formatCode="0.00%;[Red]\-0.00%;&quot;-&quot;"/>
    <numFmt numFmtId="165" formatCode="0.0%;[Red]\-0.0%;&quot;-&quot;"/>
    <numFmt numFmtId="166" formatCode="0%;[Red]\-0%;&quot;-&quot;"/>
    <numFmt numFmtId="167" formatCode="#,##0.0000;[Red]\-#,##0.0000;&quot;-&quot;"/>
    <numFmt numFmtId="168" formatCode="#,##0.00;[Red]\-#,##0.00;&quot;-&quot;"/>
    <numFmt numFmtId="169" formatCode="#,##0;[Red]\-#,##0;&quot;-&quot;"/>
    <numFmt numFmtId="170" formatCode="yyyy\-mm\-dd"/>
    <numFmt numFmtId="171" formatCode="yyyy\-mm"/>
    <numFmt numFmtId="172" formatCode="yyyy"/>
    <numFmt numFmtId="173" formatCode="&quot;$&quot;#,##0.00;[Red]\-&quot;$&quot;#,##0.00;&quot;-&quot;"/>
    <numFmt numFmtId="174" formatCode="&quot;$&quot;#,##0;[Red]\-&quot;$&quot;#,##0;&quot;-&quot;"/>
    <numFmt numFmtId="175" formatCode="yyyymmdd"/>
    <numFmt numFmtId="176" formatCode="0.0000"/>
    <numFmt numFmtId="177" formatCode="0.000000"/>
    <numFmt numFmtId="178" formatCode="#,##0.000000;[Red]\-#,##0.000000;&quot;-&quot;"/>
    <numFmt numFmtId="179" formatCode="0.0"/>
  </numFmts>
  <fonts count="34">
    <font>
      <sz val="11"/>
      <color theme="1"/>
      <name val="Arial"/>
      <family val="2"/>
      <scheme val="minor"/>
    </font>
    <font>
      <sz val="11"/>
      <color theme="1"/>
      <name val="Arial"/>
      <family val="2"/>
      <scheme val="minor"/>
    </font>
    <font>
      <sz val="11"/>
      <color theme="1"/>
      <name val="Arial"/>
      <family val="2"/>
      <scheme val="minor"/>
    </font>
    <font>
      <b/>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color theme="1"/>
      <name val="AmplitudeTF"/>
      <family val="3"/>
    </font>
    <font>
      <b/>
      <sz val="11"/>
      <color rgb="FFFFFFFF"/>
      <name val="Arial"/>
      <family val="2"/>
      <scheme val="minor"/>
    </font>
    <font>
      <sz val="11"/>
      <color rgb="FFFFFFFF"/>
      <name val="Arial"/>
      <family val="2"/>
      <scheme val="minor"/>
    </font>
    <font>
      <sz val="11"/>
      <color theme="3"/>
      <name val="Arial"/>
      <family val="2"/>
      <scheme val="minor"/>
    </font>
    <font>
      <sz val="11"/>
      <color theme="0" tint="-0.24994659260841701"/>
      <name val="Arial"/>
      <family val="2"/>
      <scheme val="minor"/>
    </font>
    <font>
      <b/>
      <sz val="11"/>
      <name val="Arial"/>
      <family val="2"/>
      <scheme val="minor"/>
    </font>
    <font>
      <sz val="11"/>
      <name val="Arial"/>
      <family val="2"/>
      <scheme val="minor"/>
    </font>
    <font>
      <sz val="11"/>
      <color rgb="FF9C0006"/>
      <name val="Arial"/>
      <family val="2"/>
      <scheme val="minor"/>
    </font>
    <font>
      <sz val="11"/>
      <color rgb="FF008E40"/>
      <name val="Arial"/>
      <family val="2"/>
      <scheme val="minor"/>
    </font>
    <font>
      <sz val="11"/>
      <color rgb="FFC3B12F"/>
      <name val="Arial"/>
      <family val="2"/>
      <scheme val="minor"/>
    </font>
    <font>
      <b/>
      <sz val="11"/>
      <color rgb="FFFFFFFF"/>
      <name val="Calibri"/>
      <family val="2"/>
    </font>
    <font>
      <sz val="11"/>
      <color theme="1"/>
      <name val="Calibri"/>
      <family val="2"/>
    </font>
    <font>
      <b/>
      <sz val="11"/>
      <color theme="1"/>
      <name val="Calibri"/>
      <family val="2"/>
    </font>
    <font>
      <sz val="11"/>
      <color theme="1" tint="0.499984740745262"/>
      <name val="Calibri"/>
      <family val="2"/>
    </font>
    <font>
      <sz val="11"/>
      <color theme="0" tint="-0.24994659260841701"/>
      <name val="Calibri"/>
      <family val="2"/>
    </font>
    <font>
      <sz val="11"/>
      <color rgb="FFFFFFFF"/>
      <name val="Calibri"/>
      <family val="2"/>
    </font>
    <font>
      <b/>
      <sz val="11"/>
      <color rgb="FF000000"/>
      <name val="Calibri"/>
      <family val="2"/>
    </font>
    <font>
      <sz val="11"/>
      <color rgb="FF000000"/>
      <name val="Calibri"/>
      <family val="2"/>
    </font>
  </fonts>
  <fills count="5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rgb="FF000000"/>
      </patternFill>
    </fill>
    <fill>
      <patternFill patternType="solid">
        <fgColor theme="3"/>
        <bgColor rgb="FF000000"/>
      </patternFill>
    </fill>
    <fill>
      <patternFill patternType="solid">
        <fgColor theme="4" tint="0.79998168889431442"/>
        <bgColor rgb="FF000000"/>
      </patternFill>
    </fill>
    <fill>
      <patternFill patternType="solid">
        <fgColor theme="5"/>
        <bgColor rgb="FF000000"/>
      </patternFill>
    </fill>
    <fill>
      <patternFill patternType="solid">
        <fgColor theme="6"/>
        <bgColor rgb="FF000000"/>
      </patternFill>
    </fill>
    <fill>
      <patternFill patternType="solid">
        <fgColor theme="7"/>
        <bgColor rgb="FF000000"/>
      </patternFill>
    </fill>
    <fill>
      <patternFill patternType="solid">
        <fgColor theme="8"/>
        <bgColor rgb="FF000000"/>
      </patternFill>
    </fill>
    <fill>
      <patternFill patternType="solid">
        <fgColor theme="9"/>
        <bgColor rgb="FF000000"/>
      </patternFill>
    </fill>
    <fill>
      <patternFill patternType="solid">
        <fgColor theme="2"/>
        <bgColor rgb="FF000000"/>
      </patternFill>
    </fill>
    <fill>
      <patternFill patternType="solid">
        <fgColor rgb="FFD2ECD6"/>
        <bgColor rgb="FF000000"/>
      </patternFill>
    </fill>
    <fill>
      <patternFill patternType="solid">
        <fgColor rgb="FFECD2D2"/>
        <bgColor rgb="FF000000"/>
      </patternFill>
    </fill>
    <fill>
      <patternFill patternType="solid">
        <fgColor rgb="FFECECD2"/>
        <bgColor rgb="FF000000"/>
      </patternFill>
    </fill>
    <fill>
      <patternFill patternType="solid">
        <fgColor rgb="FFD2E0EC"/>
        <bgColor indexed="64"/>
      </patternFill>
    </fill>
    <fill>
      <patternFill patternType="solid">
        <fgColor rgb="FF91897E"/>
        <bgColor rgb="FF000000"/>
      </patternFill>
    </fill>
    <fill>
      <patternFill patternType="solid">
        <fgColor theme="1" tint="0.89999084444715716"/>
        <bgColor rgb="FF000000"/>
      </patternFill>
    </fill>
    <fill>
      <patternFill patternType="solid">
        <fgColor theme="7" tint="0.79998168889431442"/>
        <bgColor rgb="FF000000"/>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4">
    <xf numFmtId="0" fontId="0" fillId="0" borderId="0" applyNumberFormat="0" applyFill="0" applyBorder="0" applyAlignment="0" applyProtection="0">
      <alignment horizontal="center"/>
    </xf>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24" fillId="2" borderId="0" applyNumberFormat="0" applyFill="0" applyBorder="0" applyAlignment="0" applyProtection="0">
      <alignment horizontal="center"/>
    </xf>
    <xf numFmtId="0" fontId="23" fillId="3" borderId="0" applyNumberFormat="0" applyFill="0" applyBorder="0" applyAlignment="0" applyProtection="0">
      <alignment horizontal="center"/>
    </xf>
    <xf numFmtId="0" fontId="25" fillId="4" borderId="0" applyNumberFormat="0" applyFill="0" applyBorder="0" applyAlignment="0" applyProtection="0">
      <alignment horizontal="center"/>
    </xf>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2"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5" fillId="28" borderId="0" applyNumberFormat="0" applyBorder="0" applyAlignment="0" applyProtection="0"/>
    <xf numFmtId="0" fontId="15"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5" fillId="32" borderId="0" applyNumberFormat="0" applyBorder="0" applyAlignment="0" applyProtection="0"/>
    <xf numFmtId="0" fontId="19" fillId="0" borderId="0" applyNumberFormat="0" applyFill="0" applyBorder="0" applyAlignment="0" applyProtection="0">
      <alignment horizontal="center"/>
    </xf>
    <xf numFmtId="166" fontId="1" fillId="0" borderId="0" applyFont="0" applyFill="0" applyBorder="0" applyAlignment="0" applyProtection="0">
      <alignment horizontal="center"/>
    </xf>
    <xf numFmtId="0" fontId="20" fillId="0" borderId="0" applyNumberFormat="0" applyFill="0" applyBorder="0" applyAlignment="0" applyProtection="0">
      <alignment horizontal="center"/>
    </xf>
    <xf numFmtId="169" fontId="1" fillId="0" borderId="0" applyFont="0" applyFill="0" applyBorder="0" applyAlignment="0" applyProtection="0">
      <alignment horizontal="center"/>
    </xf>
    <xf numFmtId="0" fontId="21" fillId="0" borderId="0" applyNumberFormat="0" applyFill="0" applyBorder="0" applyAlignment="0" applyProtection="0">
      <alignment horizontal="center"/>
    </xf>
    <xf numFmtId="165" fontId="1" fillId="0" borderId="0" applyFont="0" applyFill="0" applyBorder="0" applyAlignment="0" applyProtection="0">
      <alignment horizontal="center"/>
    </xf>
    <xf numFmtId="0" fontId="14" fillId="0" borderId="0" applyNumberFormat="0" applyFill="0" applyBorder="0" applyAlignment="0" applyProtection="0">
      <alignment horizontal="center"/>
    </xf>
    <xf numFmtId="164" fontId="1" fillId="0" borderId="0" applyFont="0" applyFill="0" applyBorder="0" applyAlignment="0" applyProtection="0">
      <alignment horizontal="center"/>
    </xf>
    <xf numFmtId="168" fontId="1" fillId="0" borderId="0" applyFont="0" applyFill="0" applyBorder="0" applyAlignment="0" applyProtection="0">
      <alignment horizontal="center"/>
    </xf>
    <xf numFmtId="167" fontId="1" fillId="0" borderId="0" applyFont="0" applyFill="0" applyBorder="0" applyAlignment="0" applyProtection="0">
      <alignment horizontal="center"/>
    </xf>
    <xf numFmtId="0" fontId="17" fillId="33" borderId="0" applyNumberFormat="0">
      <alignment horizontal="left"/>
    </xf>
    <xf numFmtId="0" fontId="18" fillId="33" borderId="0" applyNumberFormat="0">
      <alignment horizontal="center"/>
    </xf>
    <xf numFmtId="0" fontId="18" fillId="36" borderId="0" applyNumberFormat="0">
      <alignment horizontal="center"/>
    </xf>
    <xf numFmtId="0" fontId="1" fillId="35" borderId="0" applyNumberFormat="0" applyProtection="0">
      <alignment horizontal="center"/>
    </xf>
    <xf numFmtId="0" fontId="17" fillId="36" borderId="0" applyNumberFormat="0">
      <alignment horizontal="left"/>
    </xf>
    <xf numFmtId="0" fontId="17" fillId="37" borderId="0" applyNumberFormat="0">
      <alignment horizontal="left"/>
    </xf>
    <xf numFmtId="0" fontId="18" fillId="37" borderId="0" applyNumberFormat="0">
      <alignment horizontal="center"/>
    </xf>
    <xf numFmtId="0" fontId="16" fillId="0" borderId="0">
      <alignment horizontal="center"/>
    </xf>
    <xf numFmtId="0" fontId="17" fillId="38" borderId="0" applyNumberFormat="0">
      <alignment horizontal="left"/>
    </xf>
    <xf numFmtId="0" fontId="17" fillId="39" borderId="0" applyNumberFormat="0">
      <alignment horizontal="left"/>
    </xf>
    <xf numFmtId="0" fontId="17" fillId="40" borderId="0" applyNumberFormat="0">
      <alignment horizontal="left"/>
    </xf>
    <xf numFmtId="0" fontId="17" fillId="41" borderId="0" applyNumberFormat="0">
      <alignment horizontal="left"/>
    </xf>
    <xf numFmtId="0" fontId="18" fillId="38" borderId="0" applyNumberFormat="0">
      <alignment horizontal="center"/>
    </xf>
    <xf numFmtId="0" fontId="18" fillId="39" borderId="0" applyNumberFormat="0">
      <alignment horizontal="center"/>
    </xf>
    <xf numFmtId="0" fontId="18" fillId="40" borderId="0" applyNumberFormat="0">
      <alignment horizontal="center"/>
    </xf>
    <xf numFmtId="0" fontId="18" fillId="41" borderId="0" applyNumberFormat="0">
      <alignment horizontal="center"/>
    </xf>
    <xf numFmtId="0" fontId="14" fillId="35" borderId="0" applyNumberFormat="0" applyProtection="0">
      <alignment horizontal="center"/>
    </xf>
    <xf numFmtId="170" fontId="22" fillId="0" borderId="0" applyFont="0" applyFill="0" applyBorder="0" applyAlignment="0" applyProtection="0">
      <alignment horizontal="center"/>
    </xf>
    <xf numFmtId="171" fontId="22" fillId="0" borderId="0" applyFont="0" applyFill="0" applyBorder="0" applyAlignment="0" applyProtection="0">
      <alignment horizontal="center"/>
    </xf>
    <xf numFmtId="172" fontId="22" fillId="0" borderId="0" applyFont="0" applyFill="0" applyBorder="0" applyAlignment="0" applyProtection="0">
      <alignment horizontal="center"/>
    </xf>
    <xf numFmtId="40" fontId="16" fillId="0" borderId="0" applyFill="0" applyBorder="0" applyAlignment="0" applyProtection="0"/>
    <xf numFmtId="41"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9" fontId="2" fillId="0" borderId="0" applyFont="0" applyFill="0" applyBorder="0" applyAlignment="0" applyProtection="0"/>
    <xf numFmtId="0" fontId="18" fillId="34" borderId="0" applyNumberFormat="0">
      <alignment horizontal="center"/>
    </xf>
    <xf numFmtId="0" fontId="17" fillId="34" borderId="0" applyNumberFormat="0">
      <alignment horizontal="left"/>
    </xf>
    <xf numFmtId="0" fontId="1" fillId="45" borderId="0" applyNumberFormat="0" applyProtection="0">
      <alignment horizontal="center"/>
    </xf>
    <xf numFmtId="167" fontId="1" fillId="42" borderId="0" applyNumberFormat="0" applyProtection="0">
      <alignment horizontal="center"/>
    </xf>
    <xf numFmtId="167" fontId="1" fillId="44" borderId="0" applyNumberFormat="0" applyProtection="0">
      <alignment horizontal="center"/>
    </xf>
    <xf numFmtId="167" fontId="1" fillId="43" borderId="0" applyNumberFormat="0" applyProtection="0">
      <alignment horizontal="center"/>
    </xf>
    <xf numFmtId="164" fontId="1" fillId="0" borderId="0" applyFont="0" applyFill="0" applyBorder="0" applyAlignment="0" applyProtection="0">
      <alignment horizontal="center"/>
    </xf>
    <xf numFmtId="173" fontId="16" fillId="35" borderId="0">
      <alignment horizontal="center"/>
    </xf>
    <xf numFmtId="173" fontId="1" fillId="0" borderId="0" applyFont="0" applyFill="0" applyBorder="0" applyAlignment="0" applyProtection="0">
      <alignment horizontal="center"/>
    </xf>
    <xf numFmtId="169" fontId="1" fillId="0" borderId="0" applyFont="0" applyFill="0" applyBorder="0" applyAlignment="0" applyProtection="0">
      <alignment horizontal="center"/>
    </xf>
    <xf numFmtId="173" fontId="1" fillId="0" borderId="0" applyFont="0" applyFill="0" applyBorder="0" applyAlignment="0" applyProtection="0">
      <alignment horizontal="center"/>
    </xf>
    <xf numFmtId="174" fontId="1" fillId="0" borderId="0" applyFont="0" applyFill="0" applyBorder="0" applyAlignment="0" applyProtection="0">
      <alignment horizontal="center"/>
    </xf>
    <xf numFmtId="175" fontId="1" fillId="0" borderId="0" applyFont="0" applyFill="0" applyBorder="0" applyAlignment="0" applyProtection="0">
      <alignment horizontal="center"/>
    </xf>
    <xf numFmtId="176" fontId="1" fillId="0" borderId="0" applyFont="0" applyFill="0" applyBorder="0" applyAlignment="0" applyProtection="0">
      <alignment horizontal="center"/>
    </xf>
    <xf numFmtId="2" fontId="1" fillId="0" borderId="0" applyFont="0" applyFill="0" applyBorder="0" applyAlignment="0" applyProtection="0">
      <alignment horizontal="center"/>
    </xf>
    <xf numFmtId="170" fontId="22" fillId="0" borderId="0" applyNumberFormat="0" applyFont="0" applyBorder="0" applyAlignment="0" applyProtection="0">
      <alignment horizontal="center"/>
    </xf>
    <xf numFmtId="0" fontId="1" fillId="0" borderId="0" applyFill="0" applyBorder="0" applyAlignment="0" applyProtection="0">
      <alignment horizontal="center"/>
    </xf>
  </cellStyleXfs>
  <cellXfs count="59">
    <xf numFmtId="0" fontId="0" fillId="0" borderId="0" xfId="0">
      <alignment horizontal="center"/>
    </xf>
    <xf numFmtId="0" fontId="0" fillId="0" borderId="0" xfId="0" applyNumberFormat="1">
      <alignment horizontal="center"/>
    </xf>
    <xf numFmtId="176" fontId="26" fillId="33" borderId="0" xfId="52" applyNumberFormat="1" applyFont="1">
      <alignment horizontal="left"/>
    </xf>
    <xf numFmtId="176" fontId="27" fillId="0" borderId="0" xfId="90" applyFont="1">
      <alignment horizontal="center"/>
    </xf>
    <xf numFmtId="176" fontId="28" fillId="47" borderId="0" xfId="68" applyNumberFormat="1" applyFont="1" applyFill="1">
      <alignment horizontal="center"/>
    </xf>
    <xf numFmtId="176" fontId="27" fillId="47" borderId="0" xfId="55" applyNumberFormat="1" applyFont="1" applyFill="1" applyAlignment="1">
      <alignment horizontal="left"/>
    </xf>
    <xf numFmtId="176" fontId="27" fillId="47" borderId="0" xfId="55" quotePrefix="1" applyNumberFormat="1" applyFont="1" applyFill="1" applyAlignment="1">
      <alignment horizontal="left"/>
    </xf>
    <xf numFmtId="176" fontId="29" fillId="0" borderId="0" xfId="42" applyNumberFormat="1" applyFont="1">
      <alignment horizontal="center"/>
    </xf>
    <xf numFmtId="179" fontId="29" fillId="0" borderId="0" xfId="42" applyNumberFormat="1" applyFont="1">
      <alignment horizontal="center"/>
    </xf>
    <xf numFmtId="164" fontId="29" fillId="0" borderId="0" xfId="42" applyNumberFormat="1" applyFont="1">
      <alignment horizontal="center"/>
    </xf>
    <xf numFmtId="167" fontId="29" fillId="0" borderId="0" xfId="42" applyNumberFormat="1" applyFont="1">
      <alignment horizontal="center"/>
    </xf>
    <xf numFmtId="176" fontId="29" fillId="0" borderId="0" xfId="42" applyNumberFormat="1" applyFont="1" applyAlignment="1">
      <alignment horizontal="left"/>
    </xf>
    <xf numFmtId="164" fontId="29" fillId="0" borderId="0" xfId="49" applyFont="1">
      <alignment horizontal="center"/>
    </xf>
    <xf numFmtId="176" fontId="26" fillId="36" borderId="0" xfId="56" applyNumberFormat="1" applyFont="1">
      <alignment horizontal="left"/>
    </xf>
    <xf numFmtId="166" fontId="27" fillId="45" borderId="0" xfId="79" applyNumberFormat="1" applyFont="1">
      <alignment horizontal="center"/>
    </xf>
    <xf numFmtId="166" fontId="27" fillId="47" borderId="0" xfId="43" applyFont="1" applyFill="1">
      <alignment horizontal="center"/>
    </xf>
    <xf numFmtId="169" fontId="30" fillId="0" borderId="0" xfId="45" applyFont="1">
      <alignment horizontal="center"/>
    </xf>
    <xf numFmtId="176" fontId="26" fillId="37" borderId="0" xfId="57" applyNumberFormat="1" applyFont="1">
      <alignment horizontal="left"/>
    </xf>
    <xf numFmtId="176" fontId="26" fillId="38" borderId="0" xfId="60" applyNumberFormat="1" applyFont="1">
      <alignment horizontal="left"/>
    </xf>
    <xf numFmtId="176" fontId="28" fillId="48" borderId="0" xfId="81" applyNumberFormat="1" applyFont="1" applyFill="1">
      <alignment horizontal="center"/>
    </xf>
    <xf numFmtId="176" fontId="27" fillId="48" borderId="0" xfId="81" applyNumberFormat="1" applyFont="1" applyFill="1">
      <alignment horizontal="center"/>
    </xf>
    <xf numFmtId="164" fontId="27" fillId="47" borderId="0" xfId="49" applyFont="1" applyFill="1">
      <alignment horizontal="center"/>
    </xf>
    <xf numFmtId="164" fontId="27" fillId="48" borderId="0" xfId="81" applyNumberFormat="1" applyFont="1" applyFill="1">
      <alignment horizontal="center"/>
    </xf>
    <xf numFmtId="176" fontId="28" fillId="0" borderId="0" xfId="90" applyFont="1">
      <alignment horizontal="center"/>
    </xf>
    <xf numFmtId="169" fontId="30" fillId="0" borderId="0" xfId="44" applyNumberFormat="1" applyFont="1">
      <alignment horizontal="center"/>
    </xf>
    <xf numFmtId="176" fontId="26" fillId="39" borderId="0" xfId="61" applyNumberFormat="1" applyFont="1">
      <alignment horizontal="left"/>
    </xf>
    <xf numFmtId="176" fontId="26" fillId="0" borderId="0" xfId="92" applyNumberFormat="1" applyFont="1" applyAlignment="1">
      <alignment horizontal="left"/>
    </xf>
    <xf numFmtId="176" fontId="26" fillId="40" borderId="0" xfId="78" applyNumberFormat="1" applyFont="1" applyFill="1">
      <alignment horizontal="left"/>
    </xf>
    <xf numFmtId="171" fontId="28" fillId="47" borderId="0" xfId="70" applyFont="1" applyFill="1">
      <alignment horizontal="center"/>
    </xf>
    <xf numFmtId="176" fontId="26" fillId="40" borderId="0" xfId="62" applyNumberFormat="1" applyFont="1">
      <alignment horizontal="left"/>
    </xf>
    <xf numFmtId="2" fontId="27" fillId="47" borderId="0" xfId="91" applyFont="1" applyFill="1">
      <alignment horizontal="center"/>
    </xf>
    <xf numFmtId="178" fontId="27" fillId="47" borderId="0" xfId="51" applyNumberFormat="1" applyFont="1" applyFill="1">
      <alignment horizontal="center"/>
    </xf>
    <xf numFmtId="177" fontId="27" fillId="47" borderId="0" xfId="90" applyNumberFormat="1" applyFont="1" applyFill="1">
      <alignment horizontal="center"/>
    </xf>
    <xf numFmtId="176" fontId="26" fillId="33" borderId="0" xfId="60" applyNumberFormat="1" applyFont="1" applyFill="1">
      <alignment horizontal="left"/>
    </xf>
    <xf numFmtId="164" fontId="28" fillId="47" borderId="0" xfId="68" applyNumberFormat="1" applyFont="1" applyFill="1">
      <alignment horizontal="center"/>
    </xf>
    <xf numFmtId="176" fontId="26" fillId="33" borderId="0" xfId="56" applyNumberFormat="1" applyFont="1" applyFill="1">
      <alignment horizontal="left"/>
    </xf>
    <xf numFmtId="164" fontId="27" fillId="45" borderId="0" xfId="79" applyNumberFormat="1" applyFont="1">
      <alignment horizontal="center"/>
    </xf>
    <xf numFmtId="164" fontId="27" fillId="47" borderId="0" xfId="55" applyNumberFormat="1" applyFont="1" applyFill="1">
      <alignment horizontal="center"/>
    </xf>
    <xf numFmtId="176" fontId="31" fillId="39" borderId="0" xfId="65" applyNumberFormat="1" applyFont="1">
      <alignment horizontal="center"/>
    </xf>
    <xf numFmtId="176" fontId="27" fillId="0" borderId="0" xfId="92" applyNumberFormat="1" applyFont="1">
      <alignment horizontal="center"/>
    </xf>
    <xf numFmtId="166" fontId="27" fillId="49" borderId="0" xfId="43" applyFont="1" applyFill="1">
      <alignment horizontal="center"/>
    </xf>
    <xf numFmtId="176" fontId="31" fillId="39" borderId="0" xfId="77" applyNumberFormat="1" applyFont="1" applyFill="1">
      <alignment horizontal="center"/>
    </xf>
    <xf numFmtId="2" fontId="27" fillId="47" borderId="0" xfId="55" applyNumberFormat="1" applyFont="1" applyFill="1">
      <alignment horizontal="center"/>
    </xf>
    <xf numFmtId="176" fontId="26" fillId="36" borderId="0" xfId="57" applyNumberFormat="1" applyFont="1" applyFill="1">
      <alignment horizontal="left"/>
    </xf>
    <xf numFmtId="176" fontId="26" fillId="38" borderId="0" xfId="57" applyNumberFormat="1" applyFont="1" applyFill="1">
      <alignment horizontal="left"/>
    </xf>
    <xf numFmtId="176" fontId="26" fillId="46" borderId="0" xfId="52" applyNumberFormat="1" applyFont="1" applyFill="1">
      <alignment horizontal="left"/>
    </xf>
    <xf numFmtId="176" fontId="26" fillId="0" borderId="0" xfId="92" applyNumberFormat="1" applyFont="1" applyBorder="1" applyAlignment="1">
      <alignment horizontal="left"/>
    </xf>
    <xf numFmtId="170" fontId="32" fillId="47" borderId="0" xfId="68" applyNumberFormat="1" applyFont="1" applyFill="1">
      <alignment horizontal="center"/>
    </xf>
    <xf numFmtId="167" fontId="32" fillId="47" borderId="0" xfId="68" applyNumberFormat="1" applyFont="1" applyFill="1">
      <alignment horizontal="center"/>
    </xf>
    <xf numFmtId="167" fontId="32" fillId="0" borderId="0" xfId="92" applyNumberFormat="1" applyFont="1" applyBorder="1">
      <alignment horizontal="center"/>
    </xf>
    <xf numFmtId="1" fontId="29" fillId="0" borderId="0" xfId="90" applyNumberFormat="1" applyFont="1">
      <alignment horizontal="center"/>
    </xf>
    <xf numFmtId="167" fontId="33" fillId="47" borderId="0" xfId="55" applyNumberFormat="1" applyFont="1" applyFill="1">
      <alignment horizontal="center"/>
    </xf>
    <xf numFmtId="168" fontId="33" fillId="47" borderId="0" xfId="50" applyFont="1" applyFill="1" applyBorder="1">
      <alignment horizontal="center"/>
    </xf>
    <xf numFmtId="168" fontId="33" fillId="0" borderId="0" xfId="92" applyNumberFormat="1" applyFont="1" applyBorder="1">
      <alignment horizontal="center"/>
    </xf>
    <xf numFmtId="171" fontId="28" fillId="47" borderId="0" xfId="68" applyNumberFormat="1" applyFont="1" applyFill="1">
      <alignment horizontal="center"/>
    </xf>
    <xf numFmtId="168" fontId="27" fillId="47" borderId="0" xfId="50" applyFont="1" applyFill="1">
      <alignment horizontal="center"/>
    </xf>
    <xf numFmtId="176" fontId="26" fillId="39" borderId="0" xfId="60" applyNumberFormat="1" applyFont="1" applyFill="1">
      <alignment horizontal="left"/>
    </xf>
    <xf numFmtId="169" fontId="30" fillId="0" borderId="0" xfId="92" applyNumberFormat="1" applyFont="1">
      <alignment horizontal="center"/>
    </xf>
    <xf numFmtId="171" fontId="28" fillId="0" borderId="0" xfId="92" applyNumberFormat="1" applyFont="1">
      <alignment horizontal="center"/>
    </xf>
  </cellXfs>
  <cellStyles count="94">
    <cellStyle name=".Data Bold" xfId="68" xr:uid="{00000000-0005-0000-0000-000000000000}"/>
    <cellStyle name=".Data Regular" xfId="55" xr:uid="{00000000-0005-0000-0000-000001000000}"/>
    <cellStyle name=".User Blue" xfId="79" xr:uid="{00000000-0005-0000-0000-000002000000}"/>
    <cellStyle name=".User Green" xfId="80" xr:uid="{00000000-0005-0000-0000-000003000000}"/>
    <cellStyle name=".User Red" xfId="82" xr:uid="{00000000-0005-0000-0000-000004000000}"/>
    <cellStyle name=".User Yellow" xfId="81" xr:uid="{00000000-0005-0000-0000-000005000000}"/>
    <cellStyle name="20% - Accent1" xfId="19" builtinId="30" hidden="1"/>
    <cellStyle name="20% - Accent2" xfId="23" builtinId="34" hidden="1"/>
    <cellStyle name="20% - Accent3" xfId="27" builtinId="38" hidden="1"/>
    <cellStyle name="20% - Accent4" xfId="31" builtinId="42" hidden="1"/>
    <cellStyle name="20% - Accent5" xfId="35" builtinId="46" hidden="1"/>
    <cellStyle name="20% - Accent6" xfId="39" builtinId="50" hidden="1"/>
    <cellStyle name="40% - Accent1" xfId="20" builtinId="31" hidden="1"/>
    <cellStyle name="40% - Accent2" xfId="24" builtinId="35" hidden="1"/>
    <cellStyle name="40% - Accent3" xfId="28" builtinId="39" hidden="1"/>
    <cellStyle name="40% - Accent4" xfId="32" builtinId="43" hidden="1"/>
    <cellStyle name="40% - Accent5" xfId="36" builtinId="47" hidden="1"/>
    <cellStyle name="40% - Accent6" xfId="40" builtinId="51" hidden="1"/>
    <cellStyle name="60% - Accent1" xfId="21" builtinId="32" hidden="1"/>
    <cellStyle name="60% - Accent2" xfId="25" builtinId="36" hidden="1"/>
    <cellStyle name="60% - Accent3" xfId="29" builtinId="40" hidden="1"/>
    <cellStyle name="60% - Accent4" xfId="33" builtinId="44" hidden="1"/>
    <cellStyle name="60% - Accent5" xfId="37" builtinId="48" hidden="1"/>
    <cellStyle name="60% - Accent6" xfId="41" builtinId="52" hidden="1"/>
    <cellStyle name="A   Title" xfId="52" xr:uid="{00000000-0005-0000-0000-000018000000}"/>
    <cellStyle name="A  Header" xfId="53" xr:uid="{00000000-0005-0000-0000-000019000000}"/>
    <cellStyle name="Accent1" xfId="18" builtinId="29" hidden="1"/>
    <cellStyle name="Accent2" xfId="22" builtinId="33" hidden="1"/>
    <cellStyle name="Accent3" xfId="26" builtinId="37" hidden="1"/>
    <cellStyle name="Accent4" xfId="30" builtinId="41" hidden="1"/>
    <cellStyle name="Accent5" xfId="34" builtinId="45" hidden="1"/>
    <cellStyle name="Accent6" xfId="38" builtinId="49" hidden="1"/>
    <cellStyle name="B   Title" xfId="56" xr:uid="{00000000-0005-0000-0000-000020000000}"/>
    <cellStyle name="B  Header" xfId="54" xr:uid="{00000000-0005-0000-0000-000021000000}"/>
    <cellStyle name="Bad" xfId="7" builtinId="27" customBuiltin="1"/>
    <cellStyle name="C   Title" xfId="57" xr:uid="{00000000-0005-0000-0000-000023000000}"/>
    <cellStyle name="C  Header" xfId="58" xr:uid="{00000000-0005-0000-0000-000024000000}"/>
    <cellStyle name="Calculation" xfId="11" builtinId="22" hidden="1"/>
    <cellStyle name="Check Cell" xfId="13" builtinId="23" hidden="1"/>
    <cellStyle name="Comma" xfId="72" builtinId="3" hidden="1" customBuiltin="1"/>
    <cellStyle name="Comma" xfId="86" builtinId="3" customBuiltin="1"/>
    <cellStyle name="Comma [0]" xfId="73" builtinId="6" hidden="1"/>
    <cellStyle name="Currency" xfId="74" builtinId="4" hidden="1"/>
    <cellStyle name="Currency" xfId="84" builtinId="4" hidden="1"/>
    <cellStyle name="Currency" xfId="85" builtinId="4" customBuiltin="1"/>
    <cellStyle name="Currency [0]" xfId="75" builtinId="7" hidden="1"/>
    <cellStyle name="D   Title" xfId="60" xr:uid="{00000000-0005-0000-0000-00002E000000}"/>
    <cellStyle name="D  Header" xfId="64" xr:uid="{00000000-0005-0000-0000-00002F000000}"/>
    <cellStyle name="E   Title" xfId="61" xr:uid="{00000000-0005-0000-0000-000030000000}"/>
    <cellStyle name="E  Header" xfId="65" xr:uid="{00000000-0005-0000-0000-000031000000}"/>
    <cellStyle name="Explanatory Text" xfId="16" builtinId="53" hidden="1"/>
    <cellStyle name="F   Title" xfId="62" xr:uid="{00000000-0005-0000-0000-000033000000}"/>
    <cellStyle name="F  Header" xfId="66" xr:uid="{00000000-0005-0000-0000-000034000000}"/>
    <cellStyle name="G   Title" xfId="63" xr:uid="{00000000-0005-0000-0000-000035000000}"/>
    <cellStyle name="G  Header" xfId="67" xr:uid="{00000000-0005-0000-0000-000036000000}"/>
    <cellStyle name="Good" xfId="6" builtinId="26" customBuiltin="1"/>
    <cellStyle name="H   Title" xfId="78" xr:uid="{00000000-0005-0000-0000-000038000000}"/>
    <cellStyle name="H  Header" xfId="77" xr:uid="{00000000-0005-0000-0000-000039000000}"/>
    <cellStyle name="Heading 1" xfId="2" builtinId="16" hidden="1"/>
    <cellStyle name="Heading 2" xfId="3" builtinId="17" hidden="1"/>
    <cellStyle name="Heading 3" xfId="4" builtinId="18" hidden="1"/>
    <cellStyle name="Heading 4" xfId="5" builtinId="19" hidden="1"/>
    <cellStyle name="Input" xfId="9" builtinId="20" hidden="1"/>
    <cellStyle name="Linked Cell" xfId="12" builtinId="24" hidden="1"/>
    <cellStyle name="Neutral" xfId="8" builtinId="28" customBuiltin="1"/>
    <cellStyle name="Normal" xfId="0" builtinId="0" customBuiltin="1"/>
    <cellStyle name="Note" xfId="15" builtinId="10" hidden="1"/>
    <cellStyle name="Num $" xfId="88" xr:uid="{00000000-0005-0000-0000-000043000000}"/>
    <cellStyle name="Num $.00" xfId="87" xr:uid="{00000000-0005-0000-0000-000044000000}"/>
    <cellStyle name="Num 0" xfId="45" xr:uid="{00000000-0005-0000-0000-000045000000}"/>
    <cellStyle name="Num 0.00" xfId="50" xr:uid="{00000000-0005-0000-0000-000046000000}"/>
    <cellStyle name="Num 0.0000" xfId="51" xr:uid="{00000000-0005-0000-0000-000047000000}"/>
    <cellStyle name="Output" xfId="10" builtinId="21" hidden="1"/>
    <cellStyle name="Pct 0.0%" xfId="47" xr:uid="{00000000-0005-0000-0000-00004A000000}"/>
    <cellStyle name="Pct 0.00%" xfId="49" xr:uid="{00000000-0005-0000-0000-00004B000000}"/>
    <cellStyle name="Pct 0%" xfId="43" xr:uid="{00000000-0005-0000-0000-000049000000}"/>
    <cellStyle name="Percent" xfId="76" builtinId="5" hidden="1"/>
    <cellStyle name="Percent" xfId="59" builtinId="5" hidden="1"/>
    <cellStyle name="Percent" xfId="83" builtinId="5" customBuiltin="1"/>
    <cellStyle name="R 0.00" xfId="91" xr:uid="{00000000-0005-0000-0000-00004F000000}"/>
    <cellStyle name="R 0.0000" xfId="90" xr:uid="{00000000-0005-0000-0000-000050000000}"/>
    <cellStyle name="Title" xfId="1" builtinId="15" hidden="1"/>
    <cellStyle name="Total" xfId="17" builtinId="25" hidden="1"/>
    <cellStyle name="Total" xfId="48" builtinId="25" hidden="1"/>
    <cellStyle name="TxtComment" xfId="42" xr:uid="{00000000-0005-0000-0000-000054000000}"/>
    <cellStyle name="TxtGeneral" xfId="93" xr:uid="{00000000-0005-0000-0000-000055000000}"/>
    <cellStyle name="TxtIndex" xfId="44" xr:uid="{00000000-0005-0000-0000-000056000000}"/>
    <cellStyle name="TxtTotal" xfId="46" xr:uid="{00000000-0005-0000-0000-000057000000}"/>
    <cellStyle name="Warning Text" xfId="14" builtinId="11" hidden="1"/>
    <cellStyle name="White" xfId="92" xr:uid="{00000000-0005-0000-0000-000059000000}"/>
    <cellStyle name="yyyy" xfId="71" xr:uid="{00000000-0005-0000-0000-00005A000000}"/>
    <cellStyle name="yyyy-mm" xfId="70" xr:uid="{00000000-0005-0000-0000-00005B000000}"/>
    <cellStyle name="yyyy-mm-dd" xfId="69" xr:uid="{00000000-0005-0000-0000-00005D000000}"/>
    <cellStyle name="yyyymmdd" xfId="89" xr:uid="{00000000-0005-0000-0000-00005C000000}"/>
  </cellStyles>
  <dxfs count="0"/>
  <tableStyles count="0" defaultTableStyle="TableStyleMedium2" defaultPivotStyle="PivotStyleLight16"/>
  <colors>
    <mruColors>
      <color rgb="FFD2E0EC"/>
      <color rgb="FF6DCBE1"/>
      <color rgb="FFC3B12F"/>
      <color rgb="FFBEC131"/>
      <color rgb="FF008E40"/>
      <color rgb="FF009E47"/>
      <color rgb="FFECECD2"/>
      <color rgb="FFEAECD2"/>
      <color rgb="FFECD2D2"/>
      <color rgb="FFD2EC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asset A</c:v>
          </c:tx>
          <c:spPr>
            <a:ln w="19050" cap="rnd">
              <a:solidFill>
                <a:schemeClr val="accent1"/>
              </a:solidFill>
              <a:round/>
            </a:ln>
            <a:effectLst/>
          </c:spPr>
          <c:marker>
            <c:symbol val="none"/>
          </c:marker>
          <c:xVal>
            <c:numRef>
              <c:f>'Boiler Room'!$D$22:$D$62</c:f>
              <c:numCache>
                <c:formatCode>0.00%;[Red]\-0.00%;"-"</c:formatCode>
                <c:ptCount val="41"/>
                <c:pt idx="0">
                  <c:v>-0.11000000000000001</c:v>
                </c:pt>
                <c:pt idx="1">
                  <c:v>-0.10300000000000001</c:v>
                </c:pt>
                <c:pt idx="2">
                  <c:v>-9.600000000000003E-2</c:v>
                </c:pt>
                <c:pt idx="3">
                  <c:v>-8.9000000000000024E-2</c:v>
                </c:pt>
                <c:pt idx="4">
                  <c:v>-8.2000000000000031E-2</c:v>
                </c:pt>
                <c:pt idx="5">
                  <c:v>-7.5000000000000039E-2</c:v>
                </c:pt>
                <c:pt idx="6">
                  <c:v>-6.8000000000000047E-2</c:v>
                </c:pt>
                <c:pt idx="7">
                  <c:v>-6.1000000000000054E-2</c:v>
                </c:pt>
                <c:pt idx="8">
                  <c:v>-5.4000000000000062E-2</c:v>
                </c:pt>
                <c:pt idx="9">
                  <c:v>-4.7000000000000056E-2</c:v>
                </c:pt>
                <c:pt idx="10">
                  <c:v>-4.0000000000000049E-2</c:v>
                </c:pt>
                <c:pt idx="11">
                  <c:v>-3.3000000000000057E-2</c:v>
                </c:pt>
                <c:pt idx="12">
                  <c:v>-2.6000000000000051E-2</c:v>
                </c:pt>
                <c:pt idx="13">
                  <c:v>-1.9000000000000052E-2</c:v>
                </c:pt>
                <c:pt idx="14">
                  <c:v>-1.2000000000000045E-2</c:v>
                </c:pt>
                <c:pt idx="15">
                  <c:v>-5.0000000000000461E-3</c:v>
                </c:pt>
                <c:pt idx="16">
                  <c:v>1.9999999999999567E-3</c:v>
                </c:pt>
                <c:pt idx="17">
                  <c:v>8.999999999999956E-3</c:v>
                </c:pt>
                <c:pt idx="18">
                  <c:v>1.5999999999999959E-2</c:v>
                </c:pt>
                <c:pt idx="19">
                  <c:v>2.2999999999999958E-2</c:v>
                </c:pt>
                <c:pt idx="20">
                  <c:v>2.9999999999999957E-2</c:v>
                </c:pt>
                <c:pt idx="21">
                  <c:v>3.6999999999999957E-2</c:v>
                </c:pt>
                <c:pt idx="22">
                  <c:v>4.3999999999999956E-2</c:v>
                </c:pt>
                <c:pt idx="23">
                  <c:v>5.0999999999999955E-2</c:v>
                </c:pt>
                <c:pt idx="24">
                  <c:v>5.7999999999999954E-2</c:v>
                </c:pt>
                <c:pt idx="25">
                  <c:v>6.4999999999999947E-2</c:v>
                </c:pt>
                <c:pt idx="26">
                  <c:v>7.1999999999999953E-2</c:v>
                </c:pt>
                <c:pt idx="27">
                  <c:v>7.8999999999999959E-2</c:v>
                </c:pt>
                <c:pt idx="28">
                  <c:v>8.5999999999999965E-2</c:v>
                </c:pt>
                <c:pt idx="29">
                  <c:v>9.2999999999999958E-2</c:v>
                </c:pt>
                <c:pt idx="30">
                  <c:v>9.9999999999999964E-2</c:v>
                </c:pt>
                <c:pt idx="31">
                  <c:v>0.10699999999999997</c:v>
                </c:pt>
                <c:pt idx="32">
                  <c:v>0.11399999999999996</c:v>
                </c:pt>
                <c:pt idx="33">
                  <c:v>0.12099999999999995</c:v>
                </c:pt>
                <c:pt idx="34">
                  <c:v>0.12799999999999995</c:v>
                </c:pt>
                <c:pt idx="35">
                  <c:v>0.13499999999999995</c:v>
                </c:pt>
                <c:pt idx="36">
                  <c:v>0.14199999999999996</c:v>
                </c:pt>
                <c:pt idx="37">
                  <c:v>0.14899999999999994</c:v>
                </c:pt>
                <c:pt idx="38">
                  <c:v>0.15599999999999992</c:v>
                </c:pt>
                <c:pt idx="39">
                  <c:v>0.16299999999999992</c:v>
                </c:pt>
                <c:pt idx="40">
                  <c:v>0.17</c:v>
                </c:pt>
              </c:numCache>
            </c:numRef>
          </c:xVal>
          <c:yVal>
            <c:numRef>
              <c:f>'Boiler Room'!$E$22:$E$62</c:f>
              <c:numCache>
                <c:formatCode>0.0000</c:formatCode>
                <c:ptCount val="41"/>
                <c:pt idx="0">
                  <c:v>2.1817067376143987E-2</c:v>
                </c:pt>
                <c:pt idx="1">
                  <c:v>3.9641639591236386E-2</c:v>
                </c:pt>
                <c:pt idx="2">
                  <c:v>6.9856460371986007E-2</c:v>
                </c:pt>
                <c:pt idx="3">
                  <c:v>0.11938816442728888</c:v>
                </c:pt>
                <c:pt idx="4">
                  <c:v>0.19788628957449877</c:v>
                </c:pt>
                <c:pt idx="5">
                  <c:v>0.31810453992078502</c:v>
                </c:pt>
                <c:pt idx="6">
                  <c:v>0.49593385979488197</c:v>
                </c:pt>
                <c:pt idx="7">
                  <c:v>0.74985516207363057</c:v>
                </c:pt>
                <c:pt idx="8">
                  <c:v>1.0995898995106765</c:v>
                </c:pt>
                <c:pt idx="9">
                  <c:v>1.5638094374914961</c:v>
                </c:pt>
                <c:pt idx="10">
                  <c:v>2.1569329706627838</c:v>
                </c:pt>
                <c:pt idx="11">
                  <c:v>2.885288201958744</c:v>
                </c:pt>
                <c:pt idx="12">
                  <c:v>3.7431866408936156</c:v>
                </c:pt>
                <c:pt idx="13">
                  <c:v>4.7097027313031514</c:v>
                </c:pt>
                <c:pt idx="14">
                  <c:v>5.7470535171058206</c:v>
                </c:pt>
                <c:pt idx="15">
                  <c:v>6.8013749594635824</c:v>
                </c:pt>
                <c:pt idx="16">
                  <c:v>7.8063483341690274</c:v>
                </c:pt>
                <c:pt idx="17">
                  <c:v>8.689581607308698</c:v>
                </c:pt>
                <c:pt idx="18">
                  <c:v>9.3810086729234463</c:v>
                </c:pt>
                <c:pt idx="19">
                  <c:v>9.8220002361844809</c:v>
                </c:pt>
                <c:pt idx="20">
                  <c:v>9.9735570100358188</c:v>
                </c:pt>
                <c:pt idx="21">
                  <c:v>9.8220002361844863</c:v>
                </c:pt>
                <c:pt idx="22">
                  <c:v>9.3810086729234516</c:v>
                </c:pt>
                <c:pt idx="23">
                  <c:v>8.6895816073087069</c:v>
                </c:pt>
                <c:pt idx="24">
                  <c:v>7.8063483341690389</c:v>
                </c:pt>
                <c:pt idx="25">
                  <c:v>6.8013749594635966</c:v>
                </c:pt>
                <c:pt idx="26">
                  <c:v>5.7470535171058339</c:v>
                </c:pt>
                <c:pt idx="27">
                  <c:v>4.7097027313031647</c:v>
                </c:pt>
                <c:pt idx="28">
                  <c:v>3.7431866408936263</c:v>
                </c:pt>
                <c:pt idx="29">
                  <c:v>2.8852882019587547</c:v>
                </c:pt>
                <c:pt idx="30">
                  <c:v>2.1569329706627918</c:v>
                </c:pt>
                <c:pt idx="31">
                  <c:v>1.5638094374915019</c:v>
                </c:pt>
                <c:pt idx="32">
                  <c:v>1.0995898995106825</c:v>
                </c:pt>
                <c:pt idx="33">
                  <c:v>0.74985516207363456</c:v>
                </c:pt>
                <c:pt idx="34">
                  <c:v>0.4959338597948848</c:v>
                </c:pt>
                <c:pt idx="35">
                  <c:v>0.31810453992078697</c:v>
                </c:pt>
                <c:pt idx="36">
                  <c:v>0.19788628957449975</c:v>
                </c:pt>
                <c:pt idx="37">
                  <c:v>0.11938816442728961</c:v>
                </c:pt>
                <c:pt idx="38">
                  <c:v>6.9856460371986631E-2</c:v>
                </c:pt>
                <c:pt idx="39">
                  <c:v>3.964163959123667E-2</c:v>
                </c:pt>
                <c:pt idx="40">
                  <c:v>2.1817067376143987E-2</c:v>
                </c:pt>
              </c:numCache>
            </c:numRef>
          </c:yVal>
          <c:smooth val="1"/>
          <c:extLst>
            <c:ext xmlns:c16="http://schemas.microsoft.com/office/drawing/2014/chart" uri="{C3380CC4-5D6E-409C-BE32-E72D297353CC}">
              <c16:uniqueId val="{00000000-FAFC-48A9-BF7A-70492DCBBA18}"/>
            </c:ext>
          </c:extLst>
        </c:ser>
        <c:ser>
          <c:idx val="1"/>
          <c:order val="1"/>
          <c:tx>
            <c:v>asset B</c:v>
          </c:tx>
          <c:spPr>
            <a:ln w="19050" cap="rnd">
              <a:solidFill>
                <a:schemeClr val="accent2"/>
              </a:solidFill>
              <a:round/>
            </a:ln>
            <a:effectLst/>
          </c:spPr>
          <c:marker>
            <c:symbol val="none"/>
          </c:marker>
          <c:xVal>
            <c:numRef>
              <c:f>'Boiler Room'!$G$22:$G$62</c:f>
              <c:numCache>
                <c:formatCode>0.00%;[Red]\-0.00%;"-"</c:formatCode>
                <c:ptCount val="41"/>
                <c:pt idx="0">
                  <c:v>-0.11000000000000001</c:v>
                </c:pt>
                <c:pt idx="1">
                  <c:v>-0.10300000000000001</c:v>
                </c:pt>
                <c:pt idx="2">
                  <c:v>-9.600000000000003E-2</c:v>
                </c:pt>
                <c:pt idx="3">
                  <c:v>-8.9000000000000024E-2</c:v>
                </c:pt>
                <c:pt idx="4">
                  <c:v>-8.2000000000000031E-2</c:v>
                </c:pt>
                <c:pt idx="5">
                  <c:v>-7.5000000000000039E-2</c:v>
                </c:pt>
                <c:pt idx="6">
                  <c:v>-6.8000000000000047E-2</c:v>
                </c:pt>
                <c:pt idx="7">
                  <c:v>-6.1000000000000054E-2</c:v>
                </c:pt>
                <c:pt idx="8">
                  <c:v>-5.4000000000000062E-2</c:v>
                </c:pt>
                <c:pt idx="9">
                  <c:v>-4.7000000000000056E-2</c:v>
                </c:pt>
                <c:pt idx="10">
                  <c:v>-4.0000000000000049E-2</c:v>
                </c:pt>
                <c:pt idx="11">
                  <c:v>-3.3000000000000057E-2</c:v>
                </c:pt>
                <c:pt idx="12">
                  <c:v>-2.6000000000000051E-2</c:v>
                </c:pt>
                <c:pt idx="13">
                  <c:v>-1.9000000000000052E-2</c:v>
                </c:pt>
                <c:pt idx="14">
                  <c:v>-1.2000000000000045E-2</c:v>
                </c:pt>
                <c:pt idx="15">
                  <c:v>-5.0000000000000461E-3</c:v>
                </c:pt>
                <c:pt idx="16">
                  <c:v>1.9999999999999567E-3</c:v>
                </c:pt>
                <c:pt idx="17">
                  <c:v>8.999999999999956E-3</c:v>
                </c:pt>
                <c:pt idx="18">
                  <c:v>1.5999999999999959E-2</c:v>
                </c:pt>
                <c:pt idx="19">
                  <c:v>2.2999999999999958E-2</c:v>
                </c:pt>
                <c:pt idx="20">
                  <c:v>2.9999999999999957E-2</c:v>
                </c:pt>
                <c:pt idx="21">
                  <c:v>3.6999999999999957E-2</c:v>
                </c:pt>
                <c:pt idx="22">
                  <c:v>4.3999999999999956E-2</c:v>
                </c:pt>
                <c:pt idx="23">
                  <c:v>5.0999999999999955E-2</c:v>
                </c:pt>
                <c:pt idx="24">
                  <c:v>5.7999999999999954E-2</c:v>
                </c:pt>
                <c:pt idx="25">
                  <c:v>6.4999999999999947E-2</c:v>
                </c:pt>
                <c:pt idx="26">
                  <c:v>7.1999999999999953E-2</c:v>
                </c:pt>
                <c:pt idx="27">
                  <c:v>7.8999999999999959E-2</c:v>
                </c:pt>
                <c:pt idx="28">
                  <c:v>8.5999999999999965E-2</c:v>
                </c:pt>
                <c:pt idx="29">
                  <c:v>9.2999999999999958E-2</c:v>
                </c:pt>
                <c:pt idx="30">
                  <c:v>9.9999999999999964E-2</c:v>
                </c:pt>
                <c:pt idx="31">
                  <c:v>0.10699999999999997</c:v>
                </c:pt>
                <c:pt idx="32">
                  <c:v>0.11399999999999996</c:v>
                </c:pt>
                <c:pt idx="33">
                  <c:v>0.12099999999999995</c:v>
                </c:pt>
                <c:pt idx="34">
                  <c:v>0.12799999999999995</c:v>
                </c:pt>
                <c:pt idx="35">
                  <c:v>0.13499999999999995</c:v>
                </c:pt>
                <c:pt idx="36">
                  <c:v>0.14199999999999996</c:v>
                </c:pt>
                <c:pt idx="37">
                  <c:v>0.14899999999999994</c:v>
                </c:pt>
                <c:pt idx="38">
                  <c:v>0.15599999999999992</c:v>
                </c:pt>
                <c:pt idx="39">
                  <c:v>0.16299999999999992</c:v>
                </c:pt>
                <c:pt idx="40">
                  <c:v>0.17</c:v>
                </c:pt>
              </c:numCache>
            </c:numRef>
          </c:xVal>
          <c:yVal>
            <c:numRef>
              <c:f>'Boiler Room'!$H$22:$H$62</c:f>
              <c:numCache>
                <c:formatCode>0.0000</c:formatCode>
                <c:ptCount val="41"/>
                <c:pt idx="0">
                  <c:v>2.1817067376143987E-2</c:v>
                </c:pt>
                <c:pt idx="1">
                  <c:v>3.9641639591236386E-2</c:v>
                </c:pt>
                <c:pt idx="2">
                  <c:v>6.9856460371986007E-2</c:v>
                </c:pt>
                <c:pt idx="3">
                  <c:v>0.11938816442728888</c:v>
                </c:pt>
                <c:pt idx="4">
                  <c:v>0.19788628957449877</c:v>
                </c:pt>
                <c:pt idx="5">
                  <c:v>0.31810453992078502</c:v>
                </c:pt>
                <c:pt idx="6">
                  <c:v>0.49593385979488197</c:v>
                </c:pt>
                <c:pt idx="7">
                  <c:v>0.74985516207363057</c:v>
                </c:pt>
                <c:pt idx="8">
                  <c:v>1.0995898995106765</c:v>
                </c:pt>
                <c:pt idx="9">
                  <c:v>1.5638094374914961</c:v>
                </c:pt>
                <c:pt idx="10">
                  <c:v>2.1569329706627838</c:v>
                </c:pt>
                <c:pt idx="11">
                  <c:v>2.885288201958744</c:v>
                </c:pt>
                <c:pt idx="12">
                  <c:v>3.7431866408936156</c:v>
                </c:pt>
                <c:pt idx="13">
                  <c:v>4.7097027313031514</c:v>
                </c:pt>
                <c:pt idx="14">
                  <c:v>5.7470535171058206</c:v>
                </c:pt>
                <c:pt idx="15">
                  <c:v>6.8013749594635824</c:v>
                </c:pt>
                <c:pt idx="16">
                  <c:v>7.8063483341690274</c:v>
                </c:pt>
                <c:pt idx="17">
                  <c:v>8.689581607308698</c:v>
                </c:pt>
                <c:pt idx="18">
                  <c:v>9.3810086729234463</c:v>
                </c:pt>
                <c:pt idx="19">
                  <c:v>9.8220002361844809</c:v>
                </c:pt>
                <c:pt idx="20">
                  <c:v>9.9735570100358188</c:v>
                </c:pt>
                <c:pt idx="21">
                  <c:v>9.8220002361844863</c:v>
                </c:pt>
                <c:pt idx="22">
                  <c:v>9.3810086729234516</c:v>
                </c:pt>
                <c:pt idx="23">
                  <c:v>8.6895816073087069</c:v>
                </c:pt>
                <c:pt idx="24">
                  <c:v>7.8063483341690389</c:v>
                </c:pt>
                <c:pt idx="25">
                  <c:v>6.8013749594635966</c:v>
                </c:pt>
                <c:pt idx="26">
                  <c:v>5.7470535171058339</c:v>
                </c:pt>
                <c:pt idx="27">
                  <c:v>4.7097027313031647</c:v>
                </c:pt>
                <c:pt idx="28">
                  <c:v>3.7431866408936263</c:v>
                </c:pt>
                <c:pt idx="29">
                  <c:v>2.8852882019587547</c:v>
                </c:pt>
                <c:pt idx="30">
                  <c:v>2.1569329706627918</c:v>
                </c:pt>
                <c:pt idx="31">
                  <c:v>1.5638094374915019</c:v>
                </c:pt>
                <c:pt idx="32">
                  <c:v>1.0995898995106825</c:v>
                </c:pt>
                <c:pt idx="33">
                  <c:v>0.74985516207363456</c:v>
                </c:pt>
                <c:pt idx="34">
                  <c:v>0.4959338597948848</c:v>
                </c:pt>
                <c:pt idx="35">
                  <c:v>0.31810453992078697</c:v>
                </c:pt>
                <c:pt idx="36">
                  <c:v>0.19788628957449975</c:v>
                </c:pt>
                <c:pt idx="37">
                  <c:v>0.11938816442728961</c:v>
                </c:pt>
                <c:pt idx="38">
                  <c:v>6.9856460371986631E-2</c:v>
                </c:pt>
                <c:pt idx="39">
                  <c:v>3.964163959123667E-2</c:v>
                </c:pt>
                <c:pt idx="40">
                  <c:v>2.1817067376143987E-2</c:v>
                </c:pt>
              </c:numCache>
            </c:numRef>
          </c:yVal>
          <c:smooth val="1"/>
          <c:extLst>
            <c:ext xmlns:c16="http://schemas.microsoft.com/office/drawing/2014/chart" uri="{C3380CC4-5D6E-409C-BE32-E72D297353CC}">
              <c16:uniqueId val="{00000001-FAFC-48A9-BF7A-70492DCBBA18}"/>
            </c:ext>
          </c:extLst>
        </c:ser>
        <c:ser>
          <c:idx val="2"/>
          <c:order val="2"/>
          <c:tx>
            <c:strRef>
              <c:f>'Boiler Room'!$C$17</c:f>
              <c:strCache>
                <c:ptCount val="1"/>
                <c:pt idx="0">
                  <c:v>VaR95 A</c:v>
                </c:pt>
              </c:strCache>
            </c:strRef>
          </c:tx>
          <c:spPr>
            <a:ln w="19050" cap="rnd">
              <a:solidFill>
                <a:schemeClr val="accent1"/>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8-FAFC-48A9-BF7A-70492DCBBA18}"/>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dLblPos val="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xVal>
            <c:numRef>
              <c:f>'Boiler Room'!$D$17:$D$18</c:f>
              <c:numCache>
                <c:formatCode>0.00%;[Red]\-0.00%;"-"</c:formatCode>
                <c:ptCount val="2"/>
                <c:pt idx="0">
                  <c:v>-3.5794145078058864E-2</c:v>
                </c:pt>
                <c:pt idx="1">
                  <c:v>-3.5794145078058864E-2</c:v>
                </c:pt>
              </c:numCache>
            </c:numRef>
          </c:xVal>
          <c:yVal>
            <c:numRef>
              <c:f>'Boiler Room'!$E$17:$E$18</c:f>
              <c:numCache>
                <c:formatCode>#,##0.0000;[Red]\-#,##0.0000;"-"</c:formatCode>
                <c:ptCount val="2"/>
                <c:pt idx="0">
                  <c:v>0</c:v>
                </c:pt>
                <c:pt idx="1">
                  <c:v>2.5783910093842883</c:v>
                </c:pt>
              </c:numCache>
            </c:numRef>
          </c:yVal>
          <c:smooth val="1"/>
          <c:extLst>
            <c:ext xmlns:c16="http://schemas.microsoft.com/office/drawing/2014/chart" uri="{C3380CC4-5D6E-409C-BE32-E72D297353CC}">
              <c16:uniqueId val="{00000002-FAFC-48A9-BF7A-70492DCBBA18}"/>
            </c:ext>
          </c:extLst>
        </c:ser>
        <c:ser>
          <c:idx val="3"/>
          <c:order val="3"/>
          <c:tx>
            <c:strRef>
              <c:f>'Boiler Room'!$F$17</c:f>
              <c:strCache>
                <c:ptCount val="1"/>
                <c:pt idx="0">
                  <c:v>VaR95 B</c:v>
                </c:pt>
              </c:strCache>
            </c:strRef>
          </c:tx>
          <c:spPr>
            <a:ln w="19050" cap="rnd">
              <a:solidFill>
                <a:schemeClr val="accent2"/>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D-0ED8-4498-B888-26294B3F8BF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trendline>
            <c:spPr>
              <a:ln w="19050" cap="rnd">
                <a:solidFill>
                  <a:schemeClr val="accent4"/>
                </a:solidFill>
                <a:prstDash val="sysDot"/>
              </a:ln>
              <a:effectLst/>
            </c:spPr>
            <c:trendlineType val="linear"/>
            <c:dispRSqr val="0"/>
            <c:dispEq val="0"/>
          </c:trendline>
          <c:xVal>
            <c:numRef>
              <c:f>'Boiler Room'!$G$17:$G$18</c:f>
              <c:numCache>
                <c:formatCode>0.00%;[Red]\-0.00%;"-"</c:formatCode>
                <c:ptCount val="2"/>
                <c:pt idx="0">
                  <c:v>-3.5794145078058864E-2</c:v>
                </c:pt>
                <c:pt idx="1">
                  <c:v>-3.5794145078058864E-2</c:v>
                </c:pt>
              </c:numCache>
            </c:numRef>
          </c:xVal>
          <c:yVal>
            <c:numRef>
              <c:f>'Boiler Room'!$H$17:$H$18</c:f>
              <c:numCache>
                <c:formatCode>#,##0.0000;[Red]\-#,##0.0000;"-"</c:formatCode>
                <c:ptCount val="2"/>
                <c:pt idx="0">
                  <c:v>0</c:v>
                </c:pt>
                <c:pt idx="1">
                  <c:v>2.5783910093842883</c:v>
                </c:pt>
              </c:numCache>
            </c:numRef>
          </c:yVal>
          <c:smooth val="1"/>
          <c:extLst>
            <c:ext xmlns:c16="http://schemas.microsoft.com/office/drawing/2014/chart" uri="{C3380CC4-5D6E-409C-BE32-E72D297353CC}">
              <c16:uniqueId val="{00000003-FAFC-48A9-BF7A-70492DCBBA18}"/>
            </c:ext>
          </c:extLst>
        </c:ser>
        <c:ser>
          <c:idx val="4"/>
          <c:order val="4"/>
          <c:tx>
            <c:strRef>
              <c:f>'Boiler Room'!$C$19</c:f>
              <c:strCache>
                <c:ptCount val="1"/>
                <c:pt idx="0">
                  <c:v>CVaR95 A</c:v>
                </c:pt>
              </c:strCache>
            </c:strRef>
          </c:tx>
          <c:spPr>
            <a:ln w="19050" cap="rnd">
              <a:noFill/>
              <a:round/>
            </a:ln>
            <a:effectLst/>
          </c:spPr>
          <c:marker>
            <c:symbol val="circle"/>
            <c:size val="10"/>
            <c:spPr>
              <a:solidFill>
                <a:schemeClr val="accent1"/>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dLblPos val="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xVal>
            <c:numRef>
              <c:f>'Boiler Room'!$D$19</c:f>
              <c:numCache>
                <c:formatCode>0.00%;[Red]\-0.00%;"-"</c:formatCode>
                <c:ptCount val="1"/>
                <c:pt idx="0">
                  <c:v>-5.2508512300297142E-2</c:v>
                </c:pt>
              </c:numCache>
            </c:numRef>
          </c:xVal>
          <c:yVal>
            <c:numRef>
              <c:f>'Boiler Room'!$E$19</c:f>
              <c:numCache>
                <c:formatCode>#,##0.0000;[Red]\-#,##0.0000;"-"</c:formatCode>
                <c:ptCount val="1"/>
                <c:pt idx="0">
                  <c:v>0.59416278281256385</c:v>
                </c:pt>
              </c:numCache>
            </c:numRef>
          </c:yVal>
          <c:smooth val="1"/>
          <c:extLst>
            <c:ext xmlns:c16="http://schemas.microsoft.com/office/drawing/2014/chart" uri="{C3380CC4-5D6E-409C-BE32-E72D297353CC}">
              <c16:uniqueId val="{00000005-FAFC-48A9-BF7A-70492DCBBA18}"/>
            </c:ext>
          </c:extLst>
        </c:ser>
        <c:ser>
          <c:idx val="5"/>
          <c:order val="5"/>
          <c:tx>
            <c:strRef>
              <c:f>'Boiler Room'!$F$19</c:f>
              <c:strCache>
                <c:ptCount val="1"/>
                <c:pt idx="0">
                  <c:v>CVaR95 B</c:v>
                </c:pt>
              </c:strCache>
            </c:strRef>
          </c:tx>
          <c:spPr>
            <a:ln w="19050" cap="rnd">
              <a:noFill/>
              <a:round/>
            </a:ln>
            <a:effectLst/>
          </c:spPr>
          <c:marker>
            <c:symbol val="circle"/>
            <c:size val="10"/>
            <c:spPr>
              <a:solidFill>
                <a:schemeClr val="accent2"/>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xVal>
            <c:numRef>
              <c:f>'Boiler Room'!$G$19</c:f>
              <c:numCache>
                <c:formatCode>0.00%;[Red]\-0.00%;"-"</c:formatCode>
                <c:ptCount val="1"/>
                <c:pt idx="0">
                  <c:v>-5.2508512300297142E-2</c:v>
                </c:pt>
              </c:numCache>
            </c:numRef>
          </c:xVal>
          <c:yVal>
            <c:numRef>
              <c:f>'Boiler Room'!$H$19</c:f>
              <c:numCache>
                <c:formatCode>#,##0.0000;[Red]\-#,##0.0000;"-"</c:formatCode>
                <c:ptCount val="1"/>
                <c:pt idx="0">
                  <c:v>0.59416278281256385</c:v>
                </c:pt>
              </c:numCache>
            </c:numRef>
          </c:yVal>
          <c:smooth val="1"/>
          <c:extLst>
            <c:ext xmlns:c16="http://schemas.microsoft.com/office/drawing/2014/chart" uri="{C3380CC4-5D6E-409C-BE32-E72D297353CC}">
              <c16:uniqueId val="{00000006-FAFC-48A9-BF7A-70492DCBBA18}"/>
            </c:ext>
          </c:extLst>
        </c:ser>
        <c:ser>
          <c:idx val="6"/>
          <c:order val="6"/>
          <c:tx>
            <c:strRef>
              <c:f>'Boiler Room'!$C$11</c:f>
              <c:strCache>
                <c:ptCount val="1"/>
                <c:pt idx="0">
                  <c:v>Vol A L</c:v>
                </c:pt>
              </c:strCache>
            </c:strRef>
          </c:tx>
          <c:spPr>
            <a:ln w="19050" cap="rnd">
              <a:solidFill>
                <a:schemeClr val="accent1"/>
              </a:solidFill>
              <a:prstDash val="sysDot"/>
              <a:round/>
            </a:ln>
            <a:effectLst/>
          </c:spPr>
          <c:marker>
            <c:symbol val="none"/>
          </c:marker>
          <c:xVal>
            <c:numRef>
              <c:f>'Boiler Room'!$D$11:$D$12</c:f>
              <c:numCache>
                <c:formatCode>0.00%;[Red]\-0.00%;"-"</c:formatCode>
                <c:ptCount val="2"/>
                <c:pt idx="0">
                  <c:v>-1.0000000000000002E-2</c:v>
                </c:pt>
                <c:pt idx="1">
                  <c:v>-1.0000000000000002E-2</c:v>
                </c:pt>
              </c:numCache>
            </c:numRef>
          </c:xVal>
          <c:yVal>
            <c:numRef>
              <c:f>'Boiler Room'!$E$11:$E$12</c:f>
              <c:numCache>
                <c:formatCode>#,##0.0000;[Red]\-#,##0.0000;"-"</c:formatCode>
                <c:ptCount val="2"/>
                <c:pt idx="0">
                  <c:v>0</c:v>
                </c:pt>
                <c:pt idx="1">
                  <c:v>6.0492681129785852</c:v>
                </c:pt>
              </c:numCache>
            </c:numRef>
          </c:yVal>
          <c:smooth val="1"/>
          <c:extLst>
            <c:ext xmlns:c16="http://schemas.microsoft.com/office/drawing/2014/chart" uri="{C3380CC4-5D6E-409C-BE32-E72D297353CC}">
              <c16:uniqueId val="{00000001-0ED8-4498-B888-26294B3F8BF6}"/>
            </c:ext>
          </c:extLst>
        </c:ser>
        <c:ser>
          <c:idx val="7"/>
          <c:order val="7"/>
          <c:tx>
            <c:strRef>
              <c:f>'Boiler Room'!$C$13</c:f>
              <c:strCache>
                <c:ptCount val="1"/>
                <c:pt idx="0">
                  <c:v>Vol A</c:v>
                </c:pt>
              </c:strCache>
            </c:strRef>
          </c:tx>
          <c:spPr>
            <a:ln w="19050" cap="rnd">
              <a:solidFill>
                <a:schemeClr val="accent1"/>
              </a:solidFill>
              <a:prstDash val="sysDot"/>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4-0ED8-4498-B888-26294B3F8BF6}"/>
                </c:ext>
              </c:extLst>
            </c:dLbl>
            <c:dLbl>
              <c:idx val="1"/>
              <c:tx>
                <c:rich>
                  <a:bodyPr/>
                  <a:lstStyle/>
                  <a:p>
                    <a:fld id="{760E160D-AD4B-1347-B193-365B8A749D52}" type="CELLRANGE">
                      <a:rPr lang="en-US"/>
                      <a:pPr/>
                      <a:t>[CELLRANGE]</a:t>
                    </a:fld>
                    <a:r>
                      <a:rPr lang="en-US" baseline="0"/>
                      <a:t> </a:t>
                    </a:r>
                    <a:fld id="{1E91228C-D3A4-9540-9939-D67D7025B005}" type="SERIESNAME">
                      <a:rPr lang="en-US" baseline="0"/>
                      <a:pPr/>
                      <a:t>[SERIES NAME]</a:t>
                    </a:fld>
                    <a:endParaRPr lang="en-US" baseline="0"/>
                  </a:p>
                </c:rich>
              </c:tx>
              <c:dLblPos val="l"/>
              <c:showLegendKey val="0"/>
              <c:showVal val="0"/>
              <c:showCatName val="0"/>
              <c:showSerName val="1"/>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0ED8-4498-B888-26294B3F8BF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dLblPos val="l"/>
            <c:showLegendKey val="0"/>
            <c:showVal val="0"/>
            <c:showCatName val="0"/>
            <c:showSerName val="1"/>
            <c:showPercent val="0"/>
            <c:showBubbleSize val="0"/>
            <c:separator> </c:separator>
            <c:showLeaderLines val="0"/>
            <c:extLst>
              <c:ext xmlns:c15="http://schemas.microsoft.com/office/drawing/2012/chart" uri="{CE6537A1-D6FC-4f65-9D91-7224C49458BB}">
                <c15:showDataLabelsRange val="1"/>
                <c15:showLeaderLines val="0"/>
              </c:ext>
            </c:extLst>
          </c:dLbls>
          <c:xVal>
            <c:numRef>
              <c:f>'Boiler Room'!$D$13:$D$14</c:f>
              <c:numCache>
                <c:formatCode>0.00%;[Red]\-0.00%;"-"</c:formatCode>
                <c:ptCount val="2"/>
                <c:pt idx="0">
                  <c:v>7.0000000000000007E-2</c:v>
                </c:pt>
                <c:pt idx="1">
                  <c:v>7.0000000000000007E-2</c:v>
                </c:pt>
              </c:numCache>
            </c:numRef>
          </c:xVal>
          <c:yVal>
            <c:numRef>
              <c:f>'Boiler Room'!$E$13:$E$14</c:f>
              <c:numCache>
                <c:formatCode>#,##0.0000;[Red]\-#,##0.0000;"-"</c:formatCode>
                <c:ptCount val="2"/>
                <c:pt idx="0">
                  <c:v>0</c:v>
                </c:pt>
                <c:pt idx="1">
                  <c:v>6.0492681129785835</c:v>
                </c:pt>
              </c:numCache>
            </c:numRef>
          </c:yVal>
          <c:smooth val="1"/>
          <c:extLst>
            <c:ext xmlns:c15="http://schemas.microsoft.com/office/drawing/2012/chart" uri="{02D57815-91ED-43cb-92C2-25804820EDAC}">
              <c15:datalabelsRange>
                <c15:f>'Boiler Room'!$J$13:$J$14</c15:f>
                <c15:dlblRangeCache>
                  <c:ptCount val="2"/>
                  <c:pt idx="0">
                    <c:v>4.00%</c:v>
                  </c:pt>
                  <c:pt idx="1">
                    <c:v>4.00%</c:v>
                  </c:pt>
                </c15:dlblRangeCache>
              </c15:datalabelsRange>
            </c:ext>
            <c:ext xmlns:c16="http://schemas.microsoft.com/office/drawing/2014/chart" uri="{C3380CC4-5D6E-409C-BE32-E72D297353CC}">
              <c16:uniqueId val="{00000003-0ED8-4498-B888-26294B3F8BF6}"/>
            </c:ext>
          </c:extLst>
        </c:ser>
        <c:ser>
          <c:idx val="8"/>
          <c:order val="8"/>
          <c:tx>
            <c:strRef>
              <c:f>'Boiler Room'!$F$11</c:f>
              <c:strCache>
                <c:ptCount val="1"/>
                <c:pt idx="0">
                  <c:v>Vol B L</c:v>
                </c:pt>
              </c:strCache>
            </c:strRef>
          </c:tx>
          <c:spPr>
            <a:ln w="19050" cap="rnd">
              <a:solidFill>
                <a:schemeClr val="accent2"/>
              </a:solidFill>
              <a:prstDash val="sysDot"/>
              <a:round/>
            </a:ln>
            <a:effectLst/>
          </c:spPr>
          <c:marker>
            <c:symbol val="none"/>
          </c:marker>
          <c:xVal>
            <c:numRef>
              <c:f>'Boiler Room'!$G$11:$G$12</c:f>
              <c:numCache>
                <c:formatCode>0.00%;[Red]\-0.00%;"-"</c:formatCode>
                <c:ptCount val="2"/>
                <c:pt idx="0">
                  <c:v>-1.0000000000000002E-2</c:v>
                </c:pt>
                <c:pt idx="1">
                  <c:v>-1.0000000000000002E-2</c:v>
                </c:pt>
              </c:numCache>
            </c:numRef>
          </c:xVal>
          <c:yVal>
            <c:numRef>
              <c:f>'Boiler Room'!$H$11:$H$12</c:f>
              <c:numCache>
                <c:formatCode>#,##0.0000;[Red]\-#,##0.0000;"-"</c:formatCode>
                <c:ptCount val="2"/>
                <c:pt idx="0">
                  <c:v>0</c:v>
                </c:pt>
                <c:pt idx="1">
                  <c:v>6.0492681129785852</c:v>
                </c:pt>
              </c:numCache>
            </c:numRef>
          </c:yVal>
          <c:smooth val="1"/>
          <c:extLst>
            <c:ext xmlns:c16="http://schemas.microsoft.com/office/drawing/2014/chart" uri="{C3380CC4-5D6E-409C-BE32-E72D297353CC}">
              <c16:uniqueId val="{00000005-0ED8-4498-B888-26294B3F8BF6}"/>
            </c:ext>
          </c:extLst>
        </c:ser>
        <c:ser>
          <c:idx val="9"/>
          <c:order val="9"/>
          <c:tx>
            <c:strRef>
              <c:f>'Boiler Room'!$F$13</c:f>
              <c:strCache>
                <c:ptCount val="1"/>
                <c:pt idx="0">
                  <c:v>Vol B</c:v>
                </c:pt>
              </c:strCache>
            </c:strRef>
          </c:tx>
          <c:spPr>
            <a:ln w="19050" cap="rnd">
              <a:solidFill>
                <a:schemeClr val="accent2"/>
              </a:solidFill>
              <a:prstDash val="sysDot"/>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7-0ED8-4498-B888-26294B3F8BF6}"/>
                </c:ext>
              </c:extLst>
            </c:dLbl>
            <c:dLbl>
              <c:idx val="1"/>
              <c:tx>
                <c:rich>
                  <a:bodyPr/>
                  <a:lstStyle/>
                  <a:p>
                    <a:fld id="{522AB6F2-63AD-E140-85D7-3FD056A8BAA4}" type="CELLRANGE">
                      <a:rPr lang="en-US"/>
                      <a:pPr/>
                      <a:t>[CELLRANGE]</a:t>
                    </a:fld>
                    <a:r>
                      <a:rPr lang="en-US" baseline="0"/>
                      <a:t> </a:t>
                    </a:r>
                    <a:fld id="{F8D20B63-5BDE-4641-AA52-32B00D2C46E0}" type="SERIESNAME">
                      <a:rPr lang="en-US" baseline="0"/>
                      <a:pPr/>
                      <a:t>[SERIES NAME]</a:t>
                    </a:fld>
                    <a:endParaRPr lang="en-US" baseline="0"/>
                  </a:p>
                </c:rich>
              </c:tx>
              <c:dLblPos val="r"/>
              <c:showLegendKey val="0"/>
              <c:showVal val="0"/>
              <c:showCatName val="0"/>
              <c:showSerName val="1"/>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0ED8-4498-B888-26294B3F8BF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dLblPos val="r"/>
            <c:showLegendKey val="0"/>
            <c:showVal val="0"/>
            <c:showCatName val="0"/>
            <c:showSerName val="1"/>
            <c:showPercent val="0"/>
            <c:showBubbleSize val="0"/>
            <c:separator> </c:separator>
            <c:showLeaderLines val="0"/>
            <c:extLst>
              <c:ext xmlns:c15="http://schemas.microsoft.com/office/drawing/2012/chart" uri="{CE6537A1-D6FC-4f65-9D91-7224C49458BB}">
                <c15:showDataLabelsRange val="1"/>
                <c15:showLeaderLines val="0"/>
              </c:ext>
            </c:extLst>
          </c:dLbls>
          <c:xVal>
            <c:numRef>
              <c:f>'Boiler Room'!$G$13:$G$14</c:f>
              <c:numCache>
                <c:formatCode>0.00%;[Red]\-0.00%;"-"</c:formatCode>
                <c:ptCount val="2"/>
                <c:pt idx="0">
                  <c:v>7.0000000000000007E-2</c:v>
                </c:pt>
                <c:pt idx="1">
                  <c:v>7.0000000000000007E-2</c:v>
                </c:pt>
              </c:numCache>
            </c:numRef>
          </c:xVal>
          <c:yVal>
            <c:numRef>
              <c:f>'Boiler Room'!$H$13:$H$14</c:f>
              <c:numCache>
                <c:formatCode>#,##0.0000;[Red]\-#,##0.0000;"-"</c:formatCode>
                <c:ptCount val="2"/>
                <c:pt idx="0">
                  <c:v>0</c:v>
                </c:pt>
                <c:pt idx="1">
                  <c:v>6.0492681129785835</c:v>
                </c:pt>
              </c:numCache>
            </c:numRef>
          </c:yVal>
          <c:smooth val="1"/>
          <c:extLst>
            <c:ext xmlns:c15="http://schemas.microsoft.com/office/drawing/2012/chart" uri="{02D57815-91ED-43cb-92C2-25804820EDAC}">
              <c15:datalabelsRange>
                <c15:f>'Boiler Room'!$K$13:$K$14</c15:f>
                <c15:dlblRangeCache>
                  <c:ptCount val="2"/>
                  <c:pt idx="0">
                    <c:v>4.00%</c:v>
                  </c:pt>
                  <c:pt idx="1">
                    <c:v>4.00%</c:v>
                  </c:pt>
                </c15:dlblRangeCache>
              </c15:datalabelsRange>
            </c:ext>
            <c:ext xmlns:c16="http://schemas.microsoft.com/office/drawing/2014/chart" uri="{C3380CC4-5D6E-409C-BE32-E72D297353CC}">
              <c16:uniqueId val="{00000006-0ED8-4498-B888-26294B3F8BF6}"/>
            </c:ext>
          </c:extLst>
        </c:ser>
        <c:ser>
          <c:idx val="10"/>
          <c:order val="10"/>
          <c:tx>
            <c:strRef>
              <c:f>'Boiler Room'!$C$9</c:f>
              <c:strCache>
                <c:ptCount val="1"/>
                <c:pt idx="0">
                  <c:v>Mean A</c:v>
                </c:pt>
              </c:strCache>
            </c:strRef>
          </c:tx>
          <c:spPr>
            <a:ln w="19050" cap="rnd">
              <a:solidFill>
                <a:schemeClr val="accent1"/>
              </a:solidFill>
              <a:prstDash val="sys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B-0ED8-4498-B888-26294B3F8BF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xVal>
            <c:numRef>
              <c:f>'Boiler Room'!$D$9:$D$10</c:f>
              <c:numCache>
                <c:formatCode>0.00%;[Red]\-0.00%;"-"</c:formatCode>
                <c:ptCount val="2"/>
                <c:pt idx="0">
                  <c:v>0.03</c:v>
                </c:pt>
                <c:pt idx="1">
                  <c:v>0.03</c:v>
                </c:pt>
              </c:numCache>
            </c:numRef>
          </c:xVal>
          <c:yVal>
            <c:numRef>
              <c:f>'Boiler Room'!$E$9:$E$10</c:f>
              <c:numCache>
                <c:formatCode>#,##0.0000;[Red]\-#,##0.0000;"-"</c:formatCode>
                <c:ptCount val="2"/>
                <c:pt idx="0">
                  <c:v>0</c:v>
                </c:pt>
                <c:pt idx="1">
                  <c:v>9.9735570100358188</c:v>
                </c:pt>
              </c:numCache>
            </c:numRef>
          </c:yVal>
          <c:smooth val="1"/>
          <c:extLst>
            <c:ext xmlns:c16="http://schemas.microsoft.com/office/drawing/2014/chart" uri="{C3380CC4-5D6E-409C-BE32-E72D297353CC}">
              <c16:uniqueId val="{00000009-0ED8-4498-B888-26294B3F8BF6}"/>
            </c:ext>
          </c:extLst>
        </c:ser>
        <c:ser>
          <c:idx val="11"/>
          <c:order val="11"/>
          <c:tx>
            <c:strRef>
              <c:f>'Boiler Room'!$F$9</c:f>
              <c:strCache>
                <c:ptCount val="1"/>
                <c:pt idx="0">
                  <c:v>Mean B</c:v>
                </c:pt>
              </c:strCache>
            </c:strRef>
          </c:tx>
          <c:spPr>
            <a:ln w="19050" cap="rnd">
              <a:solidFill>
                <a:schemeClr val="accent2"/>
              </a:solidFill>
              <a:prstDash val="sys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C-0ED8-4498-B888-26294B3F8BF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dLblPos val="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'Boiler Room'!$G$9:$G$10</c:f>
              <c:numCache>
                <c:formatCode>0.00%;[Red]\-0.00%;"-"</c:formatCode>
                <c:ptCount val="2"/>
                <c:pt idx="0">
                  <c:v>0.03</c:v>
                </c:pt>
                <c:pt idx="1">
                  <c:v>0.03</c:v>
                </c:pt>
              </c:numCache>
            </c:numRef>
          </c:xVal>
          <c:yVal>
            <c:numRef>
              <c:f>'Boiler Room'!$H$9:$H$10</c:f>
              <c:numCache>
                <c:formatCode>#,##0.0000;[Red]\-#,##0.0000;"-"</c:formatCode>
                <c:ptCount val="2"/>
                <c:pt idx="0">
                  <c:v>0</c:v>
                </c:pt>
                <c:pt idx="1">
                  <c:v>9.9735570100358188</c:v>
                </c:pt>
              </c:numCache>
            </c:numRef>
          </c:yVal>
          <c:smooth val="1"/>
          <c:extLst>
            <c:ext xmlns:c16="http://schemas.microsoft.com/office/drawing/2014/chart" uri="{C3380CC4-5D6E-409C-BE32-E72D297353CC}">
              <c16:uniqueId val="{0000000A-0ED8-4498-B888-26294B3F8BF6}"/>
            </c:ext>
          </c:extLst>
        </c:ser>
        <c:ser>
          <c:idx val="12"/>
          <c:order val="12"/>
          <c:tx>
            <c:strRef>
              <c:f>'Boiler Room'!$C$15</c:f>
              <c:strCache>
                <c:ptCount val="1"/>
                <c:pt idx="0">
                  <c:v>&lt;0 A</c:v>
                </c:pt>
              </c:strCache>
            </c:strRef>
          </c:tx>
          <c:spPr>
            <a:ln w="19050" cap="rnd">
              <a:solidFill>
                <a:schemeClr val="accent1">
                  <a:lumMod val="80000"/>
                  <a:lumOff val="20000"/>
                </a:schemeClr>
              </a:solidFill>
              <a:round/>
            </a:ln>
            <a:effectLst/>
          </c:spPr>
          <c:marker>
            <c:symbol val="none"/>
          </c:marker>
          <c:dLbls>
            <c:dLbl>
              <c:idx val="0"/>
              <c:tx>
                <c:rich>
                  <a:bodyPr/>
                  <a:lstStyle/>
                  <a:p>
                    <a:fld id="{98E0CD39-683D-E74E-91AB-38437CAF8029}" type="CELLRANGE">
                      <a:rPr lang="en-US"/>
                      <a:pPr/>
                      <a:t>[CELLRANGE]</a:t>
                    </a:fld>
                    <a:r>
                      <a:rPr lang="en-US" baseline="0"/>
                      <a:t> </a:t>
                    </a:r>
                    <a:fld id="{B8EAF63B-F567-7B45-998C-B804DD50EBAD}" type="SERIESNAME">
                      <a:rPr lang="en-US" baseline="0"/>
                      <a:pPr/>
                      <a:t>[SERIES NAME]</a:t>
                    </a:fld>
                    <a:endParaRPr lang="en-US" baseline="0"/>
                  </a:p>
                </c:rich>
              </c:tx>
              <c:showLegendKey val="0"/>
              <c:showVal val="0"/>
              <c:showCatName val="0"/>
              <c:showSerName val="1"/>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0ED8-4498-B888-26294B3F8BF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showLegendKey val="0"/>
            <c:showVal val="0"/>
            <c:showCatName val="0"/>
            <c:showSerName val="1"/>
            <c:showPercent val="0"/>
            <c:showBubbleSize val="0"/>
            <c:separator> </c:separator>
            <c:showLeaderLines val="0"/>
            <c:extLst>
              <c:ext xmlns:c15="http://schemas.microsoft.com/office/drawing/2012/chart" uri="{CE6537A1-D6FC-4f65-9D91-7224C49458BB}">
                <c15:showDataLabelsRange val="1"/>
                <c15:showLeaderLines val="0"/>
              </c:ext>
            </c:extLst>
          </c:dLbls>
          <c:xVal>
            <c:numRef>
              <c:f>'Boiler Room'!$D$15</c:f>
              <c:numCache>
                <c:formatCode>0.00%;[Red]\-0.00%;"-"</c:formatCode>
                <c:ptCount val="1"/>
                <c:pt idx="0">
                  <c:v>0</c:v>
                </c:pt>
              </c:numCache>
            </c:numRef>
          </c:xVal>
          <c:yVal>
            <c:numRef>
              <c:f>'Boiler Room'!$E$15</c:f>
              <c:numCache>
                <c:formatCode>#,##0.0000;[Red]\-#,##0.0000;"-"</c:formatCode>
                <c:ptCount val="1"/>
                <c:pt idx="0">
                  <c:v>7.5284358038701118</c:v>
                </c:pt>
              </c:numCache>
            </c:numRef>
          </c:yVal>
          <c:smooth val="1"/>
          <c:extLst>
            <c:ext xmlns:c15="http://schemas.microsoft.com/office/drawing/2012/chart" uri="{02D57815-91ED-43cb-92C2-25804820EDAC}">
              <c15:datalabelsRange>
                <c15:f>'Boiler Room'!$L$13</c15:f>
                <c15:dlblRangeCache>
                  <c:ptCount val="1"/>
                  <c:pt idx="0">
                    <c:v>22.66%</c:v>
                  </c:pt>
                </c15:dlblRangeCache>
              </c15:datalabelsRange>
            </c:ext>
            <c:ext xmlns:c16="http://schemas.microsoft.com/office/drawing/2014/chart" uri="{C3380CC4-5D6E-409C-BE32-E72D297353CC}">
              <c16:uniqueId val="{00000010-0ED8-4498-B888-26294B3F8BF6}"/>
            </c:ext>
          </c:extLst>
        </c:ser>
        <c:ser>
          <c:idx val="13"/>
          <c:order val="13"/>
          <c:tx>
            <c:strRef>
              <c:f>'Boiler Room'!$F$16</c:f>
              <c:strCache>
                <c:ptCount val="1"/>
                <c:pt idx="0">
                  <c:v>&lt;0 B</c:v>
                </c:pt>
              </c:strCache>
            </c:strRef>
          </c:tx>
          <c:spPr>
            <a:ln w="19050" cap="rnd">
              <a:solidFill>
                <a:schemeClr val="accent2">
                  <a:lumMod val="80000"/>
                  <a:lumOff val="20000"/>
                </a:schemeClr>
              </a:solidFill>
              <a:round/>
            </a:ln>
            <a:effectLst/>
          </c:spPr>
          <c:marker>
            <c:symbol val="none"/>
          </c:marker>
          <c:dLbls>
            <c:dLbl>
              <c:idx val="0"/>
              <c:tx>
                <c:rich>
                  <a:bodyPr/>
                  <a:lstStyle/>
                  <a:p>
                    <a:fld id="{67813500-97BF-D44D-9340-A7702F5F7934}" type="CELLRANGE">
                      <a:rPr lang="en-US"/>
                      <a:pPr/>
                      <a:t>[CELLRANGE]</a:t>
                    </a:fld>
                    <a:r>
                      <a:rPr lang="en-US" baseline="0"/>
                      <a:t> </a:t>
                    </a:r>
                    <a:fld id="{0B570E0F-FA5B-A14A-BEED-A462B7C6F032}" type="SERIESNAME">
                      <a:rPr lang="en-US" baseline="0"/>
                      <a:pPr/>
                      <a:t>[SERIES NAME]</a:t>
                    </a:fld>
                    <a:endParaRPr lang="en-US" baseline="0"/>
                  </a:p>
                </c:rich>
              </c:tx>
              <c:dLblPos val="l"/>
              <c:showLegendKey val="0"/>
              <c:showVal val="0"/>
              <c:showCatName val="0"/>
              <c:showSerName val="1"/>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0ED8-4498-B888-26294B3F8BF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dLblPos val="l"/>
            <c:showLegendKey val="0"/>
            <c:showVal val="0"/>
            <c:showCatName val="0"/>
            <c:showSerName val="1"/>
            <c:showPercent val="0"/>
            <c:showBubbleSize val="0"/>
            <c:separator> </c:separator>
            <c:showLeaderLines val="0"/>
            <c:extLst>
              <c:ext xmlns:c15="http://schemas.microsoft.com/office/drawing/2012/chart" uri="{CE6537A1-D6FC-4f65-9D91-7224C49458BB}">
                <c15:showDataLabelsRange val="1"/>
                <c15:showLeaderLines val="0"/>
              </c:ext>
            </c:extLst>
          </c:dLbls>
          <c:xVal>
            <c:numRef>
              <c:f>'Boiler Room'!$G$16</c:f>
              <c:numCache>
                <c:formatCode>0.00%;[Red]\-0.00%;"-"</c:formatCode>
                <c:ptCount val="1"/>
                <c:pt idx="0">
                  <c:v>0</c:v>
                </c:pt>
              </c:numCache>
            </c:numRef>
          </c:xVal>
          <c:yVal>
            <c:numRef>
              <c:f>'Boiler Room'!$H$16</c:f>
              <c:numCache>
                <c:formatCode>#,##0.0000;[Red]\-#,##0.0000;"-"</c:formatCode>
                <c:ptCount val="1"/>
                <c:pt idx="0">
                  <c:v>7.5284358038701118</c:v>
                </c:pt>
              </c:numCache>
            </c:numRef>
          </c:yVal>
          <c:smooth val="1"/>
          <c:extLst>
            <c:ext xmlns:c15="http://schemas.microsoft.com/office/drawing/2012/chart" uri="{02D57815-91ED-43cb-92C2-25804820EDAC}">
              <c15:datalabelsRange>
                <c15:f>'Boiler Room'!$M$13</c15:f>
                <c15:dlblRangeCache>
                  <c:ptCount val="1"/>
                  <c:pt idx="0">
                    <c:v>22.66%</c:v>
                  </c:pt>
                </c15:dlblRangeCache>
              </c15:datalabelsRange>
            </c:ext>
            <c:ext xmlns:c16="http://schemas.microsoft.com/office/drawing/2014/chart" uri="{C3380CC4-5D6E-409C-BE32-E72D297353CC}">
              <c16:uniqueId val="{00000011-0ED8-4498-B888-26294B3F8BF6}"/>
            </c:ext>
          </c:extLst>
        </c:ser>
        <c:dLbls>
          <c:showLegendKey val="0"/>
          <c:showVal val="0"/>
          <c:showCatName val="0"/>
          <c:showSerName val="0"/>
          <c:showPercent val="0"/>
          <c:showBubbleSize val="0"/>
        </c:dLbls>
        <c:axId val="714051472"/>
        <c:axId val="714051056"/>
      </c:scatterChart>
      <c:valAx>
        <c:axId val="714051472"/>
        <c:scaling>
          <c:orientation val="minMax"/>
        </c:scaling>
        <c:delete val="0"/>
        <c:axPos val="b"/>
        <c:numFmt formatCode="0%;[Red]\-0%;&quot;-&quot;"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051056"/>
        <c:crosses val="autoZero"/>
        <c:crossBetween val="midCat"/>
      </c:valAx>
      <c:valAx>
        <c:axId val="714051056"/>
        <c:scaling>
          <c:orientation val="minMax"/>
        </c:scaling>
        <c:delete val="0"/>
        <c:axPos val="l"/>
        <c:numFmt formatCode="0.0000" sourceLinked="1"/>
        <c:majorTickMark val="none"/>
        <c:minorTickMark val="none"/>
        <c:tickLblPos val="none"/>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051472"/>
        <c:crosses val="autoZero"/>
        <c:crossBetween val="midCat"/>
      </c:valAx>
      <c:spPr>
        <a:noFill/>
        <a:ln>
          <a:noFill/>
        </a:ln>
        <a:effectLst/>
      </c:spPr>
    </c:plotArea>
    <c:plotVisOnly val="1"/>
    <c:dispBlanksAs val="gap"/>
    <c:showDLblsOverMax val="0"/>
  </c:chart>
  <c:spPr>
    <a:solidFill>
      <a:schemeClr val="tx1">
        <a:lumMod val="10000"/>
        <a:lumOff val="9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25400</xdr:colOff>
      <xdr:row>20</xdr:row>
      <xdr:rowOff>169334</xdr:rowOff>
    </xdr:to>
    <xdr:sp macro="" textlink="">
      <xdr:nvSpPr>
        <xdr:cNvPr id="3" name="TextBox 2">
          <a:extLst>
            <a:ext uri="{FF2B5EF4-FFF2-40B4-BE49-F238E27FC236}">
              <a16:creationId xmlns:a16="http://schemas.microsoft.com/office/drawing/2014/main" id="{35EAE007-8C44-144B-9600-BFA2A6F666B8}"/>
            </a:ext>
          </a:extLst>
        </xdr:cNvPr>
        <xdr:cNvSpPr txBox="1"/>
      </xdr:nvSpPr>
      <xdr:spPr>
        <a:xfrm>
          <a:off x="292100" y="177800"/>
          <a:ext cx="7569200" cy="3547534"/>
        </a:xfrm>
        <a:prstGeom prst="rect">
          <a:avLst/>
        </a:prstGeom>
        <a:solidFill>
          <a:schemeClr val="tx1">
            <a:lumMod val="10000"/>
            <a:lumOff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chemeClr val="dk1"/>
              </a:solidFill>
              <a:effectLst/>
              <a:latin typeface="+mn-lt"/>
              <a:ea typeface="+mn-ea"/>
              <a:cs typeface="+mn-cs"/>
            </a:rPr>
            <a:t>This information does not constitute accounting, tax, legal, investment, consulting or other professional advice or services. Crown Agents Investment Management Ltd accept no liability for the impact of any decisions made based on the information provided in this publication.</a:t>
          </a:r>
        </a:p>
        <a:p>
          <a:r>
            <a:rPr lang="en-US" sz="1200" b="0" i="0" u="none" strike="noStrike">
              <a:solidFill>
                <a:schemeClr val="dk1"/>
              </a:solidFill>
              <a:effectLst/>
              <a:latin typeface="+mn-lt"/>
              <a:ea typeface="+mn-ea"/>
              <a:cs typeface="+mn-cs"/>
            </a:rPr>
            <a:t> </a:t>
          </a:r>
        </a:p>
        <a:p>
          <a:r>
            <a:rPr lang="en-US" sz="1200" b="0" i="0" u="none" strike="noStrike">
              <a:solidFill>
                <a:schemeClr val="dk1"/>
              </a:solidFill>
              <a:effectLst/>
              <a:latin typeface="+mn-lt"/>
              <a:ea typeface="+mn-ea"/>
              <a:cs typeface="+mn-cs"/>
            </a:rPr>
            <a:t>You agree not to copy, modify, reformat, download, reproduce, transmit or redistribute any data or information found herein, or use any such data or information in a commercial enterprise without obtaining prior written consent.</a:t>
          </a:r>
        </a:p>
        <a:p>
          <a:endParaRPr lang="en-US" sz="1200"/>
        </a:p>
        <a:p>
          <a:r>
            <a:rPr lang="en-US" sz="1200"/>
            <a:t>There is no representation or warranty of any kind, whether express or implied, regarding the accuracy or completeness of the information given. The information provided does not constitute advice and it should not be relied on as such.</a:t>
          </a:r>
        </a:p>
        <a:p>
          <a:endParaRPr lang="en-US" sz="1200"/>
        </a:p>
        <a:p>
          <a:r>
            <a:rPr lang="en-US" sz="1200"/>
            <a:t>Any views or opinions expressed are those of Crown Agents Investment Management Ltd and are subject to change due to market and other conditions and should not be taken as statements of policy or intent.</a:t>
          </a:r>
        </a:p>
        <a:p>
          <a:endParaRPr lang="en-US" sz="1200"/>
        </a:p>
        <a:p>
          <a:r>
            <a:rPr lang="en-US" sz="1200"/>
            <a:t>Crown Agents Investment Management Limited. Registered in England &amp; Wales.</a:t>
          </a:r>
        </a:p>
        <a:p>
          <a:r>
            <a:rPr lang="en-US" sz="1200"/>
            <a:t>No: 02169973. Vat Reg No: GB 340 679841.</a:t>
          </a:r>
        </a:p>
        <a:p>
          <a:endParaRPr lang="en-US" sz="1200"/>
        </a:p>
        <a:p>
          <a:r>
            <a:rPr lang="en-US" sz="1200"/>
            <a:t>Authorised and regulated by the Financial Conduct Authority (Financial Services Register number: 119207)</a:t>
          </a:r>
        </a:p>
        <a:p>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165100</xdr:colOff>
      <xdr:row>0</xdr:row>
      <xdr:rowOff>165100</xdr:rowOff>
    </xdr:from>
    <xdr:to>
      <xdr:col>20</xdr:col>
      <xdr:colOff>165100</xdr:colOff>
      <xdr:row>43</xdr:row>
      <xdr:rowOff>165100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CAIM">
      <a:dk1>
        <a:srgbClr val="2C2824"/>
      </a:dk1>
      <a:lt1>
        <a:srgbClr val="FFFFFF"/>
      </a:lt1>
      <a:dk2>
        <a:srgbClr val="D12E28"/>
      </a:dk2>
      <a:lt2>
        <a:srgbClr val="69B578"/>
      </a:lt2>
      <a:accent1>
        <a:srgbClr val="28264B"/>
      </a:accent1>
      <a:accent2>
        <a:srgbClr val="9A221D"/>
      </a:accent2>
      <a:accent3>
        <a:srgbClr val="707070"/>
      </a:accent3>
      <a:accent4>
        <a:srgbClr val="548BE9"/>
      </a:accent4>
      <a:accent5>
        <a:srgbClr val="82ACB3"/>
      </a:accent5>
      <a:accent6>
        <a:srgbClr val="E6BE8A"/>
      </a:accent6>
      <a:hlink>
        <a:srgbClr val="675D54"/>
      </a:hlink>
      <a:folHlink>
        <a:srgbClr val="9E9388"/>
      </a:folHlink>
    </a:clrScheme>
    <a:fontScheme name="JPMAM 2016">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
  <sheetViews>
    <sheetView showGridLines="0" tabSelected="1" zoomScaleNormal="100" workbookViewId="0">
      <selection activeCell="M25" sqref="M25"/>
    </sheetView>
  </sheetViews>
  <sheetFormatPr baseColWidth="10" defaultColWidth="9" defaultRowHeight="14"/>
  <cols>
    <col min="1" max="1" width="3.83203125" customWidth="1"/>
    <col min="2" max="2" width="9" customWidth="1"/>
  </cols>
  <sheetData>
    <row r="1" spans="2:2">
      <c r="B1" s="1"/>
    </row>
  </sheetData>
  <sheetProtection algorithmName="SHA-512" hashValue="lpxyHmvASaxILuM/YRRu+P+DX2hSwLBk3Zsl2MryrBtshEyVtVBs4rFEJSzavucicl4BH/09c6a/Yctr/LD6LA==" saltValue="Wc0cd0Ck4yOyqG/tTnxJZQ==" spinCount="100000" sheet="1" objects="1" scenarios="1" selectLockedCells="1" selectUnlockedCell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AV144"/>
  <sheetViews>
    <sheetView showGridLines="0" zoomScaleNormal="100" workbookViewId="0"/>
  </sheetViews>
  <sheetFormatPr baseColWidth="10" defaultColWidth="9" defaultRowHeight="15"/>
  <cols>
    <col min="1" max="1" width="9" style="3" customWidth="1"/>
    <col min="2" max="2" width="11.1640625" style="3" customWidth="1"/>
    <col min="3" max="12" width="10.6640625" style="3" customWidth="1"/>
    <col min="13" max="13" width="9" style="39"/>
    <col min="14" max="14" width="16.83203125" style="3" customWidth="1"/>
    <col min="15" max="24" width="10.6640625" style="3" customWidth="1"/>
    <col min="25" max="25" width="9" style="3"/>
    <col min="26" max="26" width="19.33203125" style="3" customWidth="1"/>
    <col min="27" max="36" width="10.5" style="3" customWidth="1"/>
    <col min="37" max="37" width="9" style="3"/>
    <col min="38" max="38" width="18.83203125" style="3" customWidth="1"/>
    <col min="39" max="48" width="10.6640625" style="3" customWidth="1"/>
    <col min="49" max="16384" width="9" style="3"/>
  </cols>
  <sheetData>
    <row r="2" spans="1:48">
      <c r="L2" s="38" t="s">
        <v>17</v>
      </c>
      <c r="N2" s="35" t="s">
        <v>9</v>
      </c>
      <c r="O2" s="35"/>
      <c r="P2" s="35"/>
      <c r="Q2" s="35"/>
      <c r="R2" s="35"/>
      <c r="S2" s="35"/>
      <c r="T2" s="35"/>
      <c r="U2" s="35"/>
      <c r="V2" s="35"/>
      <c r="W2" s="35"/>
      <c r="X2" s="35"/>
      <c r="Z2" s="35" t="s">
        <v>38</v>
      </c>
      <c r="AA2" s="35"/>
      <c r="AB2" s="35"/>
      <c r="AC2" s="35"/>
      <c r="AD2" s="35"/>
      <c r="AE2" s="35"/>
      <c r="AF2" s="35"/>
      <c r="AG2" s="35"/>
      <c r="AH2" s="35"/>
      <c r="AI2" s="35"/>
      <c r="AJ2" s="35"/>
    </row>
    <row r="3" spans="1:48">
      <c r="L3" s="40">
        <v>0.95</v>
      </c>
      <c r="N3" s="4"/>
      <c r="O3" s="4" t="str">
        <f t="array" ref="O3:X3">assetnames</f>
        <v>US.CASH</v>
      </c>
      <c r="P3" s="4" t="str">
        <v>US.GOVT.13</v>
      </c>
      <c r="Q3" s="4" t="str">
        <v>US.AGCY.13</v>
      </c>
      <c r="R3" s="4" t="str">
        <v>US.CORP.13</v>
      </c>
      <c r="S3" s="4" t="str">
        <v>US.GOVT</v>
      </c>
      <c r="T3" s="4" t="str">
        <v>US.AGCY</v>
      </c>
      <c r="U3" s="4" t="str">
        <v>US.CORP</v>
      </c>
      <c r="V3" s="4" t="str">
        <v>US.EQ</v>
      </c>
      <c r="W3" s="4" t="str">
        <v>GL.EQ</v>
      </c>
      <c r="X3" s="4" t="str">
        <v>GOLD</v>
      </c>
      <c r="Z3" s="4"/>
      <c r="AA3" s="4" t="str">
        <f t="array" ref="AA3:AJ3">assetnames</f>
        <v>US.CASH</v>
      </c>
      <c r="AB3" s="4" t="str">
        <v>US.GOVT.13</v>
      </c>
      <c r="AC3" s="4" t="str">
        <v>US.AGCY.13</v>
      </c>
      <c r="AD3" s="4" t="str">
        <v>US.CORP.13</v>
      </c>
      <c r="AE3" s="4" t="str">
        <v>US.GOVT</v>
      </c>
      <c r="AF3" s="4" t="str">
        <v>US.AGCY</v>
      </c>
      <c r="AG3" s="4" t="str">
        <v>US.CORP</v>
      </c>
      <c r="AH3" s="4" t="str">
        <v>US.EQ</v>
      </c>
      <c r="AI3" s="4" t="str">
        <v>GL.EQ</v>
      </c>
      <c r="AJ3" s="4" t="str">
        <v>GOLD</v>
      </c>
    </row>
    <row r="4" spans="1:48">
      <c r="N4" s="4" t="s">
        <v>10</v>
      </c>
      <c r="O4" s="21">
        <f>AVERAGE(O$14:O$144)</f>
        <v>8.6096755725190838E-4</v>
      </c>
      <c r="P4" s="21">
        <f t="shared" ref="P4:X4" si="0">AVERAGE(P$14:P$144)</f>
        <v>6.5502081040061497E-4</v>
      </c>
      <c r="Q4" s="21">
        <f t="shared" si="0"/>
        <v>7.0900397552695039E-4</v>
      </c>
      <c r="R4" s="21">
        <f t="shared" si="0"/>
        <v>1.3719438233681066E-3</v>
      </c>
      <c r="S4" s="21">
        <f t="shared" si="0"/>
        <v>4.2273114629133465E-4</v>
      </c>
      <c r="T4" s="21">
        <f t="shared" si="0"/>
        <v>8.6281790215294988E-4</v>
      </c>
      <c r="U4" s="21">
        <f t="shared" si="0"/>
        <v>1.700253117040959E-3</v>
      </c>
      <c r="V4" s="21">
        <f t="shared" si="0"/>
        <v>9.3912234857883199E-3</v>
      </c>
      <c r="W4" s="21">
        <f t="shared" si="0"/>
        <v>6.8650423482521034E-3</v>
      </c>
      <c r="X4" s="21">
        <f t="shared" si="0"/>
        <v>1.4274734202616335E-3</v>
      </c>
      <c r="Z4" s="4" t="s">
        <v>19</v>
      </c>
      <c r="AA4" s="21">
        <f>(1+O4)^12-1</f>
        <v>1.0380674863425643E-2</v>
      </c>
      <c r="AB4" s="21">
        <f t="shared" ref="AB4:AJ4" si="1">(1+P4)^12-1</f>
        <v>7.8886290937170145E-3</v>
      </c>
      <c r="AC4" s="21">
        <f t="shared" si="1"/>
        <v>8.5413035591115349E-3</v>
      </c>
      <c r="AD4" s="21">
        <f t="shared" si="1"/>
        <v>1.6588122917346348E-2</v>
      </c>
      <c r="AE4" s="21">
        <f t="shared" si="1"/>
        <v>5.0845846977731757E-3</v>
      </c>
      <c r="AF4" s="21">
        <f t="shared" si="1"/>
        <v>1.0403090425232797E-2</v>
      </c>
      <c r="AG4" s="21">
        <f t="shared" si="1"/>
        <v>2.0594919699079117E-2</v>
      </c>
      <c r="AH4" s="21">
        <f t="shared" si="1"/>
        <v>0.11870168293435035</v>
      </c>
      <c r="AI4" s="21">
        <f t="shared" si="1"/>
        <v>8.5563300110111928E-2</v>
      </c>
      <c r="AJ4" s="21">
        <f t="shared" si="1"/>
        <v>1.7264809928882574E-2</v>
      </c>
    </row>
    <row r="5" spans="1:48">
      <c r="L5" s="41" t="s">
        <v>78</v>
      </c>
      <c r="N5" s="4" t="s">
        <v>11</v>
      </c>
      <c r="O5" s="21">
        <f>_xlfn.STDEV.S(O$14:O$144)</f>
        <v>1.1944916315125335E-3</v>
      </c>
      <c r="P5" s="21">
        <f t="shared" ref="P5:X5" si="2">_xlfn.STDEV.S(P$14:P$144)</f>
        <v>3.7227186847070123E-3</v>
      </c>
      <c r="Q5" s="21">
        <f t="shared" si="2"/>
        <v>3.4205981489248485E-3</v>
      </c>
      <c r="R5" s="21">
        <f t="shared" si="2"/>
        <v>5.2980923707367546E-3</v>
      </c>
      <c r="S5" s="21">
        <f t="shared" si="2"/>
        <v>1.322999585600196E-2</v>
      </c>
      <c r="T5" s="21">
        <f t="shared" si="2"/>
        <v>7.8081246423947611E-3</v>
      </c>
      <c r="U5" s="21">
        <f t="shared" si="2"/>
        <v>1.7663365405730196E-2</v>
      </c>
      <c r="V5" s="21">
        <f t="shared" si="2"/>
        <v>4.1913455563803867E-2</v>
      </c>
      <c r="W5" s="21">
        <f t="shared" si="2"/>
        <v>4.1377826590278874E-2</v>
      </c>
      <c r="X5" s="21">
        <f t="shared" si="2"/>
        <v>4.226109786627915E-2</v>
      </c>
      <c r="Z5" s="4" t="s">
        <v>22</v>
      </c>
      <c r="AA5" s="21">
        <f>O5*SQRT(12)</f>
        <v>4.1378403899910987E-3</v>
      </c>
      <c r="AB5" s="21">
        <f t="shared" ref="AB5:AJ5" si="3">P5*SQRT(12)</f>
        <v>1.2895875808397059E-2</v>
      </c>
      <c r="AC5" s="21">
        <f t="shared" si="3"/>
        <v>1.1849299572427781E-2</v>
      </c>
      <c r="AD5" s="21">
        <f t="shared" si="3"/>
        <v>1.8353130338618205E-2</v>
      </c>
      <c r="AE5" s="21">
        <f t="shared" si="3"/>
        <v>4.583005001304219E-2</v>
      </c>
      <c r="AF5" s="21">
        <f t="shared" si="3"/>
        <v>2.7048137184916592E-2</v>
      </c>
      <c r="AG5" s="21">
        <f t="shared" si="3"/>
        <v>6.1187692630758309E-2</v>
      </c>
      <c r="AH5" s="21">
        <f t="shared" si="3"/>
        <v>0.14519246911457748</v>
      </c>
      <c r="AI5" s="21">
        <f t="shared" si="3"/>
        <v>0.14333699592227497</v>
      </c>
      <c r="AJ5" s="21">
        <f t="shared" si="3"/>
        <v>0.14639673737607231</v>
      </c>
    </row>
    <row r="6" spans="1:48">
      <c r="L6" s="42">
        <f>_xlfn.NORM.S.INV(1-confidence)</f>
        <v>-1.6448536269514715</v>
      </c>
      <c r="N6" s="4" t="s">
        <v>12</v>
      </c>
      <c r="O6" s="21">
        <f>COUNTIF(O$14:O$144,"&lt;0")/COUNT(O$14:O$144)</f>
        <v>7.6335877862595417E-3</v>
      </c>
      <c r="P6" s="21">
        <f t="shared" ref="P6:X6" si="4">COUNTIF(P$14:P$144,"&lt;0")/COUNT(P$14:P$144)</f>
        <v>0.38931297709923662</v>
      </c>
      <c r="Q6" s="21">
        <f t="shared" si="4"/>
        <v>0.35114503816793891</v>
      </c>
      <c r="R6" s="21">
        <f t="shared" si="4"/>
        <v>0.27480916030534353</v>
      </c>
      <c r="S6" s="21">
        <f t="shared" si="4"/>
        <v>0.51145038167938928</v>
      </c>
      <c r="T6" s="21">
        <f t="shared" si="4"/>
        <v>0.4351145038167939</v>
      </c>
      <c r="U6" s="21">
        <f t="shared" si="4"/>
        <v>0.42748091603053434</v>
      </c>
      <c r="V6" s="21">
        <f t="shared" si="4"/>
        <v>0.32061068702290074</v>
      </c>
      <c r="W6" s="21">
        <f t="shared" si="4"/>
        <v>0.37404580152671757</v>
      </c>
      <c r="X6" s="21">
        <f t="shared" si="4"/>
        <v>0.5419847328244275</v>
      </c>
      <c r="Z6" s="4" t="s">
        <v>39</v>
      </c>
      <c r="AA6" s="21">
        <f t="shared" ref="AA6:AJ6" si="5">AA4+_xlfn.NORM.S.INV(1-confidence)*AA5</f>
        <v>3.5745330902024926E-3</v>
      </c>
      <c r="AB6" s="21">
        <f t="shared" si="5"/>
        <v>-1.3323199002440628E-2</v>
      </c>
      <c r="AC6" s="21">
        <f t="shared" si="5"/>
        <v>-1.0949059819430822E-2</v>
      </c>
      <c r="AD6" s="21">
        <f t="shared" si="5"/>
        <v>-1.3600090086042894E-2</v>
      </c>
      <c r="AE6" s="21">
        <f t="shared" si="5"/>
        <v>-7.0299139289546606E-2</v>
      </c>
      <c r="AF6" s="21">
        <f t="shared" si="5"/>
        <v>-3.4087136125658224E-2</v>
      </c>
      <c r="AG6" s="21">
        <f t="shared" si="5"/>
        <v>-8.004987844941551E-2</v>
      </c>
      <c r="AH6" s="21">
        <f t="shared" si="5"/>
        <v>-0.12011867649480193</v>
      </c>
      <c r="AI6" s="21">
        <f t="shared" si="5"/>
        <v>-0.15020507750897036</v>
      </c>
      <c r="AJ6" s="21">
        <f t="shared" si="5"/>
        <v>-0.22353639451801202</v>
      </c>
    </row>
    <row r="7" spans="1:48">
      <c r="N7" s="4" t="s">
        <v>13</v>
      </c>
      <c r="O7" s="21">
        <f t="shared" ref="O7:X7" si="6">O4+_xlfn.NORM.S.INV(1-confidence)*O5</f>
        <v>-1.1037963352046628E-3</v>
      </c>
      <c r="P7" s="21">
        <f t="shared" si="6"/>
        <v>-5.468306520259726E-3</v>
      </c>
      <c r="Q7" s="21">
        <f t="shared" si="6"/>
        <v>-4.9173792960755759E-3</v>
      </c>
      <c r="R7" s="21">
        <f t="shared" si="6"/>
        <v>-7.342642628562164E-3</v>
      </c>
      <c r="S7" s="21">
        <f t="shared" si="6"/>
        <v>-2.1338675522006426E-2</v>
      </c>
      <c r="T7" s="21">
        <f t="shared" si="6"/>
        <v>-1.1980404235579235E-2</v>
      </c>
      <c r="U7" s="21">
        <f t="shared" si="6"/>
        <v>-2.7353397534743504E-2</v>
      </c>
      <c r="V7" s="21">
        <f t="shared" si="6"/>
        <v>-5.9550275916403814E-2</v>
      </c>
      <c r="W7" s="21">
        <f t="shared" si="6"/>
        <v>-6.119542579413715E-2</v>
      </c>
      <c r="X7" s="21">
        <f t="shared" si="6"/>
        <v>-6.808584668403872E-2</v>
      </c>
      <c r="Z7" s="4" t="s">
        <v>40</v>
      </c>
      <c r="AA7" s="21">
        <f t="shared" ref="AA7:AJ7" si="7">AA4-AA5*EXP(-0.5*NORMSINV(1-confidence)^2)/((1-confidence)*SQRT(2*PI()))</f>
        <v>1.8454984955694718E-3</v>
      </c>
      <c r="AB7" s="21">
        <f t="shared" si="7"/>
        <v>-1.8711859100288813E-2</v>
      </c>
      <c r="AC7" s="21">
        <f t="shared" si="7"/>
        <v>-1.5900398428927546E-2</v>
      </c>
      <c r="AD7" s="21">
        <f t="shared" si="7"/>
        <v>-2.1269114089974575E-2</v>
      </c>
      <c r="AE7" s="21">
        <f t="shared" si="7"/>
        <v>-8.9449646432834942E-2</v>
      </c>
      <c r="AF7" s="21">
        <f t="shared" si="7"/>
        <v>-4.538944856531258E-2</v>
      </c>
      <c r="AG7" s="21">
        <f t="shared" si="7"/>
        <v>-0.10561771755221394</v>
      </c>
      <c r="AH7" s="21">
        <f t="shared" si="7"/>
        <v>-0.18078868266191533</v>
      </c>
      <c r="AI7" s="21">
        <f t="shared" si="7"/>
        <v>-0.21009975716840473</v>
      </c>
      <c r="AJ7" s="21">
        <f t="shared" si="7"/>
        <v>-0.2847096152340432</v>
      </c>
    </row>
    <row r="8" spans="1:48">
      <c r="N8" s="4" t="s">
        <v>14</v>
      </c>
      <c r="O8" s="21">
        <f t="shared" ref="O8:X8" si="8">_xlfn.PERCENTILE.INC(O$14:O$144, 1-confidence)</f>
        <v>3.1666666666666781E-6</v>
      </c>
      <c r="P8" s="21">
        <f t="shared" si="8"/>
        <v>-4.7975296243468182E-3</v>
      </c>
      <c r="Q8" s="21">
        <f t="shared" si="8"/>
        <v>-4.5186832481165446E-3</v>
      </c>
      <c r="R8" s="21">
        <f t="shared" si="8"/>
        <v>-6.8039016178194581E-3</v>
      </c>
      <c r="S8" s="21">
        <f t="shared" si="8"/>
        <v>-2.3338391021693546E-2</v>
      </c>
      <c r="T8" s="21">
        <f t="shared" si="8"/>
        <v>-1.2899256847126669E-2</v>
      </c>
      <c r="U8" s="21">
        <f t="shared" si="8"/>
        <v>-2.67016041944797E-2</v>
      </c>
      <c r="V8" s="21">
        <f t="shared" si="8"/>
        <v>-6.7590542730488076E-2</v>
      </c>
      <c r="W8" s="21">
        <f t="shared" si="8"/>
        <v>-7.1125534704335053E-2</v>
      </c>
      <c r="X8" s="21">
        <f t="shared" si="8"/>
        <v>-6.1494389265187743E-2</v>
      </c>
    </row>
    <row r="9" spans="1:48">
      <c r="N9" s="4" t="s">
        <v>15</v>
      </c>
      <c r="O9" s="21">
        <f t="shared" ref="O9:X9" si="9">O4-O5*EXP(-0.5*NORMSINV(1-confidence)^2)/((1-confidence)*SQRT(2*PI()))</f>
        <v>-1.6029256295294384E-3</v>
      </c>
      <c r="P9" s="21">
        <f t="shared" si="9"/>
        <v>-7.0238786992917477E-3</v>
      </c>
      <c r="Q9" s="21">
        <f t="shared" si="9"/>
        <v>-6.3467076355965373E-3</v>
      </c>
      <c r="R9" s="21">
        <f t="shared" si="9"/>
        <v>-9.5564991651079928E-3</v>
      </c>
      <c r="S9" s="21">
        <f t="shared" si="9"/>
        <v>-2.6866950749154114E-2</v>
      </c>
      <c r="T9" s="21">
        <f t="shared" si="9"/>
        <v>-1.5243100800329082E-2</v>
      </c>
      <c r="U9" s="21">
        <f t="shared" si="9"/>
        <v>-3.4734196929042366E-2</v>
      </c>
      <c r="V9" s="21">
        <f t="shared" si="9"/>
        <v>-7.7064198112563417E-2</v>
      </c>
      <c r="W9" s="21">
        <f t="shared" si="9"/>
        <v>-7.8485530506337553E-2</v>
      </c>
      <c r="X9" s="21">
        <f t="shared" si="9"/>
        <v>-8.5745034407837234E-2</v>
      </c>
      <c r="AA9" s="24">
        <v>1</v>
      </c>
      <c r="AB9" s="24">
        <v>2</v>
      </c>
      <c r="AC9" s="24">
        <v>3</v>
      </c>
      <c r="AD9" s="24">
        <v>4</v>
      </c>
      <c r="AE9" s="24">
        <v>5</v>
      </c>
      <c r="AF9" s="24">
        <v>6</v>
      </c>
      <c r="AG9" s="24">
        <v>7</v>
      </c>
      <c r="AH9" s="24">
        <v>8</v>
      </c>
      <c r="AI9" s="24">
        <v>9</v>
      </c>
      <c r="AJ9" s="24">
        <v>10</v>
      </c>
      <c r="AM9" s="24">
        <v>1</v>
      </c>
      <c r="AN9" s="24">
        <v>2</v>
      </c>
      <c r="AO9" s="24">
        <v>3</v>
      </c>
      <c r="AP9" s="24">
        <v>4</v>
      </c>
      <c r="AQ9" s="24">
        <v>5</v>
      </c>
      <c r="AR9" s="24">
        <v>6</v>
      </c>
      <c r="AS9" s="24">
        <v>7</v>
      </c>
      <c r="AT9" s="24">
        <v>8</v>
      </c>
      <c r="AU9" s="24">
        <v>9</v>
      </c>
      <c r="AV9" s="24">
        <v>10</v>
      </c>
    </row>
    <row r="10" spans="1:48">
      <c r="N10" s="4" t="s">
        <v>16</v>
      </c>
      <c r="O10" s="21">
        <f t="shared" ref="O10:X10" si="10">AVERAGEIF(O$14:O$144, _xlfn.CONCAT("&lt;=",O8))</f>
        <v>-1.8214285714285712E-6</v>
      </c>
      <c r="P10" s="21">
        <f t="shared" si="10"/>
        <v>-8.0993336778951396E-3</v>
      </c>
      <c r="Q10" s="21">
        <f t="shared" si="10"/>
        <v>-8.1049991667141285E-3</v>
      </c>
      <c r="R10" s="21">
        <f t="shared" si="10"/>
        <v>-1.2884569005228006E-2</v>
      </c>
      <c r="S10" s="21">
        <f t="shared" si="10"/>
        <v>-2.8719187067313863E-2</v>
      </c>
      <c r="T10" s="21">
        <f t="shared" si="10"/>
        <v>-1.7897974064534146E-2</v>
      </c>
      <c r="U10" s="21">
        <f t="shared" si="10"/>
        <v>-4.1757497763956812E-2</v>
      </c>
      <c r="V10" s="21">
        <f t="shared" si="10"/>
        <v>-9.0811788372718832E-2</v>
      </c>
      <c r="W10" s="21">
        <f t="shared" si="10"/>
        <v>-9.1234030206975847E-2</v>
      </c>
      <c r="X10" s="21">
        <f t="shared" si="10"/>
        <v>-7.6245807087995596E-2</v>
      </c>
      <c r="Z10" s="43" t="s">
        <v>41</v>
      </c>
      <c r="AA10" s="43"/>
      <c r="AB10" s="43"/>
      <c r="AC10" s="43"/>
      <c r="AD10" s="43"/>
      <c r="AE10" s="43"/>
      <c r="AF10" s="43"/>
      <c r="AG10" s="43"/>
      <c r="AH10" s="43"/>
      <c r="AI10" s="43"/>
      <c r="AJ10" s="43"/>
      <c r="AL10" s="44" t="s">
        <v>45</v>
      </c>
      <c r="AM10" s="44"/>
      <c r="AN10" s="44"/>
      <c r="AO10" s="44"/>
      <c r="AP10" s="44"/>
      <c r="AQ10" s="44"/>
      <c r="AR10" s="44"/>
      <c r="AS10" s="44"/>
      <c r="AT10" s="44"/>
      <c r="AU10" s="44"/>
      <c r="AV10" s="44"/>
    </row>
    <row r="11" spans="1:48">
      <c r="B11" s="45" t="s">
        <v>0</v>
      </c>
      <c r="C11" s="45"/>
      <c r="D11" s="45"/>
      <c r="E11" s="45"/>
      <c r="F11" s="45"/>
      <c r="G11" s="45"/>
      <c r="H11" s="45"/>
      <c r="I11" s="45"/>
      <c r="J11" s="45"/>
      <c r="K11" s="45"/>
      <c r="L11" s="45"/>
      <c r="M11" s="46"/>
      <c r="Z11" s="4"/>
      <c r="AA11" s="4" t="str">
        <f t="array" ref="AA11:AJ11">assetnames</f>
        <v>US.CASH</v>
      </c>
      <c r="AB11" s="4" t="str">
        <v>US.GOVT.13</v>
      </c>
      <c r="AC11" s="4" t="str">
        <v>US.AGCY.13</v>
      </c>
      <c r="AD11" s="4" t="str">
        <v>US.CORP.13</v>
      </c>
      <c r="AE11" s="4" t="str">
        <v>US.GOVT</v>
      </c>
      <c r="AF11" s="4" t="str">
        <v>US.AGCY</v>
      </c>
      <c r="AG11" s="4" t="str">
        <v>US.CORP</v>
      </c>
      <c r="AH11" s="4" t="str">
        <v>US.EQ</v>
      </c>
      <c r="AI11" s="4" t="str">
        <v>GL.EQ</v>
      </c>
      <c r="AJ11" s="4" t="str">
        <v>GOLD</v>
      </c>
      <c r="AL11" s="4"/>
      <c r="AM11" s="4" t="str">
        <f t="array" ref="AM11:AV11">assetnames</f>
        <v>US.CASH</v>
      </c>
      <c r="AN11" s="4" t="str">
        <v>US.GOVT.13</v>
      </c>
      <c r="AO11" s="4" t="str">
        <v>US.AGCY.13</v>
      </c>
      <c r="AP11" s="4" t="str">
        <v>US.CORP.13</v>
      </c>
      <c r="AQ11" s="4" t="str">
        <v>US.GOVT</v>
      </c>
      <c r="AR11" s="4" t="str">
        <v>US.AGCY</v>
      </c>
      <c r="AS11" s="4" t="str">
        <v>US.CORP</v>
      </c>
      <c r="AT11" s="4" t="str">
        <v>US.EQ</v>
      </c>
      <c r="AU11" s="4" t="str">
        <v>GL.EQ</v>
      </c>
      <c r="AV11" s="4" t="str">
        <v>GOLD</v>
      </c>
    </row>
    <row r="12" spans="1:48">
      <c r="B12" s="47" t="s">
        <v>1</v>
      </c>
      <c r="C12" s="48" t="s">
        <v>2</v>
      </c>
      <c r="D12" s="48" t="s">
        <v>3</v>
      </c>
      <c r="E12" s="48" t="s">
        <v>105</v>
      </c>
      <c r="F12" s="48" t="s">
        <v>106</v>
      </c>
      <c r="G12" s="48" t="s">
        <v>4</v>
      </c>
      <c r="H12" s="48" t="s">
        <v>107</v>
      </c>
      <c r="I12" s="48" t="s">
        <v>5</v>
      </c>
      <c r="J12" s="48" t="s">
        <v>6</v>
      </c>
      <c r="K12" s="48" t="s">
        <v>7</v>
      </c>
      <c r="L12" s="48" t="s">
        <v>108</v>
      </c>
      <c r="M12" s="49"/>
      <c r="N12" s="35" t="s">
        <v>8</v>
      </c>
      <c r="O12" s="35"/>
      <c r="P12" s="35"/>
      <c r="Q12" s="35"/>
      <c r="R12" s="35"/>
      <c r="S12" s="35"/>
      <c r="T12" s="35"/>
      <c r="U12" s="35"/>
      <c r="V12" s="35"/>
      <c r="W12" s="35"/>
      <c r="X12" s="35"/>
      <c r="Z12" s="4" t="s">
        <v>10</v>
      </c>
      <c r="AA12" s="21">
        <f t="shared" ref="AA12:AJ12" si="11">AVERAGE(INDEX(rollingannrets,,AA$9))</f>
        <v>9.0039478775935412E-3</v>
      </c>
      <c r="AB12" s="21">
        <f t="shared" si="11"/>
        <v>7.6589780516381515E-3</v>
      </c>
      <c r="AC12" s="21">
        <f t="shared" si="11"/>
        <v>8.08491818565619E-3</v>
      </c>
      <c r="AD12" s="21">
        <f t="shared" si="11"/>
        <v>1.6099230554470184E-2</v>
      </c>
      <c r="AE12" s="21">
        <f t="shared" si="11"/>
        <v>9.8234129118296917E-3</v>
      </c>
      <c r="AF12" s="21">
        <f t="shared" si="11"/>
        <v>1.2178346470754975E-2</v>
      </c>
      <c r="AG12" s="21">
        <f t="shared" si="11"/>
        <v>2.5197142194989062E-2</v>
      </c>
      <c r="AH12" s="21">
        <f t="shared" si="11"/>
        <v>0.11132384666579337</v>
      </c>
      <c r="AI12" s="21">
        <f t="shared" si="11"/>
        <v>7.8250401317083038E-2</v>
      </c>
      <c r="AJ12" s="21">
        <f t="shared" si="11"/>
        <v>3.0982883266086114E-2</v>
      </c>
      <c r="AL12" s="4" t="s">
        <v>10</v>
      </c>
      <c r="AM12" s="21">
        <f t="shared" ref="AM12:AV12" si="12">AVERAGE(INDEX(rollingannrets,,AM$9))</f>
        <v>9.0039478775935412E-3</v>
      </c>
      <c r="AN12" s="21">
        <f t="shared" si="12"/>
        <v>7.6589780516381515E-3</v>
      </c>
      <c r="AO12" s="21">
        <f t="shared" si="12"/>
        <v>8.08491818565619E-3</v>
      </c>
      <c r="AP12" s="21">
        <f t="shared" si="12"/>
        <v>1.6099230554470184E-2</v>
      </c>
      <c r="AQ12" s="21">
        <f t="shared" si="12"/>
        <v>9.8234129118296917E-3</v>
      </c>
      <c r="AR12" s="21">
        <f t="shared" si="12"/>
        <v>1.2178346470754975E-2</v>
      </c>
      <c r="AS12" s="21">
        <f t="shared" si="12"/>
        <v>2.5197142194989062E-2</v>
      </c>
      <c r="AT12" s="21">
        <f t="shared" si="12"/>
        <v>0.11132384666579337</v>
      </c>
      <c r="AU12" s="21">
        <f t="shared" si="12"/>
        <v>7.8250401317083038E-2</v>
      </c>
      <c r="AV12" s="21">
        <f t="shared" si="12"/>
        <v>3.0982883266086114E-2</v>
      </c>
    </row>
    <row r="13" spans="1:48">
      <c r="A13" s="50">
        <v>0</v>
      </c>
      <c r="B13" s="47">
        <v>41213</v>
      </c>
      <c r="C13" s="51">
        <v>0.1065</v>
      </c>
      <c r="D13" s="52">
        <v>1133.383</v>
      </c>
      <c r="E13" s="52">
        <v>1225.499</v>
      </c>
      <c r="F13" s="52">
        <v>1555.8219999999999</v>
      </c>
      <c r="G13" s="52">
        <v>1489.6220000000001</v>
      </c>
      <c r="H13" s="52">
        <v>1406.029</v>
      </c>
      <c r="I13" s="52">
        <v>2452.0529999999999</v>
      </c>
      <c r="J13" s="52">
        <v>1412.16</v>
      </c>
      <c r="K13" s="52">
        <v>1301.52</v>
      </c>
      <c r="L13" s="52">
        <v>1720.65</v>
      </c>
      <c r="M13" s="53"/>
      <c r="N13" s="54" t="s">
        <v>1</v>
      </c>
      <c r="O13" s="4" t="str">
        <f t="array" ref="O13:X13">assetnames</f>
        <v>US.CASH</v>
      </c>
      <c r="P13" s="4" t="str">
        <v>US.GOVT.13</v>
      </c>
      <c r="Q13" s="4" t="str">
        <v>US.AGCY.13</v>
      </c>
      <c r="R13" s="4" t="str">
        <v>US.CORP.13</v>
      </c>
      <c r="S13" s="4" t="str">
        <v>US.GOVT</v>
      </c>
      <c r="T13" s="4" t="str">
        <v>US.AGCY</v>
      </c>
      <c r="U13" s="4" t="str">
        <v>US.CORP</v>
      </c>
      <c r="V13" s="4" t="str">
        <v>US.EQ</v>
      </c>
      <c r="W13" s="4" t="str">
        <v>GL.EQ</v>
      </c>
      <c r="X13" s="4" t="str">
        <v>GOLD</v>
      </c>
      <c r="Z13" s="4" t="s">
        <v>11</v>
      </c>
      <c r="AA13" s="21">
        <f t="shared" ref="AA13:AJ13" si="13">_xlfn.STDEV.S(INDEX(rollingannrets,,AA$9))</f>
        <v>1.1013489166808966E-2</v>
      </c>
      <c r="AB13" s="21">
        <f t="shared" si="13"/>
        <v>2.0377934805475024E-2</v>
      </c>
      <c r="AC13" s="21">
        <f t="shared" si="13"/>
        <v>1.9341796193838877E-2</v>
      </c>
      <c r="AD13" s="21">
        <f t="shared" si="13"/>
        <v>2.4265489228978792E-2</v>
      </c>
      <c r="AE13" s="21">
        <f t="shared" si="13"/>
        <v>5.8256133521910496E-2</v>
      </c>
      <c r="AF13" s="21">
        <f t="shared" si="13"/>
        <v>3.8679312480495463E-2</v>
      </c>
      <c r="AG13" s="21">
        <f t="shared" si="13"/>
        <v>6.8635575208132169E-2</v>
      </c>
      <c r="AH13" s="21">
        <f t="shared" si="13"/>
        <v>0.12926848334287819</v>
      </c>
      <c r="AI13" s="21">
        <f t="shared" si="13"/>
        <v>0.13429416446583742</v>
      </c>
      <c r="AJ13" s="21">
        <f t="shared" si="13"/>
        <v>0.13078122856118715</v>
      </c>
      <c r="AL13" s="4" t="s">
        <v>11</v>
      </c>
      <c r="AM13" s="21">
        <f t="shared" ref="AM13:AV13" si="14">_xlfn.STDEV.S(INDEX(rollingannrets,,AM$9))</f>
        <v>1.1013489166808966E-2</v>
      </c>
      <c r="AN13" s="21">
        <f t="shared" si="14"/>
        <v>2.0377934805475024E-2</v>
      </c>
      <c r="AO13" s="21">
        <f t="shared" si="14"/>
        <v>1.9341796193838877E-2</v>
      </c>
      <c r="AP13" s="21">
        <f t="shared" si="14"/>
        <v>2.4265489228978792E-2</v>
      </c>
      <c r="AQ13" s="21">
        <f t="shared" si="14"/>
        <v>5.8256133521910496E-2</v>
      </c>
      <c r="AR13" s="21">
        <f t="shared" si="14"/>
        <v>3.8679312480495463E-2</v>
      </c>
      <c r="AS13" s="21">
        <f t="shared" si="14"/>
        <v>6.8635575208132169E-2</v>
      </c>
      <c r="AT13" s="21">
        <f t="shared" si="14"/>
        <v>0.12926848334287819</v>
      </c>
      <c r="AU13" s="21">
        <f t="shared" si="14"/>
        <v>0.13429416446583742</v>
      </c>
      <c r="AV13" s="21">
        <f t="shared" si="14"/>
        <v>0.13078122856118715</v>
      </c>
    </row>
    <row r="14" spans="1:48">
      <c r="A14" s="50">
        <v>1</v>
      </c>
      <c r="B14" s="47">
        <v>41243</v>
      </c>
      <c r="C14" s="51">
        <v>7.6100000000000001E-2</v>
      </c>
      <c r="D14" s="52">
        <v>1134.3920000000001</v>
      </c>
      <c r="E14" s="52">
        <v>1226.4059999999999</v>
      </c>
      <c r="F14" s="52">
        <v>1557.163</v>
      </c>
      <c r="G14" s="52">
        <v>1498.192</v>
      </c>
      <c r="H14" s="52">
        <v>1411.252</v>
      </c>
      <c r="I14" s="52">
        <v>2450.0390000000002</v>
      </c>
      <c r="J14" s="52">
        <v>1416.18</v>
      </c>
      <c r="K14" s="52">
        <v>1315.49</v>
      </c>
      <c r="L14" s="52">
        <v>1714.98</v>
      </c>
      <c r="M14" s="53"/>
      <c r="N14" s="54">
        <f t="shared" ref="N14:N45" si="15">B14</f>
        <v>41243</v>
      </c>
      <c r="O14" s="37">
        <f>C13/1200</f>
        <v>8.8750000000000002E-5</v>
      </c>
      <c r="P14" s="37">
        <f>D14/D13-1</f>
        <v>8.9025510352636061E-4</v>
      </c>
      <c r="Q14" s="37">
        <f t="shared" ref="Q14:X14" si="16">E14/E13-1</f>
        <v>7.4010668307344929E-4</v>
      </c>
      <c r="R14" s="37">
        <f t="shared" si="16"/>
        <v>8.6192379333893676E-4</v>
      </c>
      <c r="S14" s="37">
        <f t="shared" si="16"/>
        <v>5.7531373731054547E-3</v>
      </c>
      <c r="T14" s="37">
        <f t="shared" si="16"/>
        <v>3.7147171217664088E-3</v>
      </c>
      <c r="U14" s="37">
        <f t="shared" si="16"/>
        <v>-8.2135255640869431E-4</v>
      </c>
      <c r="V14" s="37">
        <f t="shared" si="16"/>
        <v>2.8467029231815655E-3</v>
      </c>
      <c r="W14" s="37">
        <f t="shared" si="16"/>
        <v>1.0733603786342139E-2</v>
      </c>
      <c r="X14" s="37">
        <f t="shared" si="16"/>
        <v>-3.2952663237730828E-3</v>
      </c>
      <c r="Z14" s="4" t="s">
        <v>12</v>
      </c>
      <c r="AA14" s="21">
        <f t="shared" ref="AA14:AJ14" si="17">COUNTIF(INDEX(rollingannrets,,AA$9),"&lt;0")/COUNT(INDEX(rollingannrets,,AA$9))</f>
        <v>0</v>
      </c>
      <c r="AB14" s="21">
        <f t="shared" si="17"/>
        <v>0.19166666666666668</v>
      </c>
      <c r="AC14" s="21">
        <f t="shared" si="17"/>
        <v>0.15</v>
      </c>
      <c r="AD14" s="21">
        <f t="shared" si="17"/>
        <v>0.125</v>
      </c>
      <c r="AE14" s="21">
        <f t="shared" si="17"/>
        <v>0.48333333333333334</v>
      </c>
      <c r="AF14" s="21">
        <f t="shared" si="17"/>
        <v>0.36666666666666664</v>
      </c>
      <c r="AG14" s="21">
        <f t="shared" si="17"/>
        <v>0.27500000000000002</v>
      </c>
      <c r="AH14" s="21">
        <f t="shared" si="17"/>
        <v>0.2</v>
      </c>
      <c r="AI14" s="21">
        <f t="shared" si="17"/>
        <v>0.3</v>
      </c>
      <c r="AJ14" s="21">
        <f t="shared" si="17"/>
        <v>0.47499999999999998</v>
      </c>
      <c r="AL14" s="4" t="s">
        <v>12</v>
      </c>
      <c r="AM14" s="21">
        <f t="shared" ref="AM14:AV14" si="18">COUNTIF(INDEX(rollingannrets,,AM$9),"&lt;0")/COUNT(INDEX(rollingannrets,,AM$9))</f>
        <v>0</v>
      </c>
      <c r="AN14" s="21">
        <f t="shared" si="18"/>
        <v>0.19166666666666668</v>
      </c>
      <c r="AO14" s="21">
        <f t="shared" si="18"/>
        <v>0.15</v>
      </c>
      <c r="AP14" s="21">
        <f t="shared" si="18"/>
        <v>0.125</v>
      </c>
      <c r="AQ14" s="21">
        <f t="shared" si="18"/>
        <v>0.48333333333333334</v>
      </c>
      <c r="AR14" s="21">
        <f t="shared" si="18"/>
        <v>0.36666666666666664</v>
      </c>
      <c r="AS14" s="21">
        <f t="shared" si="18"/>
        <v>0.27500000000000002</v>
      </c>
      <c r="AT14" s="21">
        <f t="shared" si="18"/>
        <v>0.2</v>
      </c>
      <c r="AU14" s="21">
        <f t="shared" si="18"/>
        <v>0.3</v>
      </c>
      <c r="AV14" s="21">
        <f t="shared" si="18"/>
        <v>0.47499999999999998</v>
      </c>
    </row>
    <row r="15" spans="1:48">
      <c r="A15" s="50">
        <v>2</v>
      </c>
      <c r="B15" s="47">
        <v>41274</v>
      </c>
      <c r="C15" s="51">
        <v>4.0599999999999997E-2</v>
      </c>
      <c r="D15" s="52">
        <v>1134.7750000000001</v>
      </c>
      <c r="E15" s="52">
        <v>1227.0830000000001</v>
      </c>
      <c r="F15" s="52">
        <v>1560.204</v>
      </c>
      <c r="G15" s="52">
        <v>1490.788</v>
      </c>
      <c r="H15" s="52">
        <v>1408.9359999999999</v>
      </c>
      <c r="I15" s="52">
        <v>2449.5630000000001</v>
      </c>
      <c r="J15" s="52">
        <v>1426.19</v>
      </c>
      <c r="K15" s="52">
        <v>1338.5</v>
      </c>
      <c r="L15" s="52">
        <v>1675.35</v>
      </c>
      <c r="M15" s="53"/>
      <c r="N15" s="54">
        <f t="shared" si="15"/>
        <v>41274</v>
      </c>
      <c r="O15" s="37">
        <f t="shared" ref="O15:O78" si="19">C14/1200</f>
        <v>6.3416666666666672E-5</v>
      </c>
      <c r="P15" s="37">
        <f t="shared" ref="P15:P20" si="20">D15/D14-1</f>
        <v>3.3762579425800077E-4</v>
      </c>
      <c r="Q15" s="37">
        <f t="shared" ref="Q15:Q20" si="21">E15/E14-1</f>
        <v>5.5201947805216811E-4</v>
      </c>
      <c r="R15" s="37">
        <f t="shared" ref="R15:R20" si="22">F15/F14-1</f>
        <v>1.9529105173961003E-3</v>
      </c>
      <c r="S15" s="37">
        <f t="shared" ref="S15:S20" si="23">G15/G14-1</f>
        <v>-4.9419567051486313E-3</v>
      </c>
      <c r="T15" s="37">
        <f t="shared" ref="T15:T20" si="24">H15/H14-1</f>
        <v>-1.6410959913608636E-3</v>
      </c>
      <c r="U15" s="37">
        <f t="shared" ref="U15:U20" si="25">I15/I14-1</f>
        <v>-1.9428262162357601E-4</v>
      </c>
      <c r="V15" s="37">
        <f t="shared" ref="V15:V20" si="26">J15/J14-1</f>
        <v>7.0683105254980561E-3</v>
      </c>
      <c r="W15" s="37">
        <f t="shared" ref="W15:W20" si="27">K15/K14-1</f>
        <v>1.7491581083854735E-2</v>
      </c>
      <c r="X15" s="37">
        <f t="shared" ref="X15:X20" si="28">L15/L14-1</f>
        <v>-2.3108141202812904E-2</v>
      </c>
      <c r="Z15" s="4" t="s">
        <v>13</v>
      </c>
      <c r="AA15" s="21">
        <f t="shared" ref="AA15:AJ15" si="29">AA12+_xlfn.NORM.S.INV(1-confidence)*AA13</f>
        <v>-9.1116297238229248E-3</v>
      </c>
      <c r="AB15" s="21">
        <f t="shared" si="29"/>
        <v>-2.5859741922928069E-2</v>
      </c>
      <c r="AC15" s="21">
        <f t="shared" si="29"/>
        <v>-2.3729505435535855E-2</v>
      </c>
      <c r="AD15" s="21">
        <f t="shared" si="29"/>
        <v>-2.3813947413567446E-2</v>
      </c>
      <c r="AE15" s="21">
        <f t="shared" si="29"/>
        <v>-8.5999399603853999E-2</v>
      </c>
      <c r="AF15" s="21">
        <f t="shared" si="29"/>
        <v>-5.1443460950777307E-2</v>
      </c>
      <c r="AG15" s="21">
        <f t="shared" si="29"/>
        <v>-8.7698332624007641E-2</v>
      </c>
      <c r="AH15" s="21">
        <f t="shared" si="29"/>
        <v>-0.1013038870112557</v>
      </c>
      <c r="AI15" s="21">
        <f t="shared" si="29"/>
        <v>-0.14264384218296705</v>
      </c>
      <c r="AJ15" s="21">
        <f t="shared" si="29"/>
        <v>-0.18413309486995194</v>
      </c>
      <c r="AL15" s="4" t="s">
        <v>13</v>
      </c>
      <c r="AM15" s="21">
        <f t="shared" ref="AM15:AV15" si="30">AM12+_xlfn.NORM.S.INV(1-confidence)*AM13</f>
        <v>-9.1116297238229248E-3</v>
      </c>
      <c r="AN15" s="21">
        <f t="shared" si="30"/>
        <v>-2.5859741922928069E-2</v>
      </c>
      <c r="AO15" s="21">
        <f t="shared" si="30"/>
        <v>-2.3729505435535855E-2</v>
      </c>
      <c r="AP15" s="21">
        <f t="shared" si="30"/>
        <v>-2.3813947413567446E-2</v>
      </c>
      <c r="AQ15" s="21">
        <f t="shared" si="30"/>
        <v>-8.5999399603853999E-2</v>
      </c>
      <c r="AR15" s="21">
        <f t="shared" si="30"/>
        <v>-5.1443460950777307E-2</v>
      </c>
      <c r="AS15" s="21">
        <f t="shared" si="30"/>
        <v>-8.7698332624007641E-2</v>
      </c>
      <c r="AT15" s="21">
        <f t="shared" si="30"/>
        <v>-0.1013038870112557</v>
      </c>
      <c r="AU15" s="21">
        <f t="shared" si="30"/>
        <v>-0.14264384218296705</v>
      </c>
      <c r="AV15" s="21">
        <f t="shared" si="30"/>
        <v>-0.18413309486995194</v>
      </c>
    </row>
    <row r="16" spans="1:48">
      <c r="A16" s="50">
        <v>3</v>
      </c>
      <c r="B16" s="47">
        <v>41305</v>
      </c>
      <c r="C16" s="51">
        <v>7.0999999999999994E-2</v>
      </c>
      <c r="D16" s="52">
        <v>1134.9000000000001</v>
      </c>
      <c r="E16" s="52">
        <v>1227.414</v>
      </c>
      <c r="F16" s="52">
        <v>1563.367</v>
      </c>
      <c r="G16" s="52">
        <v>1476.623</v>
      </c>
      <c r="H16" s="52">
        <v>1402.838</v>
      </c>
      <c r="I16" s="52">
        <v>2431.9850000000001</v>
      </c>
      <c r="J16" s="52">
        <v>1498.11</v>
      </c>
      <c r="K16" s="52">
        <v>1405.47</v>
      </c>
      <c r="L16" s="52">
        <v>1663.7</v>
      </c>
      <c r="M16" s="53"/>
      <c r="N16" s="54">
        <f t="shared" si="15"/>
        <v>41305</v>
      </c>
      <c r="O16" s="37">
        <f t="shared" si="19"/>
        <v>3.3833333333333334E-5</v>
      </c>
      <c r="P16" s="37">
        <f t="shared" si="20"/>
        <v>1.1015399528546688E-4</v>
      </c>
      <c r="Q16" s="37">
        <f t="shared" si="21"/>
        <v>2.6974540434498984E-4</v>
      </c>
      <c r="R16" s="37">
        <f t="shared" si="22"/>
        <v>2.0272989942340391E-3</v>
      </c>
      <c r="S16" s="37">
        <f t="shared" si="23"/>
        <v>-9.5016863564771903E-3</v>
      </c>
      <c r="T16" s="37">
        <f t="shared" si="24"/>
        <v>-4.3280887137527868E-3</v>
      </c>
      <c r="U16" s="37">
        <f t="shared" si="25"/>
        <v>-7.1759738369659987E-3</v>
      </c>
      <c r="V16" s="37">
        <f t="shared" si="26"/>
        <v>5.0428063581991145E-2</v>
      </c>
      <c r="W16" s="37">
        <f t="shared" si="27"/>
        <v>5.0033619723571121E-2</v>
      </c>
      <c r="X16" s="37">
        <f t="shared" si="28"/>
        <v>-6.9537708538514043E-3</v>
      </c>
      <c r="Z16" s="4" t="s">
        <v>14</v>
      </c>
      <c r="AA16" s="21">
        <f t="shared" ref="AA16:AJ16" si="31">_xlfn.PERCENTILE.INC(INDEX(rollingannrets,,AA$9), 1-confidence)</f>
        <v>1.606174939197125E-4</v>
      </c>
      <c r="AB16" s="21">
        <f t="shared" si="31"/>
        <v>-3.2995949696778153E-2</v>
      </c>
      <c r="AC16" s="21">
        <f t="shared" si="31"/>
        <v>-3.2123961116409222E-2</v>
      </c>
      <c r="AD16" s="21">
        <f t="shared" si="31"/>
        <v>-4.0515155820454375E-2</v>
      </c>
      <c r="AE16" s="21">
        <f t="shared" si="31"/>
        <v>-8.9834790346214055E-2</v>
      </c>
      <c r="AF16" s="21">
        <f t="shared" si="31"/>
        <v>-6.4791417142215382E-2</v>
      </c>
      <c r="AG16" s="21">
        <f t="shared" si="31"/>
        <v>-0.1242545218956598</v>
      </c>
      <c r="AH16" s="21">
        <f t="shared" si="31"/>
        <v>-9.7678631523339166E-2</v>
      </c>
      <c r="AI16" s="21">
        <f t="shared" si="31"/>
        <v>-0.12302788302828506</v>
      </c>
      <c r="AJ16" s="21">
        <f t="shared" si="31"/>
        <v>-0.14636852355454594</v>
      </c>
      <c r="AL16" s="4" t="s">
        <v>14</v>
      </c>
      <c r="AM16" s="21">
        <f t="shared" ref="AM16:AV16" si="32">_xlfn.PERCENTILE.INC(INDEX(rollingannrets,,AM$9), 1-confidence)</f>
        <v>1.606174939197125E-4</v>
      </c>
      <c r="AN16" s="21">
        <f t="shared" si="32"/>
        <v>-3.2995949696778153E-2</v>
      </c>
      <c r="AO16" s="21">
        <f t="shared" si="32"/>
        <v>-3.2123961116409222E-2</v>
      </c>
      <c r="AP16" s="21">
        <f t="shared" si="32"/>
        <v>-4.0515155820454375E-2</v>
      </c>
      <c r="AQ16" s="21">
        <f t="shared" si="32"/>
        <v>-8.9834790346214055E-2</v>
      </c>
      <c r="AR16" s="21">
        <f t="shared" si="32"/>
        <v>-6.4791417142215382E-2</v>
      </c>
      <c r="AS16" s="21">
        <f t="shared" si="32"/>
        <v>-0.1242545218956598</v>
      </c>
      <c r="AT16" s="21">
        <f t="shared" si="32"/>
        <v>-9.7678631523339166E-2</v>
      </c>
      <c r="AU16" s="21">
        <f t="shared" si="32"/>
        <v>-0.12302788302828506</v>
      </c>
      <c r="AV16" s="21">
        <f t="shared" si="32"/>
        <v>-0.14636852355454594</v>
      </c>
    </row>
    <row r="17" spans="1:48">
      <c r="A17" s="50">
        <v>4</v>
      </c>
      <c r="B17" s="47">
        <v>41333</v>
      </c>
      <c r="C17" s="51">
        <v>0.1014</v>
      </c>
      <c r="D17" s="52">
        <v>1135.8430000000001</v>
      </c>
      <c r="E17" s="52">
        <v>1227.7819999999999</v>
      </c>
      <c r="F17" s="52">
        <v>1566.848</v>
      </c>
      <c r="G17" s="52">
        <v>1485.3910000000001</v>
      </c>
      <c r="H17" s="52">
        <v>1408.567</v>
      </c>
      <c r="I17" s="52">
        <v>2449.183</v>
      </c>
      <c r="J17" s="52">
        <v>1514.68</v>
      </c>
      <c r="K17" s="52">
        <v>1405.18</v>
      </c>
      <c r="L17" s="52">
        <v>1579.61</v>
      </c>
      <c r="M17" s="53"/>
      <c r="N17" s="54">
        <f t="shared" si="15"/>
        <v>41333</v>
      </c>
      <c r="O17" s="37">
        <f t="shared" si="19"/>
        <v>5.9166666666666664E-5</v>
      </c>
      <c r="P17" s="37">
        <f t="shared" si="20"/>
        <v>8.3091021235359719E-4</v>
      </c>
      <c r="Q17" s="37">
        <f t="shared" si="21"/>
        <v>2.998173395447612E-4</v>
      </c>
      <c r="R17" s="37">
        <f t="shared" si="22"/>
        <v>2.2266045016940961E-3</v>
      </c>
      <c r="S17" s="37">
        <f t="shared" si="23"/>
        <v>5.9378731064057E-3</v>
      </c>
      <c r="T17" s="37">
        <f t="shared" si="24"/>
        <v>4.0838642808365133E-3</v>
      </c>
      <c r="U17" s="37">
        <f t="shared" si="25"/>
        <v>7.0715896685218382E-3</v>
      </c>
      <c r="V17" s="37">
        <f t="shared" si="26"/>
        <v>1.1060603026480154E-2</v>
      </c>
      <c r="W17" s="37">
        <f t="shared" si="27"/>
        <v>-2.0633667029534841E-4</v>
      </c>
      <c r="X17" s="37">
        <f t="shared" si="28"/>
        <v>-5.0543968263509154E-2</v>
      </c>
      <c r="Z17" s="4" t="s">
        <v>15</v>
      </c>
      <c r="AA17" s="21">
        <f t="shared" ref="AA17:AJ17" si="33">AA12-AA13*EXP(-0.5*NORMSINV(1-confidence)^2)/((1-confidence)*SQRT(2*PI()))</f>
        <v>-1.3713717282127631E-2</v>
      </c>
      <c r="AB17" s="21">
        <f t="shared" si="33"/>
        <v>-3.4374849062166583E-2</v>
      </c>
      <c r="AC17" s="21">
        <f t="shared" si="33"/>
        <v>-3.1811652543573696E-2</v>
      </c>
      <c r="AD17" s="21">
        <f t="shared" si="33"/>
        <v>-3.3953504858577926E-2</v>
      </c>
      <c r="AE17" s="21">
        <f t="shared" si="33"/>
        <v>-0.11034225981967793</v>
      </c>
      <c r="AF17" s="21">
        <f t="shared" si="33"/>
        <v>-6.7605966768344947E-2</v>
      </c>
      <c r="AG17" s="21">
        <f t="shared" si="33"/>
        <v>-0.11637833783746451</v>
      </c>
      <c r="AH17" s="21">
        <f t="shared" si="33"/>
        <v>-0.15531990953262215</v>
      </c>
      <c r="AI17" s="21">
        <f t="shared" si="33"/>
        <v>-0.19875989170010883</v>
      </c>
      <c r="AJ17" s="21">
        <f t="shared" si="33"/>
        <v>-0.23878123186863098</v>
      </c>
      <c r="AL17" s="4" t="s">
        <v>15</v>
      </c>
      <c r="AM17" s="21">
        <f t="shared" ref="AM17:AV17" si="34">AM12-AM13*EXP(-0.5*NORMSINV(1-confidence)^2)/((1-confidence)*SQRT(2*PI()))</f>
        <v>-1.3713717282127631E-2</v>
      </c>
      <c r="AN17" s="21">
        <f t="shared" si="34"/>
        <v>-3.4374849062166583E-2</v>
      </c>
      <c r="AO17" s="21">
        <f t="shared" si="34"/>
        <v>-3.1811652543573696E-2</v>
      </c>
      <c r="AP17" s="21">
        <f t="shared" si="34"/>
        <v>-3.3953504858577926E-2</v>
      </c>
      <c r="AQ17" s="21">
        <f t="shared" si="34"/>
        <v>-0.11034225981967793</v>
      </c>
      <c r="AR17" s="21">
        <f t="shared" si="34"/>
        <v>-6.7605966768344947E-2</v>
      </c>
      <c r="AS17" s="21">
        <f t="shared" si="34"/>
        <v>-0.11637833783746451</v>
      </c>
      <c r="AT17" s="21">
        <f t="shared" si="34"/>
        <v>-0.15531990953262215</v>
      </c>
      <c r="AU17" s="21">
        <f t="shared" si="34"/>
        <v>-0.19875989170010883</v>
      </c>
      <c r="AV17" s="21">
        <f t="shared" si="34"/>
        <v>-0.23878123186863098</v>
      </c>
    </row>
    <row r="18" spans="1:48">
      <c r="A18" s="50">
        <v>5</v>
      </c>
      <c r="B18" s="47">
        <v>41362</v>
      </c>
      <c r="C18" s="51">
        <v>7.0999999999999994E-2</v>
      </c>
      <c r="D18" s="52">
        <v>1136.1089999999999</v>
      </c>
      <c r="E18" s="52">
        <v>1228.373</v>
      </c>
      <c r="F18" s="52">
        <v>1568.8430000000001</v>
      </c>
      <c r="G18" s="52">
        <v>1486.9860000000001</v>
      </c>
      <c r="H18" s="52">
        <v>1409.664</v>
      </c>
      <c r="I18" s="52">
        <v>2450.8020000000001</v>
      </c>
      <c r="J18" s="52">
        <v>1569.19</v>
      </c>
      <c r="K18" s="52">
        <v>1434.51</v>
      </c>
      <c r="L18" s="52">
        <v>1597.5</v>
      </c>
      <c r="M18" s="53"/>
      <c r="N18" s="54">
        <f t="shared" si="15"/>
        <v>41362</v>
      </c>
      <c r="O18" s="37">
        <f t="shared" si="19"/>
        <v>8.4500000000000008E-5</v>
      </c>
      <c r="P18" s="37">
        <f t="shared" si="20"/>
        <v>2.3418729525115367E-4</v>
      </c>
      <c r="Q18" s="37">
        <f t="shared" si="21"/>
        <v>4.8135581072217271E-4</v>
      </c>
      <c r="R18" s="37">
        <f t="shared" si="22"/>
        <v>1.2732568826077095E-3</v>
      </c>
      <c r="S18" s="37">
        <f t="shared" si="23"/>
        <v>1.0737913451743797E-3</v>
      </c>
      <c r="T18" s="37">
        <f t="shared" si="24"/>
        <v>7.7880569401389543E-4</v>
      </c>
      <c r="U18" s="37">
        <f t="shared" si="25"/>
        <v>6.6103676205497841E-4</v>
      </c>
      <c r="V18" s="37">
        <f t="shared" si="26"/>
        <v>3.5987799403174314E-2</v>
      </c>
      <c r="W18" s="37">
        <f t="shared" si="27"/>
        <v>2.0872770748231462E-2</v>
      </c>
      <c r="X18" s="37">
        <f t="shared" si="28"/>
        <v>1.1325580364773602E-2</v>
      </c>
      <c r="Z18" s="4" t="s">
        <v>16</v>
      </c>
      <c r="AA18" s="21">
        <f t="shared" ref="AA18:AJ18" si="35">AVERAGEIF(INDEX(rollingannrets,,AA$9), _xlfn.CONCAT("&lt;=",AA16))</f>
        <v>1.3317401901968839E-4</v>
      </c>
      <c r="AB18" s="21">
        <f t="shared" si="35"/>
        <v>-4.0721335344665356E-2</v>
      </c>
      <c r="AC18" s="21">
        <f t="shared" si="35"/>
        <v>-4.1331912765825242E-2</v>
      </c>
      <c r="AD18" s="21">
        <f t="shared" si="35"/>
        <v>-4.8634764402382326E-2</v>
      </c>
      <c r="AE18" s="21">
        <f t="shared" si="35"/>
        <v>-0.12452201088680935</v>
      </c>
      <c r="AF18" s="21">
        <f t="shared" si="35"/>
        <v>-8.3425648453120629E-2</v>
      </c>
      <c r="AG18" s="21">
        <f t="shared" si="35"/>
        <v>-0.16114982086904009</v>
      </c>
      <c r="AH18" s="21">
        <f t="shared" si="35"/>
        <v>-0.14542786538093008</v>
      </c>
      <c r="AI18" s="21">
        <f t="shared" si="35"/>
        <v>-0.17467589387148588</v>
      </c>
      <c r="AJ18" s="21">
        <f t="shared" si="35"/>
        <v>-0.23191322936763767</v>
      </c>
      <c r="AL18" s="4" t="s">
        <v>16</v>
      </c>
      <c r="AM18" s="21">
        <f t="shared" ref="AM18:AV18" si="36">AVERAGEIF(INDEX(rollingannrets,,AM$9), _xlfn.CONCAT("&lt;=",AM16))</f>
        <v>1.3317401901968839E-4</v>
      </c>
      <c r="AN18" s="21">
        <f t="shared" si="36"/>
        <v>-4.0721335344665356E-2</v>
      </c>
      <c r="AO18" s="21">
        <f t="shared" si="36"/>
        <v>-4.1331912765825242E-2</v>
      </c>
      <c r="AP18" s="21">
        <f t="shared" si="36"/>
        <v>-4.8634764402382326E-2</v>
      </c>
      <c r="AQ18" s="21">
        <f t="shared" si="36"/>
        <v>-0.12452201088680935</v>
      </c>
      <c r="AR18" s="21">
        <f t="shared" si="36"/>
        <v>-8.3425648453120629E-2</v>
      </c>
      <c r="AS18" s="21">
        <f t="shared" si="36"/>
        <v>-0.16114982086904009</v>
      </c>
      <c r="AT18" s="21">
        <f t="shared" si="36"/>
        <v>-0.14542786538093008</v>
      </c>
      <c r="AU18" s="21">
        <f t="shared" si="36"/>
        <v>-0.17467589387148588</v>
      </c>
      <c r="AV18" s="21">
        <f t="shared" si="36"/>
        <v>-0.23191322936763767</v>
      </c>
    </row>
    <row r="19" spans="1:48">
      <c r="A19" s="50">
        <v>6</v>
      </c>
      <c r="B19" s="47">
        <v>41394</v>
      </c>
      <c r="C19" s="51">
        <v>4.5600000000000002E-2</v>
      </c>
      <c r="D19" s="52">
        <v>1137.26</v>
      </c>
      <c r="E19" s="52">
        <v>1229.559</v>
      </c>
      <c r="F19" s="52">
        <v>1573.645</v>
      </c>
      <c r="G19" s="52">
        <v>1502.646</v>
      </c>
      <c r="H19" s="52">
        <v>1416.454</v>
      </c>
      <c r="I19" s="52">
        <v>2492.4630000000002</v>
      </c>
      <c r="J19" s="52">
        <v>1597.57</v>
      </c>
      <c r="K19" s="52">
        <v>1476.14</v>
      </c>
      <c r="L19" s="52">
        <v>1476.71</v>
      </c>
      <c r="M19" s="53"/>
      <c r="N19" s="54">
        <f t="shared" si="15"/>
        <v>41394</v>
      </c>
      <c r="O19" s="37">
        <f t="shared" si="19"/>
        <v>5.9166666666666664E-5</v>
      </c>
      <c r="P19" s="37">
        <f t="shared" si="20"/>
        <v>1.0131070170205092E-3</v>
      </c>
      <c r="Q19" s="37">
        <f t="shared" si="21"/>
        <v>9.6550477745749319E-4</v>
      </c>
      <c r="R19" s="37">
        <f t="shared" si="22"/>
        <v>3.0608544003447591E-3</v>
      </c>
      <c r="S19" s="37">
        <f t="shared" si="23"/>
        <v>1.0531370167573773E-2</v>
      </c>
      <c r="T19" s="37">
        <f t="shared" si="24"/>
        <v>4.8167506583127739E-3</v>
      </c>
      <c r="U19" s="37">
        <f t="shared" si="25"/>
        <v>1.699892524977531E-2</v>
      </c>
      <c r="V19" s="37">
        <f t="shared" si="26"/>
        <v>1.8085763992887971E-2</v>
      </c>
      <c r="W19" s="37">
        <f t="shared" si="27"/>
        <v>2.9020362353695761E-2</v>
      </c>
      <c r="X19" s="37">
        <f t="shared" si="28"/>
        <v>-7.5611893583724554E-2</v>
      </c>
    </row>
    <row r="20" spans="1:48">
      <c r="A20" s="50">
        <v>7</v>
      </c>
      <c r="B20" s="47">
        <v>41425</v>
      </c>
      <c r="C20" s="51">
        <v>2.53E-2</v>
      </c>
      <c r="D20" s="52">
        <v>1135.6300000000001</v>
      </c>
      <c r="E20" s="52">
        <v>1228</v>
      </c>
      <c r="F20" s="52">
        <v>1571.7539999999999</v>
      </c>
      <c r="G20" s="52">
        <v>1472.37</v>
      </c>
      <c r="H20" s="52">
        <v>1400.3140000000001</v>
      </c>
      <c r="I20" s="52">
        <v>2435.607</v>
      </c>
      <c r="J20" s="52">
        <v>1630.74</v>
      </c>
      <c r="K20" s="52">
        <v>1471.93</v>
      </c>
      <c r="L20" s="52">
        <v>1387.8</v>
      </c>
      <c r="M20" s="53"/>
      <c r="N20" s="54">
        <f t="shared" si="15"/>
        <v>41425</v>
      </c>
      <c r="O20" s="37">
        <f t="shared" si="19"/>
        <v>3.8000000000000002E-5</v>
      </c>
      <c r="P20" s="37">
        <f t="shared" si="20"/>
        <v>-1.4332694370678967E-3</v>
      </c>
      <c r="Q20" s="37">
        <f t="shared" si="21"/>
        <v>-1.2679342756223289E-3</v>
      </c>
      <c r="R20" s="37">
        <f t="shared" si="22"/>
        <v>-1.2016687372311541E-3</v>
      </c>
      <c r="S20" s="37">
        <f t="shared" si="23"/>
        <v>-2.0148458119876533E-2</v>
      </c>
      <c r="T20" s="37">
        <f t="shared" si="24"/>
        <v>-1.1394651714774939E-2</v>
      </c>
      <c r="U20" s="37">
        <f t="shared" si="25"/>
        <v>-2.2811171118688689E-2</v>
      </c>
      <c r="V20" s="37">
        <f t="shared" si="26"/>
        <v>2.0762783477406455E-2</v>
      </c>
      <c r="W20" s="37">
        <f t="shared" si="27"/>
        <v>-2.8520330049995879E-3</v>
      </c>
      <c r="X20" s="37">
        <f t="shared" si="28"/>
        <v>-6.0208165448869533E-2</v>
      </c>
      <c r="Z20" s="4" t="s">
        <v>42</v>
      </c>
      <c r="AA20" s="55">
        <f t="shared" ref="AA20:AJ20" si="37">CORREL(AA26:AA144,AA25:AA143)</f>
        <v>0.99497453297620464</v>
      </c>
      <c r="AB20" s="55">
        <f t="shared" si="37"/>
        <v>0.9676617629280917</v>
      </c>
      <c r="AC20" s="55">
        <f t="shared" si="37"/>
        <v>0.96930578164538417</v>
      </c>
      <c r="AD20" s="55">
        <f t="shared" si="37"/>
        <v>0.9501992321788898</v>
      </c>
      <c r="AE20" s="55">
        <f t="shared" si="37"/>
        <v>0.9527080403349848</v>
      </c>
      <c r="AF20" s="55">
        <f t="shared" si="37"/>
        <v>0.96266327073701974</v>
      </c>
      <c r="AG20" s="55">
        <f t="shared" si="37"/>
        <v>0.9366693390475489</v>
      </c>
      <c r="AH20" s="55">
        <f t="shared" si="37"/>
        <v>0.86267925803526102</v>
      </c>
      <c r="AI20" s="55">
        <f t="shared" si="37"/>
        <v>0.87879147003637337</v>
      </c>
      <c r="AJ20" s="55">
        <f t="shared" si="37"/>
        <v>0.89851233031729938</v>
      </c>
      <c r="AL20" s="4" t="s">
        <v>42</v>
      </c>
      <c r="AM20" s="55">
        <f t="shared" ref="AM20:AV20" si="38">CORREL(AM26:AM144,AM25:AM143)</f>
        <v>0.48684831563928949</v>
      </c>
      <c r="AN20" s="55">
        <f t="shared" si="38"/>
        <v>0.34297092470205626</v>
      </c>
      <c r="AO20" s="55">
        <f t="shared" si="38"/>
        <v>0.34937791355475167</v>
      </c>
      <c r="AP20" s="55">
        <f t="shared" si="38"/>
        <v>0.27266615811425066</v>
      </c>
      <c r="AQ20" s="55">
        <f t="shared" si="38"/>
        <v>0.25217756172683642</v>
      </c>
      <c r="AR20" s="55">
        <f t="shared" si="38"/>
        <v>0.22414356467690905</v>
      </c>
      <c r="AS20" s="55">
        <f t="shared" si="38"/>
        <v>-7.5148695059883155E-2</v>
      </c>
      <c r="AT20" s="55">
        <f t="shared" si="38"/>
        <v>-0.6070045757985244</v>
      </c>
      <c r="AU20" s="55">
        <f t="shared" si="38"/>
        <v>-0.65573873541185113</v>
      </c>
      <c r="AV20" s="55">
        <f t="shared" si="38"/>
        <v>0.35663456703248347</v>
      </c>
    </row>
    <row r="21" spans="1:48">
      <c r="A21" s="50">
        <v>8</v>
      </c>
      <c r="B21" s="47">
        <v>41453</v>
      </c>
      <c r="C21" s="51">
        <v>3.04E-2</v>
      </c>
      <c r="D21" s="52">
        <v>1134.825</v>
      </c>
      <c r="E21" s="52">
        <v>1226.6569999999999</v>
      </c>
      <c r="F21" s="52">
        <v>1565.289</v>
      </c>
      <c r="G21" s="52">
        <v>1453.8910000000001</v>
      </c>
      <c r="H21" s="52">
        <v>1381.6949999999999</v>
      </c>
      <c r="I21" s="52">
        <v>2368.3910000000001</v>
      </c>
      <c r="J21" s="52">
        <v>1606.28</v>
      </c>
      <c r="K21" s="52">
        <v>1433.55</v>
      </c>
      <c r="L21" s="52">
        <v>1234.53</v>
      </c>
      <c r="M21" s="53"/>
      <c r="N21" s="54">
        <f t="shared" si="15"/>
        <v>41453</v>
      </c>
      <c r="O21" s="37">
        <f t="shared" si="19"/>
        <v>2.1083333333333332E-5</v>
      </c>
      <c r="P21" s="37">
        <f t="shared" ref="P21:P84" si="39">D21/D20-1</f>
        <v>-7.0885763849148908E-4</v>
      </c>
      <c r="Q21" s="37">
        <f t="shared" ref="Q21:Q84" si="40">E21/E20-1</f>
        <v>-1.0936482084691335E-3</v>
      </c>
      <c r="R21" s="37">
        <f t="shared" ref="R21:R84" si="41">F21/F20-1</f>
        <v>-4.1132390946674313E-3</v>
      </c>
      <c r="S21" s="37">
        <f t="shared" ref="S21:S84" si="42">G21/G20-1</f>
        <v>-1.2550513797482843E-2</v>
      </c>
      <c r="T21" s="37">
        <f t="shared" ref="T21:T84" si="43">H21/H20-1</f>
        <v>-1.3296303543348209E-2</v>
      </c>
      <c r="U21" s="37">
        <f t="shared" ref="U21:U84" si="44">I21/I20-1</f>
        <v>-2.759722730309111E-2</v>
      </c>
      <c r="V21" s="37">
        <f t="shared" ref="V21:V84" si="45">J21/J20-1</f>
        <v>-1.499932545960736E-2</v>
      </c>
      <c r="W21" s="37">
        <f t="shared" ref="W21:W84" si="46">K21/K20-1</f>
        <v>-2.6074609526268278E-2</v>
      </c>
      <c r="X21" s="37">
        <f t="shared" ref="X21:X84" si="47">L21/L20-1</f>
        <v>-0.11044098573281447</v>
      </c>
    </row>
    <row r="22" spans="1:48">
      <c r="A22" s="50">
        <v>9</v>
      </c>
      <c r="B22" s="47">
        <v>41486</v>
      </c>
      <c r="C22" s="51">
        <v>3.5499999999999997E-2</v>
      </c>
      <c r="D22" s="52">
        <v>1136.6289999999999</v>
      </c>
      <c r="E22" s="52">
        <v>1228.6590000000001</v>
      </c>
      <c r="F22" s="52">
        <v>1571.8440000000001</v>
      </c>
      <c r="G22" s="52">
        <v>1451.0630000000001</v>
      </c>
      <c r="H22" s="52">
        <v>1383.646</v>
      </c>
      <c r="I22" s="52">
        <v>2385.886</v>
      </c>
      <c r="J22" s="52">
        <v>1685.73</v>
      </c>
      <c r="K22" s="52">
        <v>1507.91</v>
      </c>
      <c r="L22" s="52">
        <v>1325.07</v>
      </c>
      <c r="M22" s="53"/>
      <c r="N22" s="54">
        <f t="shared" si="15"/>
        <v>41486</v>
      </c>
      <c r="O22" s="37">
        <f t="shared" si="19"/>
        <v>2.5333333333333334E-5</v>
      </c>
      <c r="P22" s="37">
        <f t="shared" si="39"/>
        <v>1.5896724164516929E-3</v>
      </c>
      <c r="Q22" s="37">
        <f t="shared" si="40"/>
        <v>1.6320780788763312E-3</v>
      </c>
      <c r="R22" s="37">
        <f t="shared" si="41"/>
        <v>4.1877250782442754E-3</v>
      </c>
      <c r="S22" s="37">
        <f t="shared" si="42"/>
        <v>-1.9451251847627526E-3</v>
      </c>
      <c r="T22" s="37">
        <f t="shared" si="43"/>
        <v>1.4120337701157837E-3</v>
      </c>
      <c r="U22" s="37">
        <f t="shared" si="44"/>
        <v>7.3868715089695502E-3</v>
      </c>
      <c r="V22" s="37">
        <f t="shared" si="45"/>
        <v>4.9462111213487203E-2</v>
      </c>
      <c r="W22" s="37">
        <f t="shared" si="46"/>
        <v>5.1871228767744526E-2</v>
      </c>
      <c r="X22" s="37">
        <f t="shared" si="47"/>
        <v>7.333965152730193E-2</v>
      </c>
      <c r="AM22" s="24">
        <v>1</v>
      </c>
      <c r="AN22" s="24">
        <v>2</v>
      </c>
      <c r="AO22" s="24">
        <v>3</v>
      </c>
      <c r="AP22" s="24">
        <v>4</v>
      </c>
      <c r="AQ22" s="24">
        <v>5</v>
      </c>
      <c r="AR22" s="24">
        <v>6</v>
      </c>
      <c r="AS22" s="24">
        <v>7</v>
      </c>
      <c r="AT22" s="24">
        <v>8</v>
      </c>
      <c r="AU22" s="24">
        <v>9</v>
      </c>
      <c r="AV22" s="24">
        <v>10</v>
      </c>
    </row>
    <row r="23" spans="1:48">
      <c r="A23" s="50">
        <v>10</v>
      </c>
      <c r="B23" s="47">
        <v>41516</v>
      </c>
      <c r="C23" s="51">
        <v>2.0299999999999999E-2</v>
      </c>
      <c r="D23" s="52">
        <v>1135.5940000000001</v>
      </c>
      <c r="E23" s="52">
        <v>1227.885</v>
      </c>
      <c r="F23" s="52">
        <v>1572.11</v>
      </c>
      <c r="G23" s="52">
        <v>1443.242</v>
      </c>
      <c r="H23" s="52">
        <v>1377.809</v>
      </c>
      <c r="I23" s="52">
        <v>2369.9360000000001</v>
      </c>
      <c r="J23" s="52">
        <v>1632.97</v>
      </c>
      <c r="K23" s="52">
        <v>1472.74</v>
      </c>
      <c r="L23" s="52">
        <v>1395.27</v>
      </c>
      <c r="M23" s="53"/>
      <c r="N23" s="54">
        <f t="shared" si="15"/>
        <v>41516</v>
      </c>
      <c r="O23" s="37">
        <f t="shared" si="19"/>
        <v>2.9583333333333332E-5</v>
      </c>
      <c r="P23" s="37">
        <f t="shared" si="39"/>
        <v>-9.1058735963966964E-4</v>
      </c>
      <c r="Q23" s="37">
        <f t="shared" si="40"/>
        <v>-6.2995509738672517E-4</v>
      </c>
      <c r="R23" s="37">
        <f t="shared" si="41"/>
        <v>1.6922798954599472E-4</v>
      </c>
      <c r="S23" s="37">
        <f t="shared" si="42"/>
        <v>-5.3898417918450958E-3</v>
      </c>
      <c r="T23" s="37">
        <f t="shared" si="43"/>
        <v>-4.2185645750429934E-3</v>
      </c>
      <c r="U23" s="37">
        <f t="shared" si="44"/>
        <v>-6.6851475720129949E-3</v>
      </c>
      <c r="V23" s="37">
        <f t="shared" si="45"/>
        <v>-3.1298013323604601E-2</v>
      </c>
      <c r="W23" s="37">
        <f t="shared" si="46"/>
        <v>-2.33236731635178E-2</v>
      </c>
      <c r="X23" s="37">
        <f t="shared" si="47"/>
        <v>5.2978333220131901E-2</v>
      </c>
      <c r="Z23" s="43" t="s">
        <v>43</v>
      </c>
      <c r="AA23" s="43"/>
      <c r="AB23" s="43"/>
      <c r="AC23" s="43"/>
      <c r="AD23" s="43"/>
      <c r="AE23" s="43"/>
      <c r="AF23" s="43"/>
      <c r="AG23" s="43"/>
      <c r="AH23" s="43"/>
      <c r="AI23" s="43"/>
      <c r="AJ23" s="43"/>
      <c r="AL23" s="56" t="s">
        <v>44</v>
      </c>
      <c r="AM23" s="56"/>
      <c r="AN23" s="56"/>
      <c r="AO23" s="56"/>
      <c r="AP23" s="56"/>
      <c r="AQ23" s="56"/>
      <c r="AR23" s="56"/>
      <c r="AS23" s="56"/>
      <c r="AT23" s="56"/>
      <c r="AU23" s="56"/>
      <c r="AV23" s="56"/>
    </row>
    <row r="24" spans="1:48">
      <c r="A24" s="50">
        <v>11</v>
      </c>
      <c r="B24" s="47">
        <v>41547</v>
      </c>
      <c r="C24" s="51">
        <v>5.1000000000000004E-3</v>
      </c>
      <c r="D24" s="52">
        <v>1138.1610000000001</v>
      </c>
      <c r="E24" s="52">
        <v>1230.3910000000001</v>
      </c>
      <c r="F24" s="52">
        <v>1578.4739999999999</v>
      </c>
      <c r="G24" s="52">
        <v>1454.2639999999999</v>
      </c>
      <c r="H24" s="52">
        <v>1386.519</v>
      </c>
      <c r="I24" s="52">
        <v>2389.4560000000001</v>
      </c>
      <c r="J24" s="52">
        <v>1681.55</v>
      </c>
      <c r="K24" s="52">
        <v>1543.67</v>
      </c>
      <c r="L24" s="52">
        <v>1329.03</v>
      </c>
      <c r="M24" s="53"/>
      <c r="N24" s="54">
        <f t="shared" si="15"/>
        <v>41547</v>
      </c>
      <c r="O24" s="37">
        <f t="shared" si="19"/>
        <v>1.6916666666666667E-5</v>
      </c>
      <c r="P24" s="37">
        <f t="shared" si="39"/>
        <v>2.2604909853345401E-3</v>
      </c>
      <c r="Q24" s="37">
        <f t="shared" si="40"/>
        <v>2.0409077397314235E-3</v>
      </c>
      <c r="R24" s="37">
        <f t="shared" si="41"/>
        <v>4.0480627945882475E-3</v>
      </c>
      <c r="S24" s="37">
        <f t="shared" si="42"/>
        <v>7.6369728708005624E-3</v>
      </c>
      <c r="T24" s="37">
        <f t="shared" si="43"/>
        <v>6.3216309372344792E-3</v>
      </c>
      <c r="U24" s="37">
        <f t="shared" si="44"/>
        <v>8.2365093403367062E-3</v>
      </c>
      <c r="V24" s="37">
        <f t="shared" si="45"/>
        <v>2.9749474883188354E-2</v>
      </c>
      <c r="W24" s="37">
        <f t="shared" si="46"/>
        <v>4.816192946480724E-2</v>
      </c>
      <c r="X24" s="37">
        <f t="shared" si="47"/>
        <v>-4.7474682319551098E-2</v>
      </c>
      <c r="Z24" s="4" t="s">
        <v>1</v>
      </c>
      <c r="AA24" s="4" t="str">
        <f t="array" ref="AA24:AJ24">assetnames</f>
        <v>US.CASH</v>
      </c>
      <c r="AB24" s="4" t="str">
        <v>US.GOVT.13</v>
      </c>
      <c r="AC24" s="4" t="str">
        <v>US.AGCY.13</v>
      </c>
      <c r="AD24" s="4" t="str">
        <v>US.CORP.13</v>
      </c>
      <c r="AE24" s="4" t="str">
        <v>US.GOVT</v>
      </c>
      <c r="AF24" s="4" t="str">
        <v>US.AGCY</v>
      </c>
      <c r="AG24" s="4" t="str">
        <v>US.CORP</v>
      </c>
      <c r="AH24" s="4" t="str">
        <v>US.EQ</v>
      </c>
      <c r="AI24" s="4" t="str">
        <v>GL.EQ</v>
      </c>
      <c r="AJ24" s="4" t="str">
        <v>GOLD</v>
      </c>
      <c r="AL24" s="4" t="s">
        <v>1</v>
      </c>
      <c r="AM24" s="4" t="str">
        <f t="array" ref="AM24:AV24">assetnames</f>
        <v>US.CASH</v>
      </c>
      <c r="AN24" s="4" t="str">
        <v>US.GOVT.13</v>
      </c>
      <c r="AO24" s="4" t="str">
        <v>US.AGCY.13</v>
      </c>
      <c r="AP24" s="4" t="str">
        <v>US.CORP.13</v>
      </c>
      <c r="AQ24" s="4" t="str">
        <v>US.GOVT</v>
      </c>
      <c r="AR24" s="4" t="str">
        <v>US.AGCY</v>
      </c>
      <c r="AS24" s="4" t="str">
        <v>US.CORP</v>
      </c>
      <c r="AT24" s="4" t="str">
        <v>US.EQ</v>
      </c>
      <c r="AU24" s="4" t="str">
        <v>GL.EQ</v>
      </c>
      <c r="AV24" s="4" t="str">
        <v>GOLD</v>
      </c>
    </row>
    <row r="25" spans="1:48">
      <c r="A25" s="50">
        <v>12</v>
      </c>
      <c r="B25" s="47">
        <v>41578</v>
      </c>
      <c r="C25" s="51">
        <v>3.5499999999999997E-2</v>
      </c>
      <c r="D25" s="52">
        <v>1139.329</v>
      </c>
      <c r="E25" s="52">
        <v>1232.4749999999999</v>
      </c>
      <c r="F25" s="52">
        <v>1584.624</v>
      </c>
      <c r="G25" s="52">
        <v>1462.2339999999999</v>
      </c>
      <c r="H25" s="52">
        <v>1393.1179999999999</v>
      </c>
      <c r="I25" s="52">
        <v>2425.2220000000002</v>
      </c>
      <c r="J25" s="52">
        <v>1756.54</v>
      </c>
      <c r="K25" s="52">
        <v>1602.86</v>
      </c>
      <c r="L25" s="52">
        <v>1323.06</v>
      </c>
      <c r="M25" s="53"/>
      <c r="N25" s="54">
        <f t="shared" si="15"/>
        <v>41578</v>
      </c>
      <c r="O25" s="37">
        <f t="shared" si="19"/>
        <v>4.25E-6</v>
      </c>
      <c r="P25" s="37">
        <f t="shared" si="39"/>
        <v>1.0262168533272664E-3</v>
      </c>
      <c r="Q25" s="37">
        <f t="shared" si="40"/>
        <v>1.6937705168518224E-3</v>
      </c>
      <c r="R25" s="37">
        <f t="shared" si="41"/>
        <v>3.8961680711877555E-3</v>
      </c>
      <c r="S25" s="37">
        <f t="shared" si="42"/>
        <v>5.4804354642623565E-3</v>
      </c>
      <c r="T25" s="37">
        <f t="shared" si="43"/>
        <v>4.7594010612186377E-3</v>
      </c>
      <c r="U25" s="37">
        <f t="shared" si="44"/>
        <v>1.4968260558051671E-2</v>
      </c>
      <c r="V25" s="37">
        <f t="shared" si="45"/>
        <v>4.4595759864410889E-2</v>
      </c>
      <c r="W25" s="37">
        <f t="shared" si="46"/>
        <v>3.8343687446150909E-2</v>
      </c>
      <c r="X25" s="37">
        <f t="shared" si="47"/>
        <v>-4.4919979232974638E-3</v>
      </c>
      <c r="Y25" s="24">
        <v>1</v>
      </c>
      <c r="Z25" s="28">
        <f>N25</f>
        <v>41578</v>
      </c>
      <c r="AA25" s="21">
        <f t="array" ref="AA25">PRODUCT(1+O14:O25)-1</f>
        <v>5.2412185746208984E-4</v>
      </c>
      <c r="AB25" s="21">
        <f t="array" ref="AB25">PRODUCT(1+P14:P25)-1</f>
        <v>5.246240679452896E-3</v>
      </c>
      <c r="AC25" s="21">
        <f t="array" ref="AC25">PRODUCT(1+Q14:Q25)-1</f>
        <v>5.6923751059771988E-3</v>
      </c>
      <c r="AD25" s="21">
        <f t="array" ref="AD25">PRODUCT(1+R14:R25)-1</f>
        <v>1.85124005188253E-2</v>
      </c>
      <c r="AE25" s="21">
        <f t="array" ref="AE25">PRODUCT(1+S14:S25)-1</f>
        <v>-1.838587238910272E-2</v>
      </c>
      <c r="AF25" s="21">
        <f t="array" ref="AF25">PRODUCT(1+T14:T25)-1</f>
        <v>-9.1825986519479263E-3</v>
      </c>
      <c r="AG25" s="21">
        <f t="array" ref="AG25">PRODUCT(1+U14:U25)-1</f>
        <v>-1.0942259404669974E-2</v>
      </c>
      <c r="AH25" s="21">
        <f t="array" ref="AH25">PRODUCT(1+V14:V25)-1</f>
        <v>0.24386755041921626</v>
      </c>
      <c r="AI25" s="21">
        <f t="array" ref="AI25">PRODUCT(1+W14:W25)-1</f>
        <v>0.23152928883152013</v>
      </c>
      <c r="AJ25" s="21">
        <f t="array" ref="AJ25">PRODUCT(1+X14:X25)-1</f>
        <v>-0.2310696539098599</v>
      </c>
      <c r="AK25" s="24">
        <v>1</v>
      </c>
      <c r="AL25" s="28">
        <f t="shared" ref="AL25:AL34" si="48">INDEX(rollinganndates,AK25,1)</f>
        <v>41578</v>
      </c>
      <c r="AM25" s="21">
        <f t="shared" ref="AM25:AV34" si="49">INDEX(rollingannrets,$AK25,AM$22)</f>
        <v>5.2412185746208984E-4</v>
      </c>
      <c r="AN25" s="21">
        <f t="shared" si="49"/>
        <v>5.246240679452896E-3</v>
      </c>
      <c r="AO25" s="21">
        <f t="shared" si="49"/>
        <v>5.6923751059771988E-3</v>
      </c>
      <c r="AP25" s="21">
        <f t="shared" si="49"/>
        <v>1.85124005188253E-2</v>
      </c>
      <c r="AQ25" s="21">
        <f t="shared" si="49"/>
        <v>-1.838587238910272E-2</v>
      </c>
      <c r="AR25" s="21">
        <f t="shared" si="49"/>
        <v>-9.1825986519479263E-3</v>
      </c>
      <c r="AS25" s="21">
        <f t="shared" si="49"/>
        <v>-1.0942259404669974E-2</v>
      </c>
      <c r="AT25" s="21">
        <f t="shared" si="49"/>
        <v>0.24386755041921626</v>
      </c>
      <c r="AU25" s="21">
        <f t="shared" si="49"/>
        <v>0.23152928883152013</v>
      </c>
      <c r="AV25" s="21">
        <f t="shared" si="49"/>
        <v>-0.2310696539098599</v>
      </c>
    </row>
    <row r="26" spans="1:48">
      <c r="A26" s="50">
        <v>13</v>
      </c>
      <c r="B26" s="47">
        <v>41607</v>
      </c>
      <c r="C26" s="51">
        <v>5.5800000000000002E-2</v>
      </c>
      <c r="D26" s="52">
        <v>1140.3910000000001</v>
      </c>
      <c r="E26" s="52">
        <v>1233.5719999999999</v>
      </c>
      <c r="F26" s="52">
        <v>1588.3810000000001</v>
      </c>
      <c r="G26" s="52">
        <v>1455.9860000000001</v>
      </c>
      <c r="H26" s="52">
        <v>1392.671</v>
      </c>
      <c r="I26" s="52">
        <v>2418.2429999999999</v>
      </c>
      <c r="J26" s="52">
        <v>1805.81</v>
      </c>
      <c r="K26" s="52">
        <v>1628.42</v>
      </c>
      <c r="L26" s="52">
        <v>1253.3499999999999</v>
      </c>
      <c r="M26" s="53"/>
      <c r="N26" s="54">
        <f t="shared" si="15"/>
        <v>41607</v>
      </c>
      <c r="O26" s="37">
        <f t="shared" si="19"/>
        <v>2.9583333333333332E-5</v>
      </c>
      <c r="P26" s="37">
        <f t="shared" si="39"/>
        <v>9.3212759439986748E-4</v>
      </c>
      <c r="Q26" s="37">
        <f t="shared" si="40"/>
        <v>8.90078906265801E-4</v>
      </c>
      <c r="R26" s="37">
        <f t="shared" si="41"/>
        <v>2.3709094397157404E-3</v>
      </c>
      <c r="S26" s="37">
        <f t="shared" si="42"/>
        <v>-4.2729139111795655E-3</v>
      </c>
      <c r="T26" s="37">
        <f t="shared" si="43"/>
        <v>-3.2086298504496735E-4</v>
      </c>
      <c r="U26" s="37">
        <f t="shared" si="44"/>
        <v>-2.8776747035942352E-3</v>
      </c>
      <c r="V26" s="37">
        <f t="shared" si="45"/>
        <v>2.804946087194149E-2</v>
      </c>
      <c r="W26" s="37">
        <f t="shared" si="46"/>
        <v>1.5946495639045377E-2</v>
      </c>
      <c r="X26" s="37">
        <f t="shared" si="47"/>
        <v>-5.2688464619896291E-2</v>
      </c>
      <c r="Y26" s="24">
        <v>2</v>
      </c>
      <c r="Z26" s="28">
        <f t="shared" ref="Z26:Z89" si="50">N26</f>
        <v>41607</v>
      </c>
      <c r="AA26" s="21">
        <f t="array" ref="AA26">PRODUCT(1+O15:O26)-1</f>
        <v>4.6492943357967498E-4</v>
      </c>
      <c r="AB26" s="21">
        <f t="array" ref="AB26">PRODUCT(1+P15:P26)-1</f>
        <v>5.2882954040576191E-3</v>
      </c>
      <c r="AC26" s="21">
        <f t="array" ref="AC26">PRODUCT(1+Q15:Q26)-1</f>
        <v>5.8430894826020374E-3</v>
      </c>
      <c r="AD26" s="21">
        <f t="array" ref="AD26">PRODUCT(1+R15:R26)-1</f>
        <v>2.0047997544251794E-2</v>
      </c>
      <c r="AE26" s="21">
        <f t="array" ref="AE26">PRODUCT(1+S15:S26)-1</f>
        <v>-2.8171289127161048E-2</v>
      </c>
      <c r="AF26" s="21">
        <f t="array" ref="AF26">PRODUCT(1+T15:T26)-1</f>
        <v>-1.3166323236388555E-2</v>
      </c>
      <c r="AG26" s="21">
        <f t="array" ref="AG26">PRODUCT(1+U15:U26)-1</f>
        <v>-1.2977752599040548E-2</v>
      </c>
      <c r="AH26" s="21">
        <f t="array" ref="AH26">PRODUCT(1+V15:V26)-1</f>
        <v>0.27512745554943652</v>
      </c>
      <c r="AI26" s="21">
        <f t="array" ref="AI26">PRODUCT(1+W15:W26)-1</f>
        <v>0.23788094170233154</v>
      </c>
      <c r="AJ26" s="21">
        <f t="array" ref="AJ26">PRODUCT(1+X15:X26)-1</f>
        <v>-0.26917515073062082</v>
      </c>
      <c r="AK26" s="24">
        <v>13</v>
      </c>
      <c r="AL26" s="28">
        <f t="shared" si="48"/>
        <v>41943</v>
      </c>
      <c r="AM26" s="21">
        <f t="shared" si="49"/>
        <v>3.2112961931729522E-4</v>
      </c>
      <c r="AN26" s="21">
        <f t="shared" si="49"/>
        <v>6.7478313990079197E-3</v>
      </c>
      <c r="AO26" s="21">
        <f t="shared" si="49"/>
        <v>6.8301588267509761E-3</v>
      </c>
      <c r="AP26" s="21">
        <f t="shared" si="49"/>
        <v>1.6381804137763689E-2</v>
      </c>
      <c r="AQ26" s="21">
        <f t="shared" si="49"/>
        <v>3.248727631829107E-2</v>
      </c>
      <c r="AR26" s="21">
        <f t="shared" si="49"/>
        <v>2.7091746714923204E-2</v>
      </c>
      <c r="AS26" s="21">
        <f t="shared" si="49"/>
        <v>6.4858392345112925E-2</v>
      </c>
      <c r="AT26" s="21">
        <f t="shared" si="49"/>
        <v>0.14887790770491982</v>
      </c>
      <c r="AU26" s="21">
        <f t="shared" si="49"/>
        <v>6.5651398125849969E-2</v>
      </c>
      <c r="AV26" s="21">
        <f t="shared" si="49"/>
        <v>-0.11346424198449045</v>
      </c>
    </row>
    <row r="27" spans="1:48">
      <c r="A27" s="50">
        <v>14</v>
      </c>
      <c r="B27" s="47">
        <v>41639</v>
      </c>
      <c r="C27" s="51">
        <v>6.59E-2</v>
      </c>
      <c r="D27" s="52">
        <v>1138.837</v>
      </c>
      <c r="E27" s="52">
        <v>1232.2829999999999</v>
      </c>
      <c r="F27" s="52">
        <v>1587.9179999999999</v>
      </c>
      <c r="G27" s="52">
        <v>1440.854</v>
      </c>
      <c r="H27" s="52">
        <v>1383.771</v>
      </c>
      <c r="I27" s="52">
        <v>2413.9</v>
      </c>
      <c r="J27" s="52">
        <v>1848.36</v>
      </c>
      <c r="K27" s="52">
        <v>1661.07</v>
      </c>
      <c r="L27" s="52">
        <v>1201.6400000000001</v>
      </c>
      <c r="M27" s="53"/>
      <c r="N27" s="54">
        <f t="shared" si="15"/>
        <v>41639</v>
      </c>
      <c r="O27" s="37">
        <f t="shared" si="19"/>
        <v>4.6499999999999999E-5</v>
      </c>
      <c r="P27" s="37">
        <f t="shared" si="39"/>
        <v>-1.3626905157968494E-3</v>
      </c>
      <c r="Q27" s="37">
        <f t="shared" si="40"/>
        <v>-1.0449329264931029E-3</v>
      </c>
      <c r="R27" s="37">
        <f t="shared" si="41"/>
        <v>-2.9149177684706373E-4</v>
      </c>
      <c r="S27" s="37">
        <f t="shared" si="42"/>
        <v>-1.0392957075136766E-2</v>
      </c>
      <c r="T27" s="37">
        <f t="shared" si="43"/>
        <v>-6.3905976357661043E-3</v>
      </c>
      <c r="U27" s="37">
        <f t="shared" si="44"/>
        <v>-1.7959320051789129E-3</v>
      </c>
      <c r="V27" s="37">
        <f t="shared" si="45"/>
        <v>2.3562833299184183E-2</v>
      </c>
      <c r="W27" s="37">
        <f t="shared" si="46"/>
        <v>2.0050109922501447E-2</v>
      </c>
      <c r="X27" s="37">
        <f t="shared" si="47"/>
        <v>-4.125743008736571E-2</v>
      </c>
      <c r="Y27" s="24">
        <v>3</v>
      </c>
      <c r="Z27" s="28">
        <f t="shared" si="50"/>
        <v>41639</v>
      </c>
      <c r="AA27" s="21">
        <f t="array" ref="AA27">PRODUCT(1+O16:O27)-1</f>
        <v>4.4800597508642959E-4</v>
      </c>
      <c r="AB27" s="21">
        <f t="array" ref="AB27">PRODUCT(1+P16:P27)-1</f>
        <v>3.5795642307945297E-3</v>
      </c>
      <c r="AC27" s="21">
        <f t="array" ref="AC27">PRODUCT(1+Q16:Q27)-1</f>
        <v>4.2376921528537448E-3</v>
      </c>
      <c r="AD27" s="21">
        <f t="array" ref="AD27">PRODUCT(1+R16:R27)-1</f>
        <v>1.7763061753463427E-2</v>
      </c>
      <c r="AE27" s="21">
        <f t="array" ref="AE27">PRODUCT(1+S16:S27)-1</f>
        <v>-3.3495037523779359E-2</v>
      </c>
      <c r="AF27" s="21">
        <f t="array" ref="AF27">PRODUCT(1+T16:T27)-1</f>
        <v>-1.7860995815281777E-2</v>
      </c>
      <c r="AG27" s="21">
        <f t="array" ref="AG27">PRODUCT(1+U16:U27)-1</f>
        <v>-1.4558923367147369E-2</v>
      </c>
      <c r="AH27" s="21">
        <f t="array" ref="AH27">PRODUCT(1+V16:V27)-1</f>
        <v>0.29601245275874954</v>
      </c>
      <c r="AI27" s="21">
        <f t="array" ref="AI27">PRODUCT(1+W16:W27)-1</f>
        <v>0.24099364960777003</v>
      </c>
      <c r="AJ27" s="21">
        <f t="array" ref="AJ27">PRODUCT(1+X16:X27)-1</f>
        <v>-0.28275285761184232</v>
      </c>
      <c r="AK27" s="24">
        <v>25</v>
      </c>
      <c r="AL27" s="28">
        <f t="shared" si="48"/>
        <v>42307</v>
      </c>
      <c r="AM27" s="21">
        <f t="shared" si="49"/>
        <v>1.0575348688157682E-4</v>
      </c>
      <c r="AN27" s="21">
        <f t="shared" si="49"/>
        <v>7.8220287929473553E-3</v>
      </c>
      <c r="AO27" s="21">
        <f t="shared" si="49"/>
        <v>1.016123066211172E-2</v>
      </c>
      <c r="AP27" s="21">
        <f t="shared" si="49"/>
        <v>1.0969940698492442E-2</v>
      </c>
      <c r="AQ27" s="21">
        <f t="shared" si="49"/>
        <v>2.6174740252944639E-2</v>
      </c>
      <c r="AR27" s="21">
        <f t="shared" si="49"/>
        <v>2.1415093020980436E-2</v>
      </c>
      <c r="AS27" s="21">
        <f t="shared" si="49"/>
        <v>9.5883165189942776E-3</v>
      </c>
      <c r="AT27" s="21">
        <f t="shared" si="49"/>
        <v>3.0380813161219766E-2</v>
      </c>
      <c r="AU27" s="21">
        <f t="shared" si="49"/>
        <v>-1.3406787698539979E-3</v>
      </c>
      <c r="AV27" s="21">
        <f t="shared" si="49"/>
        <v>-2.6284379422647386E-2</v>
      </c>
    </row>
    <row r="28" spans="1:48">
      <c r="A28" s="50">
        <v>15</v>
      </c>
      <c r="B28" s="47">
        <v>41670</v>
      </c>
      <c r="C28" s="51">
        <v>2.0299999999999999E-2</v>
      </c>
      <c r="D28" s="52">
        <v>1140.6379999999999</v>
      </c>
      <c r="E28" s="52">
        <v>1234.3530000000001</v>
      </c>
      <c r="F28" s="52">
        <v>1592.627</v>
      </c>
      <c r="G28" s="52">
        <v>1463.8630000000001</v>
      </c>
      <c r="H28" s="52">
        <v>1398.7860000000001</v>
      </c>
      <c r="I28" s="52">
        <v>2456.9670000000001</v>
      </c>
      <c r="J28" s="52">
        <v>1782.59</v>
      </c>
      <c r="K28" s="52">
        <v>1598.46</v>
      </c>
      <c r="L28" s="52">
        <v>1244.55</v>
      </c>
      <c r="M28" s="53"/>
      <c r="N28" s="54">
        <f t="shared" si="15"/>
        <v>41670</v>
      </c>
      <c r="O28" s="37">
        <f t="shared" si="19"/>
        <v>5.4916666666666669E-5</v>
      </c>
      <c r="P28" s="37">
        <f t="shared" si="39"/>
        <v>1.5814379055123506E-3</v>
      </c>
      <c r="Q28" s="37">
        <f t="shared" si="40"/>
        <v>1.679808939992089E-3</v>
      </c>
      <c r="R28" s="37">
        <f t="shared" si="41"/>
        <v>2.9655183705961097E-3</v>
      </c>
      <c r="S28" s="37">
        <f t="shared" si="42"/>
        <v>1.5969001717037301E-2</v>
      </c>
      <c r="T28" s="37">
        <f t="shared" si="43"/>
        <v>1.085078383634297E-2</v>
      </c>
      <c r="U28" s="37">
        <f t="shared" si="44"/>
        <v>1.7841252744521308E-2</v>
      </c>
      <c r="V28" s="37">
        <f t="shared" si="45"/>
        <v>-3.5582895107013734E-2</v>
      </c>
      <c r="W28" s="37">
        <f t="shared" si="46"/>
        <v>-3.7692571655619567E-2</v>
      </c>
      <c r="X28" s="37">
        <f t="shared" si="47"/>
        <v>3.5709530308578152E-2</v>
      </c>
      <c r="Y28" s="24">
        <v>4</v>
      </c>
      <c r="Z28" s="28">
        <f t="shared" si="50"/>
        <v>41670</v>
      </c>
      <c r="AA28" s="21">
        <f t="array" ref="AA28">PRODUCT(1+O17:O28)-1</f>
        <v>4.6909804026373791E-4</v>
      </c>
      <c r="AB28" s="21">
        <f t="array" ref="AB28">PRODUCT(1+P17:P28)-1</f>
        <v>5.0559520662611934E-3</v>
      </c>
      <c r="AC28" s="21">
        <f t="array" ref="AC28">PRODUCT(1+Q17:Q28)-1</f>
        <v>5.6533492366879212E-3</v>
      </c>
      <c r="AD28" s="21">
        <f t="array" ref="AD28">PRODUCT(1+R17:R28)-1</f>
        <v>1.8716014857676599E-2</v>
      </c>
      <c r="AE28" s="21">
        <f t="array" ref="AE28">PRODUCT(1+S17:S28)-1</f>
        <v>-8.6413390553986558E-3</v>
      </c>
      <c r="AF28" s="21">
        <f t="array" ref="AF28">PRODUCT(1+T17:T28)-1</f>
        <v>-2.8884304531240357E-3</v>
      </c>
      <c r="AG28" s="21">
        <f t="array" ref="AG28">PRODUCT(1+U17:U28)-1</f>
        <v>1.0272267304280547E-2</v>
      </c>
      <c r="AH28" s="21">
        <f t="array" ref="AH28">PRODUCT(1+V17:V28)-1</f>
        <v>0.18989259800682268</v>
      </c>
      <c r="AI28" s="21">
        <f t="array" ref="AI28">PRODUCT(1+W17:W28)-1</f>
        <v>0.13731349655275449</v>
      </c>
      <c r="AJ28" s="21">
        <f t="array" ref="AJ28">PRODUCT(1+X17:X28)-1</f>
        <v>-0.25193845044178631</v>
      </c>
      <c r="AK28" s="24">
        <v>37</v>
      </c>
      <c r="AL28" s="28">
        <f t="shared" si="48"/>
        <v>42674</v>
      </c>
      <c r="AM28" s="21">
        <f t="shared" si="49"/>
        <v>2.365120850150948E-3</v>
      </c>
      <c r="AN28" s="21">
        <f t="shared" si="49"/>
        <v>9.1471458638447967E-3</v>
      </c>
      <c r="AO28" s="21">
        <f t="shared" si="49"/>
        <v>9.7742165548997395E-3</v>
      </c>
      <c r="AP28" s="21">
        <f t="shared" si="49"/>
        <v>2.3280808671390485E-2</v>
      </c>
      <c r="AQ28" s="21">
        <f t="shared" si="49"/>
        <v>3.4961965589912491E-2</v>
      </c>
      <c r="AR28" s="21">
        <f t="shared" si="49"/>
        <v>2.6511082434372168E-2</v>
      </c>
      <c r="AS28" s="21">
        <f t="shared" si="49"/>
        <v>7.0247154122303757E-2</v>
      </c>
      <c r="AT28" s="21">
        <f t="shared" si="49"/>
        <v>2.2502116035703512E-2</v>
      </c>
      <c r="AU28" s="21">
        <f t="shared" si="49"/>
        <v>-8.72317973971104E-3</v>
      </c>
      <c r="AV28" s="21">
        <f t="shared" si="49"/>
        <v>0.1182898319776553</v>
      </c>
    </row>
    <row r="29" spans="1:48">
      <c r="A29" s="50">
        <v>16</v>
      </c>
      <c r="B29" s="47">
        <v>41698</v>
      </c>
      <c r="C29" s="51">
        <v>4.5600000000000002E-2</v>
      </c>
      <c r="D29" s="52">
        <v>1141.6690000000001</v>
      </c>
      <c r="E29" s="52">
        <v>1235.444</v>
      </c>
      <c r="F29" s="52">
        <v>1596.8689999999999</v>
      </c>
      <c r="G29" s="52">
        <v>1468.431</v>
      </c>
      <c r="H29" s="52">
        <v>1402.692</v>
      </c>
      <c r="I29" s="52">
        <v>2483.9279999999999</v>
      </c>
      <c r="J29" s="52">
        <v>1859.45</v>
      </c>
      <c r="K29" s="52">
        <v>1675.4</v>
      </c>
      <c r="L29" s="52">
        <v>1326.39</v>
      </c>
      <c r="M29" s="53"/>
      <c r="N29" s="54">
        <f t="shared" si="15"/>
        <v>41698</v>
      </c>
      <c r="O29" s="37">
        <f t="shared" si="19"/>
        <v>1.6916666666666667E-5</v>
      </c>
      <c r="P29" s="37">
        <f t="shared" si="39"/>
        <v>9.038801092022819E-4</v>
      </c>
      <c r="Q29" s="37">
        <f t="shared" si="40"/>
        <v>8.8386385418104396E-4</v>
      </c>
      <c r="R29" s="37">
        <f t="shared" si="41"/>
        <v>2.6635238508452286E-3</v>
      </c>
      <c r="S29" s="37">
        <f t="shared" si="42"/>
        <v>3.1205105942291311E-3</v>
      </c>
      <c r="T29" s="37">
        <f t="shared" si="43"/>
        <v>2.7924214282957216E-3</v>
      </c>
      <c r="U29" s="37">
        <f t="shared" si="44"/>
        <v>1.0973285355480922E-2</v>
      </c>
      <c r="V29" s="37">
        <f t="shared" si="45"/>
        <v>4.3117037568930705E-2</v>
      </c>
      <c r="W29" s="37">
        <f t="shared" si="46"/>
        <v>4.8133828810229984E-2</v>
      </c>
      <c r="X29" s="37">
        <f t="shared" si="47"/>
        <v>6.5758707966734997E-2</v>
      </c>
      <c r="Y29" s="24">
        <v>5</v>
      </c>
      <c r="Z29" s="28">
        <f t="shared" si="50"/>
        <v>41698</v>
      </c>
      <c r="AA29" s="21">
        <f t="array" ref="AA29">PRODUCT(1+O18:O29)-1</f>
        <v>4.2683072168747671E-4</v>
      </c>
      <c r="AB29" s="21">
        <f t="array" ref="AB29">PRODUCT(1+P18:P29)-1</f>
        <v>5.1292300080205688E-3</v>
      </c>
      <c r="AC29" s="21">
        <f t="array" ref="AC29">PRODUCT(1+Q18:Q29)-1</f>
        <v>6.2405215258083402E-3</v>
      </c>
      <c r="AD29" s="21">
        <f t="array" ref="AD29">PRODUCT(1+R18:R29)-1</f>
        <v>1.9160122743240304E-2</v>
      </c>
      <c r="AE29" s="21">
        <f t="array" ref="AE29">PRODUCT(1+S18:S29)-1</f>
        <v>-1.1417869099785816E-2</v>
      </c>
      <c r="AF29" s="21">
        <f t="array" ref="AF29">PRODUCT(1+T18:T29)-1</f>
        <v>-4.1709056083238938E-3</v>
      </c>
      <c r="AG29" s="21">
        <f t="array" ref="AG29">PRODUCT(1+U18:U29)-1</f>
        <v>1.4186363370969124E-2</v>
      </c>
      <c r="AH29" s="21">
        <f t="array" ref="AH29">PRODUCT(1+V18:V29)-1</f>
        <v>0.22761903504370617</v>
      </c>
      <c r="AI29" s="21">
        <f t="array" ref="AI29">PRODUCT(1+W18:W29)-1</f>
        <v>0.19230276548200265</v>
      </c>
      <c r="AJ29" s="21">
        <f t="array" ref="AJ29">PRODUCT(1+X18:X29)-1</f>
        <v>-0.16030539183722547</v>
      </c>
      <c r="AK29" s="24">
        <v>49</v>
      </c>
      <c r="AL29" s="28">
        <f t="shared" si="48"/>
        <v>43039</v>
      </c>
      <c r="AM29" s="21">
        <f t="shared" si="49"/>
        <v>7.5426784367975674E-3</v>
      </c>
      <c r="AN29" s="21">
        <f t="shared" si="49"/>
        <v>2.4362164752349535E-3</v>
      </c>
      <c r="AO29" s="21">
        <f t="shared" si="49"/>
        <v>4.8066211917956458E-3</v>
      </c>
      <c r="AP29" s="21">
        <f t="shared" si="49"/>
        <v>1.7513945256091956E-2</v>
      </c>
      <c r="AQ29" s="21">
        <f t="shared" si="49"/>
        <v>-6.9975427523666367E-3</v>
      </c>
      <c r="AR29" s="21">
        <f t="shared" si="49"/>
        <v>4.9811764454943397E-3</v>
      </c>
      <c r="AS29" s="21">
        <f t="shared" si="49"/>
        <v>3.5355432165749212E-2</v>
      </c>
      <c r="AT29" s="21">
        <f t="shared" si="49"/>
        <v>0.21123156879806237</v>
      </c>
      <c r="AU29" s="21">
        <f t="shared" si="49"/>
        <v>0.20455136848579492</v>
      </c>
      <c r="AV29" s="21">
        <f t="shared" si="49"/>
        <v>-4.5020004541149738E-3</v>
      </c>
    </row>
    <row r="30" spans="1:48">
      <c r="A30" s="50">
        <v>17</v>
      </c>
      <c r="B30" s="47">
        <v>41729</v>
      </c>
      <c r="C30" s="51">
        <v>3.04E-2</v>
      </c>
      <c r="D30" s="52">
        <v>1140.405</v>
      </c>
      <c r="E30" s="52">
        <v>1234.375</v>
      </c>
      <c r="F30" s="52">
        <v>1596.4059999999999</v>
      </c>
      <c r="G30" s="52">
        <v>1464.2929999999999</v>
      </c>
      <c r="H30" s="52">
        <v>1400.8679999999999</v>
      </c>
      <c r="I30" s="52">
        <v>2485.6950000000002</v>
      </c>
      <c r="J30" s="52">
        <v>1872.34</v>
      </c>
      <c r="K30" s="52">
        <v>1673.87</v>
      </c>
      <c r="L30" s="52">
        <v>1284.01</v>
      </c>
      <c r="M30" s="53"/>
      <c r="N30" s="54">
        <f t="shared" si="15"/>
        <v>41729</v>
      </c>
      <c r="O30" s="37">
        <f t="shared" si="19"/>
        <v>3.8000000000000002E-5</v>
      </c>
      <c r="P30" s="37">
        <f t="shared" si="39"/>
        <v>-1.107151021881192E-3</v>
      </c>
      <c r="Q30" s="37">
        <f t="shared" si="40"/>
        <v>-8.6527596556373876E-4</v>
      </c>
      <c r="R30" s="37">
        <f t="shared" si="41"/>
        <v>-2.8994238099677716E-4</v>
      </c>
      <c r="S30" s="37">
        <f t="shared" si="42"/>
        <v>-2.817973742041735E-3</v>
      </c>
      <c r="T30" s="37">
        <f t="shared" si="43"/>
        <v>-1.3003567426064233E-3</v>
      </c>
      <c r="U30" s="37">
        <f t="shared" si="44"/>
        <v>7.1137327652026627E-4</v>
      </c>
      <c r="V30" s="37">
        <f t="shared" si="45"/>
        <v>6.9321573583585039E-3</v>
      </c>
      <c r="W30" s="37">
        <f t="shared" si="46"/>
        <v>-9.1321475468553182E-4</v>
      </c>
      <c r="X30" s="37">
        <f t="shared" si="47"/>
        <v>-3.1951386847005825E-2</v>
      </c>
      <c r="Y30" s="24">
        <v>6</v>
      </c>
      <c r="Z30" s="28">
        <f t="shared" si="50"/>
        <v>41729</v>
      </c>
      <c r="AA30" s="21">
        <f t="array" ref="AA30">PRODUCT(1+O19:O30)-1</f>
        <v>3.8031480465439138E-4</v>
      </c>
      <c r="AB30" s="21">
        <f t="array" ref="AB30">PRODUCT(1+P19:P30)-1</f>
        <v>3.7813273198261665E-3</v>
      </c>
      <c r="AC30" s="21">
        <f t="array" ref="AC30">PRODUCT(1+Q19:Q30)-1</f>
        <v>4.8861380053126791E-3</v>
      </c>
      <c r="AD30" s="21">
        <f t="array" ref="AD30">PRODUCT(1+R19:R30)-1</f>
        <v>1.7568998300021343E-2</v>
      </c>
      <c r="AE30" s="21">
        <f t="array" ref="AE30">PRODUCT(1+S19:S30)-1</f>
        <v>-1.5261071724952169E-2</v>
      </c>
      <c r="AF30" s="21">
        <f t="array" ref="AF30">PRODUCT(1+T19:T30)-1</f>
        <v>-6.2397847997817113E-3</v>
      </c>
      <c r="AG30" s="21">
        <f t="array" ref="AG30">PRODUCT(1+U19:U30)-1</f>
        <v>1.4237380253484533E-2</v>
      </c>
      <c r="AH30" s="21">
        <f t="array" ref="AH30">PRODUCT(1+V19:V30)-1</f>
        <v>0.19318884265130465</v>
      </c>
      <c r="AI30" s="21">
        <f t="array" ref="AI30">PRODUCT(1+W19:W30)-1</f>
        <v>0.16685836975692014</v>
      </c>
      <c r="AJ30" s="21">
        <f t="array" ref="AJ30">PRODUCT(1+X19:X30)-1</f>
        <v>-0.19623787167449136</v>
      </c>
      <c r="AK30" s="24">
        <v>61</v>
      </c>
      <c r="AL30" s="28">
        <f t="shared" si="48"/>
        <v>43404</v>
      </c>
      <c r="AM30" s="21">
        <f t="shared" si="49"/>
        <v>1.7206189055391619E-2</v>
      </c>
      <c r="AN30" s="21">
        <f t="shared" si="49"/>
        <v>2.48416929977191E-3</v>
      </c>
      <c r="AO30" s="21">
        <f t="shared" si="49"/>
        <v>4.8575368875594105E-3</v>
      </c>
      <c r="AP30" s="21">
        <f t="shared" si="49"/>
        <v>7.2127167486857324E-3</v>
      </c>
      <c r="AQ30" s="21">
        <f t="shared" si="49"/>
        <v>-2.049177239040334E-2</v>
      </c>
      <c r="AR30" s="21">
        <f t="shared" si="49"/>
        <v>-7.0888446867822807E-3</v>
      </c>
      <c r="AS30" s="21">
        <f t="shared" si="49"/>
        <v>-2.8249369784475231E-2</v>
      </c>
      <c r="AT30" s="21">
        <f t="shared" si="49"/>
        <v>5.2996590635508989E-2</v>
      </c>
      <c r="AU30" s="21">
        <f t="shared" si="49"/>
        <v>-7.276119402985004E-3</v>
      </c>
      <c r="AV30" s="21">
        <f t="shared" si="49"/>
        <v>-4.4594403284413109E-2</v>
      </c>
    </row>
    <row r="31" spans="1:48">
      <c r="A31" s="50">
        <v>18</v>
      </c>
      <c r="B31" s="47">
        <v>41759</v>
      </c>
      <c r="C31" s="51">
        <v>2.53E-2</v>
      </c>
      <c r="D31" s="52">
        <v>1141.915</v>
      </c>
      <c r="E31" s="52">
        <v>1236.425</v>
      </c>
      <c r="F31" s="52">
        <v>1600.3009999999999</v>
      </c>
      <c r="G31" s="52">
        <v>1473.4349999999999</v>
      </c>
      <c r="H31" s="52">
        <v>1408.96</v>
      </c>
      <c r="I31" s="52">
        <v>2514.6770000000001</v>
      </c>
      <c r="J31" s="52">
        <v>1883.95</v>
      </c>
      <c r="K31" s="52">
        <v>1687.74</v>
      </c>
      <c r="L31" s="52">
        <v>1291.6099999999999</v>
      </c>
      <c r="M31" s="53"/>
      <c r="N31" s="54">
        <f t="shared" si="15"/>
        <v>41759</v>
      </c>
      <c r="O31" s="37">
        <f t="shared" si="19"/>
        <v>2.5333333333333334E-5</v>
      </c>
      <c r="P31" s="37">
        <f t="shared" si="39"/>
        <v>1.3240910027578767E-3</v>
      </c>
      <c r="Q31" s="37">
        <f t="shared" si="40"/>
        <v>1.6607594936708381E-3</v>
      </c>
      <c r="R31" s="37">
        <f t="shared" si="41"/>
        <v>2.4398555254740995E-3</v>
      </c>
      <c r="S31" s="37">
        <f t="shared" si="42"/>
        <v>6.2432860090160247E-3</v>
      </c>
      <c r="T31" s="37">
        <f t="shared" si="43"/>
        <v>5.7764186204554147E-3</v>
      </c>
      <c r="U31" s="37">
        <f t="shared" si="44"/>
        <v>1.1659515749116389E-2</v>
      </c>
      <c r="V31" s="37">
        <f t="shared" si="45"/>
        <v>6.2007968638175814E-3</v>
      </c>
      <c r="W31" s="37">
        <f t="shared" si="46"/>
        <v>8.28618709935669E-3</v>
      </c>
      <c r="X31" s="37">
        <f t="shared" si="47"/>
        <v>5.9189570174686956E-3</v>
      </c>
      <c r="Y31" s="24">
        <v>7</v>
      </c>
      <c r="Z31" s="28">
        <f t="shared" si="50"/>
        <v>41759</v>
      </c>
      <c r="AA31" s="21">
        <f t="array" ref="AA31">PRODUCT(1+O20:O31)-1</f>
        <v>3.4647060645154326E-4</v>
      </c>
      <c r="AB31" s="21">
        <f t="array" ref="AB31">PRODUCT(1+P20:P31)-1</f>
        <v>4.0931713064731312E-3</v>
      </c>
      <c r="AC31" s="21">
        <f t="array" ref="AC31">PRODUCT(1+Q20:Q31)-1</f>
        <v>5.5841159309966137E-3</v>
      </c>
      <c r="AD31" s="21">
        <f t="array" ref="AD31">PRODUCT(1+R20:R31)-1</f>
        <v>1.6939017376854659E-2</v>
      </c>
      <c r="AE31" s="21">
        <f t="array" ref="AE31">PRODUCT(1+S20:S31)-1</f>
        <v>-1.9439708354462404E-2</v>
      </c>
      <c r="AF31" s="21">
        <f t="array" ref="AF31">PRODUCT(1+T20:T31)-1</f>
        <v>-5.2906765768598873E-3</v>
      </c>
      <c r="AG31" s="21">
        <f t="array" ref="AG31">PRODUCT(1+U20:U31)-1</f>
        <v>8.9124693124833509E-3</v>
      </c>
      <c r="AH31" s="21">
        <f t="array" ref="AH31">PRODUCT(1+V20:V31)-1</f>
        <v>0.1792597507464464</v>
      </c>
      <c r="AI31" s="21">
        <f t="array" ref="AI31">PRODUCT(1+W20:W31)-1</f>
        <v>0.1433468370208788</v>
      </c>
      <c r="AJ31" s="21">
        <f t="array" ref="AJ31">PRODUCT(1+X20:X31)-1</f>
        <v>-0.12534620880199898</v>
      </c>
      <c r="AK31" s="24">
        <v>73</v>
      </c>
      <c r="AL31" s="28">
        <f t="shared" si="48"/>
        <v>43769</v>
      </c>
      <c r="AM31" s="21">
        <f t="shared" si="49"/>
        <v>2.264962094666223E-2</v>
      </c>
      <c r="AN31" s="21">
        <f t="shared" si="49"/>
        <v>4.5428257030990515E-2</v>
      </c>
      <c r="AO31" s="21">
        <f t="shared" si="49"/>
        <v>4.3779577094496203E-2</v>
      </c>
      <c r="AP31" s="21">
        <f t="shared" si="49"/>
        <v>5.7929205706130027E-2</v>
      </c>
      <c r="AQ31" s="21">
        <f t="shared" si="49"/>
        <v>0.11371638262524453</v>
      </c>
      <c r="AR31" s="21">
        <f t="shared" si="49"/>
        <v>8.4185184962522586E-2</v>
      </c>
      <c r="AS31" s="21">
        <f t="shared" si="49"/>
        <v>0.15114679519967411</v>
      </c>
      <c r="AT31" s="21">
        <f t="shared" si="49"/>
        <v>0.12015163695634512</v>
      </c>
      <c r="AU31" s="21">
        <f t="shared" si="49"/>
        <v>0.10462516938842259</v>
      </c>
      <c r="AV31" s="21">
        <f t="shared" si="49"/>
        <v>0.24550528499456736</v>
      </c>
    </row>
    <row r="32" spans="1:48">
      <c r="A32" s="50">
        <v>19</v>
      </c>
      <c r="B32" s="47">
        <v>41789</v>
      </c>
      <c r="C32" s="51">
        <v>3.04E-2</v>
      </c>
      <c r="D32" s="52">
        <v>1144.0129999999999</v>
      </c>
      <c r="E32" s="52">
        <v>1238.365</v>
      </c>
      <c r="F32" s="52">
        <v>1606.1120000000001</v>
      </c>
      <c r="G32" s="52">
        <v>1489.508</v>
      </c>
      <c r="H32" s="52">
        <v>1419.2380000000001</v>
      </c>
      <c r="I32" s="52">
        <v>2553.134</v>
      </c>
      <c r="J32" s="52">
        <v>1923.57</v>
      </c>
      <c r="K32" s="52">
        <v>1715.18</v>
      </c>
      <c r="L32" s="52">
        <v>1249.68</v>
      </c>
      <c r="M32" s="53"/>
      <c r="N32" s="54">
        <f t="shared" si="15"/>
        <v>41789</v>
      </c>
      <c r="O32" s="37">
        <f t="shared" si="19"/>
        <v>2.1083333333333332E-5</v>
      </c>
      <c r="P32" s="37">
        <f t="shared" si="39"/>
        <v>1.8372645950004429E-3</v>
      </c>
      <c r="Q32" s="37">
        <f t="shared" si="40"/>
        <v>1.5690397719230198E-3</v>
      </c>
      <c r="R32" s="37">
        <f t="shared" si="41"/>
        <v>3.6311918820273181E-3</v>
      </c>
      <c r="S32" s="37">
        <f t="shared" si="42"/>
        <v>1.0908523280633409E-2</v>
      </c>
      <c r="T32" s="37">
        <f t="shared" si="43"/>
        <v>7.2947422212128465E-3</v>
      </c>
      <c r="U32" s="37">
        <f t="shared" si="44"/>
        <v>1.529301775138503E-2</v>
      </c>
      <c r="V32" s="37">
        <f t="shared" si="45"/>
        <v>2.1030282120013677E-2</v>
      </c>
      <c r="W32" s="37">
        <f t="shared" si="46"/>
        <v>1.6258428430919514E-2</v>
      </c>
      <c r="X32" s="37">
        <f t="shared" si="47"/>
        <v>-3.246335968287628E-2</v>
      </c>
      <c r="Y32" s="24">
        <v>8</v>
      </c>
      <c r="Z32" s="28">
        <f t="shared" si="50"/>
        <v>41789</v>
      </c>
      <c r="AA32" s="21">
        <f t="array" ref="AA32">PRODUCT(1+O21:O32)-1</f>
        <v>3.2954872168922122E-4</v>
      </c>
      <c r="AB32" s="21">
        <f t="array" ref="AB32">PRODUCT(1+P21:P32)-1</f>
        <v>7.3818056937555721E-3</v>
      </c>
      <c r="AC32" s="21">
        <f t="array" ref="AC32">PRODUCT(1+Q21:Q32)-1</f>
        <v>8.4405537459284474E-3</v>
      </c>
      <c r="AD32" s="21">
        <f t="array" ref="AD32">PRODUCT(1+R21:R32)-1</f>
        <v>2.1859654882380397E-2</v>
      </c>
      <c r="AE32" s="21">
        <f t="array" ref="AE32">PRODUCT(1+S21:S32)-1</f>
        <v>1.1639737294294683E-2</v>
      </c>
      <c r="AF32" s="21">
        <f t="array" ref="AF32">PRODUCT(1+T21:T32)-1</f>
        <v>1.3514111834917131E-2</v>
      </c>
      <c r="AG32" s="21">
        <f t="array" ref="AG32">PRODUCT(1+U21:U32)-1</f>
        <v>4.8253679678207373E-2</v>
      </c>
      <c r="AH32" s="21">
        <f t="array" ref="AH32">PRODUCT(1+V21:V32)-1</f>
        <v>0.17956878472349991</v>
      </c>
      <c r="AI32" s="21">
        <f t="array" ref="AI32">PRODUCT(1+W21:W32)-1</f>
        <v>0.16525921748996208</v>
      </c>
      <c r="AJ32" s="21">
        <f t="array" ref="AJ32">PRODUCT(1+X21:X32)-1</f>
        <v>-9.9524427150886163E-2</v>
      </c>
      <c r="AK32" s="24">
        <v>85</v>
      </c>
      <c r="AL32" s="28">
        <f t="shared" si="48"/>
        <v>44134</v>
      </c>
      <c r="AM32" s="21">
        <f t="shared" si="49"/>
        <v>6.7711861739059298E-3</v>
      </c>
      <c r="AN32" s="21">
        <f t="shared" si="49"/>
        <v>3.1933000752305096E-2</v>
      </c>
      <c r="AO32" s="21">
        <f t="shared" si="49"/>
        <v>2.7825276037563462E-2</v>
      </c>
      <c r="AP32" s="21">
        <f t="shared" si="49"/>
        <v>4.038671785262582E-2</v>
      </c>
      <c r="AQ32" s="21">
        <f t="shared" si="49"/>
        <v>7.1216784633966856E-2</v>
      </c>
      <c r="AR32" s="21">
        <f t="shared" si="49"/>
        <v>4.986873567906569E-2</v>
      </c>
      <c r="AS32" s="21">
        <f t="shared" si="49"/>
        <v>6.9987254847660108E-2</v>
      </c>
      <c r="AT32" s="21">
        <f t="shared" si="49"/>
        <v>7.6508776781364363E-2</v>
      </c>
      <c r="AU32" s="21">
        <f t="shared" si="49"/>
        <v>2.6594673006406611E-2</v>
      </c>
      <c r="AV32" s="21">
        <f t="shared" si="49"/>
        <v>0.24178613209604838</v>
      </c>
    </row>
    <row r="33" spans="1:48">
      <c r="A33" s="50">
        <v>20</v>
      </c>
      <c r="B33" s="47">
        <v>41820</v>
      </c>
      <c r="C33" s="51">
        <v>2.0299999999999999E-2</v>
      </c>
      <c r="D33" s="52">
        <v>1143.5050000000001</v>
      </c>
      <c r="E33" s="52">
        <v>1237.3810000000001</v>
      </c>
      <c r="F33" s="52">
        <v>1606.903</v>
      </c>
      <c r="G33" s="52">
        <v>1487.183</v>
      </c>
      <c r="H33" s="52">
        <v>1418.3050000000001</v>
      </c>
      <c r="I33" s="52">
        <v>2557.4079999999999</v>
      </c>
      <c r="J33" s="52">
        <v>1960.23</v>
      </c>
      <c r="K33" s="52">
        <v>1743.42</v>
      </c>
      <c r="L33" s="52">
        <v>1327.33</v>
      </c>
      <c r="M33" s="53"/>
      <c r="N33" s="54">
        <f t="shared" si="15"/>
        <v>41820</v>
      </c>
      <c r="O33" s="37">
        <f t="shared" si="19"/>
        <v>2.5333333333333334E-5</v>
      </c>
      <c r="P33" s="37">
        <f t="shared" si="39"/>
        <v>-4.440508980227964E-4</v>
      </c>
      <c r="Q33" s="37">
        <f t="shared" si="40"/>
        <v>-7.9459610050347518E-4</v>
      </c>
      <c r="R33" s="37">
        <f t="shared" si="41"/>
        <v>4.9249367416459577E-4</v>
      </c>
      <c r="S33" s="37">
        <f t="shared" si="42"/>
        <v>-1.5609181018162444E-3</v>
      </c>
      <c r="T33" s="37">
        <f t="shared" si="43"/>
        <v>-6.5739502465411714E-4</v>
      </c>
      <c r="U33" s="37">
        <f t="shared" si="44"/>
        <v>1.6740210267067734E-3</v>
      </c>
      <c r="V33" s="37">
        <f t="shared" si="45"/>
        <v>1.9058313448431896E-2</v>
      </c>
      <c r="W33" s="37">
        <f t="shared" si="46"/>
        <v>1.6464744225095806E-2</v>
      </c>
      <c r="X33" s="37">
        <f t="shared" si="47"/>
        <v>6.2135906792138762E-2</v>
      </c>
      <c r="Y33" s="24">
        <v>9</v>
      </c>
      <c r="Z33" s="28">
        <f t="shared" si="50"/>
        <v>41820</v>
      </c>
      <c r="AA33" s="21">
        <f t="array" ref="AA33">PRODUCT(1+O22:O33)-1</f>
        <v>3.3380003263894231E-4</v>
      </c>
      <c r="AB33" s="21">
        <f t="array" ref="AB33">PRODUCT(1+P22:P33)-1</f>
        <v>7.6487564161875632E-3</v>
      </c>
      <c r="AC33" s="21">
        <f t="array" ref="AC33">PRODUCT(1+Q22:Q33)-1</f>
        <v>8.7424601987353689E-3</v>
      </c>
      <c r="AD33" s="21">
        <f t="array" ref="AD33">PRODUCT(1+R22:R33)-1</f>
        <v>2.6585505935325715E-2</v>
      </c>
      <c r="AE33" s="21">
        <f t="array" ref="AE33">PRODUCT(1+S22:S33)-1</f>
        <v>2.2898552917653525E-2</v>
      </c>
      <c r="AF33" s="21">
        <f t="array" ref="AF33">PRODUCT(1+T22:T33)-1</f>
        <v>2.6496440965625867E-2</v>
      </c>
      <c r="AG33" s="21">
        <f t="array" ref="AG33">PRODUCT(1+U22:U33)-1</f>
        <v>7.9808190455038952E-2</v>
      </c>
      <c r="AH33" s="21">
        <f t="array" ref="AH33">PRODUCT(1+V22:V33)-1</f>
        <v>0.22035386109520205</v>
      </c>
      <c r="AI33" s="21">
        <f t="array" ref="AI33">PRODUCT(1+W22:W33)-1</f>
        <v>0.21615569739458018</v>
      </c>
      <c r="AJ33" s="21">
        <f t="array" ref="AJ33">PRODUCT(1+X22:X33)-1</f>
        <v>7.5170307728447572E-2</v>
      </c>
      <c r="AK33" s="24">
        <v>97</v>
      </c>
      <c r="AL33" s="28">
        <f t="shared" si="48"/>
        <v>44498</v>
      </c>
      <c r="AM33" s="21">
        <f t="shared" si="49"/>
        <v>3.8923363656429011E-4</v>
      </c>
      <c r="AN33" s="21">
        <f t="shared" si="49"/>
        <v>-2.3467979017981477E-3</v>
      </c>
      <c r="AO33" s="21">
        <f t="shared" si="49"/>
        <v>-6.6662533686889791E-4</v>
      </c>
      <c r="AP33" s="21">
        <f t="shared" si="49"/>
        <v>7.6825953221248966E-3</v>
      </c>
      <c r="AQ33" s="21">
        <f t="shared" si="49"/>
        <v>-2.5882232804118943E-2</v>
      </c>
      <c r="AR33" s="21">
        <f t="shared" si="49"/>
        <v>-7.1062164869619693E-3</v>
      </c>
      <c r="AS33" s="21">
        <f t="shared" si="49"/>
        <v>2.2716001113938011E-2</v>
      </c>
      <c r="AT33" s="21">
        <f t="shared" si="49"/>
        <v>0.40839031670112225</v>
      </c>
      <c r="AU33" s="21">
        <f t="shared" si="49"/>
        <v>0.38457344969100671</v>
      </c>
      <c r="AV33" s="21">
        <f t="shared" si="49"/>
        <v>-5.079278905264506E-2</v>
      </c>
    </row>
    <row r="34" spans="1:48">
      <c r="A34" s="50">
        <v>21</v>
      </c>
      <c r="B34" s="47">
        <v>41851</v>
      </c>
      <c r="C34" s="51">
        <v>2.0299999999999999E-2</v>
      </c>
      <c r="D34" s="52">
        <v>1142.6120000000001</v>
      </c>
      <c r="E34" s="52">
        <v>1236.4970000000001</v>
      </c>
      <c r="F34" s="52">
        <v>1605.462</v>
      </c>
      <c r="G34" s="52">
        <v>1484.9580000000001</v>
      </c>
      <c r="H34" s="52">
        <v>1417.018</v>
      </c>
      <c r="I34" s="52">
        <v>2554.4009999999998</v>
      </c>
      <c r="J34" s="52">
        <v>1930.67</v>
      </c>
      <c r="K34" s="52">
        <v>1714.35</v>
      </c>
      <c r="L34" s="52">
        <v>1282.5899999999999</v>
      </c>
      <c r="M34" s="53"/>
      <c r="N34" s="54">
        <f t="shared" si="15"/>
        <v>41851</v>
      </c>
      <c r="O34" s="37">
        <f t="shared" si="19"/>
        <v>1.6916666666666667E-5</v>
      </c>
      <c r="P34" s="37">
        <f t="shared" si="39"/>
        <v>-7.8093230899733967E-4</v>
      </c>
      <c r="Q34" s="37">
        <f t="shared" si="40"/>
        <v>-7.1441213336875808E-4</v>
      </c>
      <c r="R34" s="37">
        <f t="shared" si="41"/>
        <v>-8.9675605808192671E-4</v>
      </c>
      <c r="S34" s="37">
        <f t="shared" si="42"/>
        <v>-1.4961171557231756E-3</v>
      </c>
      <c r="T34" s="37">
        <f t="shared" si="43"/>
        <v>-9.0742118232678415E-4</v>
      </c>
      <c r="U34" s="37">
        <f t="shared" si="44"/>
        <v>-1.1757998723708196E-3</v>
      </c>
      <c r="V34" s="37">
        <f t="shared" si="45"/>
        <v>-1.5079863077291922E-2</v>
      </c>
      <c r="W34" s="37">
        <f t="shared" si="46"/>
        <v>-1.6674123274942443E-2</v>
      </c>
      <c r="X34" s="37">
        <f t="shared" si="47"/>
        <v>-3.3706764708098191E-2</v>
      </c>
      <c r="Y34" s="24">
        <v>10</v>
      </c>
      <c r="Z34" s="28">
        <f t="shared" si="50"/>
        <v>41851</v>
      </c>
      <c r="AA34" s="21">
        <f t="array" ref="AA34">PRODUCT(1+O23:O34)-1</f>
        <v>3.2538076977695063E-4</v>
      </c>
      <c r="AB34" s="21">
        <f t="array" ref="AB34">PRODUCT(1+P23:P34)-1</f>
        <v>5.2638107949034563E-3</v>
      </c>
      <c r="AC34" s="21">
        <f t="array" ref="AC34">PRODUCT(1+Q23:Q34)-1</f>
        <v>6.3793127303832797E-3</v>
      </c>
      <c r="AD34" s="21">
        <f t="array" ref="AD34">PRODUCT(1+R23:R34)-1</f>
        <v>2.1387618618641913E-2</v>
      </c>
      <c r="AE34" s="21">
        <f t="array" ref="AE34">PRODUCT(1+S23:S34)-1</f>
        <v>2.335873769781216E-2</v>
      </c>
      <c r="AF34" s="21">
        <f t="array" ref="AF34">PRODUCT(1+T23:T34)-1</f>
        <v>2.4118885900006548E-2</v>
      </c>
      <c r="AG34" s="21">
        <f t="array" ref="AG34">PRODUCT(1+U23:U34)-1</f>
        <v>7.0629946275723388E-2</v>
      </c>
      <c r="AH34" s="21">
        <f t="array" ref="AH34">PRODUCT(1+V23:V34)-1</f>
        <v>0.14530203532001007</v>
      </c>
      <c r="AI34" s="21">
        <f t="array" ref="AI34">PRODUCT(1+W23:W34)-1</f>
        <v>0.13690472243038365</v>
      </c>
      <c r="AJ34" s="21">
        <f t="array" ref="AJ34">PRODUCT(1+X23:X34)-1</f>
        <v>-3.2058683692182122E-2</v>
      </c>
      <c r="AK34" s="24">
        <v>109</v>
      </c>
      <c r="AL34" s="28">
        <f t="shared" si="48"/>
        <v>44865</v>
      </c>
      <c r="AM34" s="21">
        <f t="shared" si="49"/>
        <v>1.0907392013270956E-2</v>
      </c>
      <c r="AN34" s="21">
        <f t="shared" si="49"/>
        <v>-4.665959703075262E-2</v>
      </c>
      <c r="AO34" s="21">
        <f t="shared" si="49"/>
        <v>-4.8031231138303432E-2</v>
      </c>
      <c r="AP34" s="21">
        <f t="shared" si="49"/>
        <v>-5.7930747533373461E-2</v>
      </c>
      <c r="AQ34" s="21">
        <f t="shared" si="49"/>
        <v>-0.14523330959032033</v>
      </c>
      <c r="AR34" s="21">
        <f t="shared" si="49"/>
        <v>-9.7427613582899975E-2</v>
      </c>
      <c r="AS34" s="21">
        <f t="shared" si="49"/>
        <v>-0.19300986411917787</v>
      </c>
      <c r="AT34" s="21">
        <f t="shared" si="49"/>
        <v>-0.15924853106584047</v>
      </c>
      <c r="AU34" s="21">
        <f t="shared" si="49"/>
        <v>-0.19750025986461817</v>
      </c>
      <c r="AV34" s="21">
        <f t="shared" si="49"/>
        <v>-8.4009016586482077E-2</v>
      </c>
    </row>
    <row r="35" spans="1:48">
      <c r="A35" s="50">
        <v>22</v>
      </c>
      <c r="B35" s="47">
        <v>41880</v>
      </c>
      <c r="C35" s="51">
        <v>2.0299999999999999E-2</v>
      </c>
      <c r="D35" s="52">
        <v>1144.5170000000001</v>
      </c>
      <c r="E35" s="52">
        <v>1238.366</v>
      </c>
      <c r="F35" s="52">
        <v>1608.8879999999999</v>
      </c>
      <c r="G35" s="52">
        <v>1503.038</v>
      </c>
      <c r="H35" s="52">
        <v>1426.2950000000001</v>
      </c>
      <c r="I35" s="52">
        <v>2590.8490000000002</v>
      </c>
      <c r="J35" s="52">
        <v>2003.37</v>
      </c>
      <c r="K35" s="52">
        <v>1748.69</v>
      </c>
      <c r="L35" s="52">
        <v>1287.32</v>
      </c>
      <c r="M35" s="53"/>
      <c r="N35" s="54">
        <f t="shared" si="15"/>
        <v>41880</v>
      </c>
      <c r="O35" s="37">
        <f t="shared" si="19"/>
        <v>1.6916666666666667E-5</v>
      </c>
      <c r="P35" s="37">
        <f t="shared" si="39"/>
        <v>1.667232621397341E-3</v>
      </c>
      <c r="Q35" s="37">
        <f t="shared" si="40"/>
        <v>1.5115281314874718E-3</v>
      </c>
      <c r="R35" s="37">
        <f t="shared" si="41"/>
        <v>2.1339651763789824E-3</v>
      </c>
      <c r="S35" s="37">
        <f t="shared" si="42"/>
        <v>1.2175428530638577E-2</v>
      </c>
      <c r="T35" s="37">
        <f t="shared" si="43"/>
        <v>6.5468469701868148E-3</v>
      </c>
      <c r="U35" s="37">
        <f t="shared" si="44"/>
        <v>1.4268707223337396E-2</v>
      </c>
      <c r="V35" s="37">
        <f t="shared" si="45"/>
        <v>3.7655321727690261E-2</v>
      </c>
      <c r="W35" s="37">
        <f t="shared" si="46"/>
        <v>2.0030915507335267E-2</v>
      </c>
      <c r="X35" s="37">
        <f t="shared" si="47"/>
        <v>3.6878503652766348E-3</v>
      </c>
      <c r="Y35" s="24">
        <v>11</v>
      </c>
      <c r="Z35" s="28">
        <f t="shared" si="50"/>
        <v>41880</v>
      </c>
      <c r="AA35" s="21">
        <f t="array" ref="AA35">PRODUCT(1+O24:O35)-1</f>
        <v>3.1271035645330514E-4</v>
      </c>
      <c r="AB35" s="21">
        <f t="array" ref="AB35">PRODUCT(1+P24:P35)-1</f>
        <v>7.8575617694356392E-3</v>
      </c>
      <c r="AC35" s="21">
        <f t="array" ref="AC35">PRODUCT(1+Q24:Q35)-1</f>
        <v>8.535815650488221E-3</v>
      </c>
      <c r="AD35" s="21">
        <f t="array" ref="AD35">PRODUCT(1+R24:R35)-1</f>
        <v>2.3394037312910898E-2</v>
      </c>
      <c r="AE35" s="21">
        <f t="array" ref="AE35">PRODUCT(1+S24:S35)-1</f>
        <v>4.1431721083505346E-2</v>
      </c>
      <c r="AF35" s="21">
        <f t="array" ref="AF35">PRODUCT(1+T24:T35)-1</f>
        <v>3.5190654147273515E-2</v>
      </c>
      <c r="AG35" s="21">
        <f t="array" ref="AG35">PRODUCT(1+U24:U35)-1</f>
        <v>9.3214753478574996E-2</v>
      </c>
      <c r="AH35" s="21">
        <f t="array" ref="AH35">PRODUCT(1+V24:V35)-1</f>
        <v>0.22682596740907668</v>
      </c>
      <c r="AI35" s="21">
        <f t="array" ref="AI35">PRODUCT(1+W24:W35)-1</f>
        <v>0.18737183752733033</v>
      </c>
      <c r="AJ35" s="21">
        <f t="array" ref="AJ35">PRODUCT(1+X24:X35)-1</f>
        <v>-7.7368537989062847E-2</v>
      </c>
      <c r="AK35" s="57"/>
      <c r="AL35" s="58"/>
    </row>
    <row r="36" spans="1:48">
      <c r="A36" s="50">
        <v>23</v>
      </c>
      <c r="B36" s="47">
        <v>41912</v>
      </c>
      <c r="C36" s="51">
        <v>1.52E-2</v>
      </c>
      <c r="D36" s="52">
        <v>1143.877</v>
      </c>
      <c r="E36" s="52">
        <v>1238.1869999999999</v>
      </c>
      <c r="F36" s="52">
        <v>1607.172</v>
      </c>
      <c r="G36" s="52">
        <v>1493.5239999999999</v>
      </c>
      <c r="H36" s="52">
        <v>1421.8510000000001</v>
      </c>
      <c r="I36" s="52">
        <v>2558.64</v>
      </c>
      <c r="J36" s="52">
        <v>1972.29</v>
      </c>
      <c r="K36" s="52">
        <v>1698.41</v>
      </c>
      <c r="L36" s="52">
        <v>1208.1500000000001</v>
      </c>
      <c r="M36" s="53"/>
      <c r="N36" s="54">
        <f t="shared" si="15"/>
        <v>41912</v>
      </c>
      <c r="O36" s="37">
        <f t="shared" si="19"/>
        <v>1.6916666666666667E-5</v>
      </c>
      <c r="P36" s="37">
        <f t="shared" si="39"/>
        <v>-5.5918784954711587E-4</v>
      </c>
      <c r="Q36" s="37">
        <f t="shared" si="40"/>
        <v>-1.4454531212915178E-4</v>
      </c>
      <c r="R36" s="37">
        <f t="shared" si="41"/>
        <v>-1.0665751749033836E-3</v>
      </c>
      <c r="S36" s="37">
        <f t="shared" si="42"/>
        <v>-6.3298466173178358E-3</v>
      </c>
      <c r="T36" s="37">
        <f t="shared" si="43"/>
        <v>-3.1157649714820268E-3</v>
      </c>
      <c r="U36" s="37">
        <f t="shared" si="44"/>
        <v>-1.2431832190915149E-2</v>
      </c>
      <c r="V36" s="37">
        <f t="shared" si="45"/>
        <v>-1.5513859147336717E-2</v>
      </c>
      <c r="W36" s="37">
        <f t="shared" si="46"/>
        <v>-2.8752952209940008E-2</v>
      </c>
      <c r="X36" s="37">
        <f t="shared" si="47"/>
        <v>-6.1499860174626275E-2</v>
      </c>
      <c r="Y36" s="24">
        <v>12</v>
      </c>
      <c r="Z36" s="28">
        <f t="shared" si="50"/>
        <v>41912</v>
      </c>
      <c r="AA36" s="21">
        <f t="array" ref="AA36">PRODUCT(1+O25:O36)-1</f>
        <v>3.1271035645330514E-4</v>
      </c>
      <c r="AB36" s="21">
        <f t="array" ref="AB36">PRODUCT(1+P25:P36)-1</f>
        <v>5.0221365870029011E-3</v>
      </c>
      <c r="AC36" s="21">
        <f t="array" ref="AC36">PRODUCT(1+Q25:Q36)-1</f>
        <v>6.3361971925992577E-3</v>
      </c>
      <c r="AD36" s="21">
        <f t="array" ref="AD36">PRODUCT(1+R25:R36)-1</f>
        <v>1.8180850619015754E-2</v>
      </c>
      <c r="AE36" s="21">
        <f t="array" ref="AE36">PRODUCT(1+S25:S36)-1</f>
        <v>2.6996473817683775E-2</v>
      </c>
      <c r="AF36" s="21">
        <f t="array" ref="AF36">PRODUCT(1+T25:T36)-1</f>
        <v>2.5482521335805863E-2</v>
      </c>
      <c r="AG36" s="21">
        <f t="array" ref="AG36">PRODUCT(1+U25:U36)-1</f>
        <v>7.0804400666930167E-2</v>
      </c>
      <c r="AH36" s="21">
        <f t="array" ref="AH36">PRODUCT(1+V25:V36)-1</f>
        <v>0.1729000029734471</v>
      </c>
      <c r="AI36" s="21">
        <f t="array" ref="AI36">PRODUCT(1+W25:W36)-1</f>
        <v>0.10024163195501634</v>
      </c>
      <c r="AJ36" s="21">
        <f t="array" ref="AJ36">PRODUCT(1+X25:X36)-1</f>
        <v>-9.0953552590987141E-2</v>
      </c>
      <c r="AK36" s="57"/>
      <c r="AL36" s="58"/>
    </row>
    <row r="37" spans="1:48">
      <c r="A37" s="50">
        <v>24</v>
      </c>
      <c r="B37" s="47">
        <v>41943</v>
      </c>
      <c r="C37" s="51">
        <v>5.1000000000000004E-3</v>
      </c>
      <c r="D37" s="52">
        <v>1147.0170000000001</v>
      </c>
      <c r="E37" s="52">
        <v>1240.893</v>
      </c>
      <c r="F37" s="52">
        <v>1610.5830000000001</v>
      </c>
      <c r="G37" s="52">
        <v>1509.7380000000001</v>
      </c>
      <c r="H37" s="52">
        <v>1430.86</v>
      </c>
      <c r="I37" s="52">
        <v>2582.518</v>
      </c>
      <c r="J37" s="52">
        <v>2018.05</v>
      </c>
      <c r="K37" s="52">
        <v>1708.09</v>
      </c>
      <c r="L37" s="52">
        <v>1172.94</v>
      </c>
      <c r="M37" s="53"/>
      <c r="N37" s="54">
        <f t="shared" si="15"/>
        <v>41943</v>
      </c>
      <c r="O37" s="37">
        <f t="shared" si="19"/>
        <v>1.2666666666666667E-5</v>
      </c>
      <c r="P37" s="37">
        <f t="shared" si="39"/>
        <v>2.7450503856620845E-3</v>
      </c>
      <c r="Q37" s="37">
        <f t="shared" si="40"/>
        <v>2.1854534088954214E-3</v>
      </c>
      <c r="R37" s="37">
        <f t="shared" si="41"/>
        <v>2.1223615145111729E-3</v>
      </c>
      <c r="S37" s="37">
        <f t="shared" si="42"/>
        <v>1.0856203181201174E-2</v>
      </c>
      <c r="T37" s="37">
        <f t="shared" si="43"/>
        <v>6.3361069479148657E-3</v>
      </c>
      <c r="U37" s="37">
        <f t="shared" si="44"/>
        <v>9.3323015351907124E-3</v>
      </c>
      <c r="V37" s="37">
        <f t="shared" si="45"/>
        <v>2.3201456175308888E-2</v>
      </c>
      <c r="W37" s="37">
        <f t="shared" si="46"/>
        <v>5.6994483075345492E-3</v>
      </c>
      <c r="X37" s="37">
        <f t="shared" si="47"/>
        <v>-2.9143732152464574E-2</v>
      </c>
      <c r="Y37" s="24">
        <v>13</v>
      </c>
      <c r="Z37" s="28">
        <f t="shared" si="50"/>
        <v>41943</v>
      </c>
      <c r="AA37" s="21">
        <f t="array" ref="AA37">PRODUCT(1+O26:O37)-1</f>
        <v>3.2112961931729522E-4</v>
      </c>
      <c r="AB37" s="21">
        <f t="array" ref="AB37">PRODUCT(1+P26:P37)-1</f>
        <v>6.7478313990079197E-3</v>
      </c>
      <c r="AC37" s="21">
        <f t="array" ref="AC37">PRODUCT(1+Q26:Q37)-1</f>
        <v>6.8301588267509761E-3</v>
      </c>
      <c r="AD37" s="21">
        <f t="array" ref="AD37">PRODUCT(1+R26:R37)-1</f>
        <v>1.6381804137763689E-2</v>
      </c>
      <c r="AE37" s="21">
        <f t="array" ref="AE37">PRODUCT(1+S26:S37)-1</f>
        <v>3.248727631829107E-2</v>
      </c>
      <c r="AF37" s="21">
        <f t="array" ref="AF37">PRODUCT(1+T26:T37)-1</f>
        <v>2.7091746714923204E-2</v>
      </c>
      <c r="AG37" s="21">
        <f t="array" ref="AG37">PRODUCT(1+U26:U37)-1</f>
        <v>6.4858392345112925E-2</v>
      </c>
      <c r="AH37" s="21">
        <f t="array" ref="AH37">PRODUCT(1+V26:V37)-1</f>
        <v>0.14887790770491982</v>
      </c>
      <c r="AI37" s="21">
        <f t="array" ref="AI37">PRODUCT(1+W26:W37)-1</f>
        <v>6.5651398125849969E-2</v>
      </c>
      <c r="AJ37" s="21">
        <f t="array" ref="AJ37">PRODUCT(1+X26:X37)-1</f>
        <v>-0.11346424198449045</v>
      </c>
      <c r="AK37" s="57"/>
      <c r="AL37" s="58"/>
    </row>
    <row r="38" spans="1:48">
      <c r="A38" s="50">
        <v>25</v>
      </c>
      <c r="B38" s="47">
        <v>41971</v>
      </c>
      <c r="C38" s="51">
        <v>1.01E-2</v>
      </c>
      <c r="D38" s="52">
        <v>1148.673</v>
      </c>
      <c r="E38" s="52">
        <v>1243.2950000000001</v>
      </c>
      <c r="F38" s="52">
        <v>1613.0250000000001</v>
      </c>
      <c r="G38" s="52">
        <v>1523.6559999999999</v>
      </c>
      <c r="H38" s="52">
        <v>1438.7929999999999</v>
      </c>
      <c r="I38" s="52">
        <v>2598.92</v>
      </c>
      <c r="J38" s="52">
        <v>2067.56</v>
      </c>
      <c r="K38" s="52">
        <v>1739.5</v>
      </c>
      <c r="L38" s="52">
        <v>1167.3800000000001</v>
      </c>
      <c r="M38" s="53"/>
      <c r="N38" s="54">
        <f t="shared" si="15"/>
        <v>41971</v>
      </c>
      <c r="O38" s="37">
        <f t="shared" si="19"/>
        <v>4.25E-6</v>
      </c>
      <c r="P38" s="37">
        <f t="shared" si="39"/>
        <v>1.443744948854242E-3</v>
      </c>
      <c r="Q38" s="37">
        <f t="shared" si="40"/>
        <v>1.9357027559991913E-3</v>
      </c>
      <c r="R38" s="37">
        <f t="shared" si="41"/>
        <v>1.5162211447656837E-3</v>
      </c>
      <c r="S38" s="37">
        <f t="shared" si="42"/>
        <v>9.2188180995642632E-3</v>
      </c>
      <c r="T38" s="37">
        <f t="shared" si="43"/>
        <v>5.5442181625036113E-3</v>
      </c>
      <c r="U38" s="37">
        <f t="shared" si="44"/>
        <v>6.3511658001995652E-3</v>
      </c>
      <c r="V38" s="37">
        <f t="shared" si="45"/>
        <v>2.4533584400783015E-2</v>
      </c>
      <c r="W38" s="37">
        <f t="shared" si="46"/>
        <v>1.838896076904617E-2</v>
      </c>
      <c r="X38" s="37">
        <f t="shared" si="47"/>
        <v>-4.7402254164747859E-3</v>
      </c>
      <c r="Y38" s="24">
        <v>14</v>
      </c>
      <c r="Z38" s="28">
        <f t="shared" si="50"/>
        <v>41971</v>
      </c>
      <c r="AA38" s="21">
        <f t="array" ref="AA38">PRODUCT(1+O27:O38)-1</f>
        <v>2.957889003629699E-4</v>
      </c>
      <c r="AB38" s="21">
        <f t="array" ref="AB38">PRODUCT(1+P27:P38)-1</f>
        <v>7.262421397573382E-3</v>
      </c>
      <c r="AC38" s="21">
        <f t="array" ref="AC38">PRODUCT(1+Q27:Q38)-1</f>
        <v>7.8819882422753729E-3</v>
      </c>
      <c r="AD38" s="21">
        <f t="array" ref="AD38">PRODUCT(1+R27:R38)-1</f>
        <v>1.5515169219475711E-2</v>
      </c>
      <c r="AE38" s="21">
        <f t="array" ref="AE38">PRODUCT(1+S27:S38)-1</f>
        <v>4.6477095246794997E-2</v>
      </c>
      <c r="AF38" s="21">
        <f t="array" ref="AF38">PRODUCT(1+T27:T38)-1</f>
        <v>3.3117656646831861E-2</v>
      </c>
      <c r="AG38" s="21">
        <f t="array" ref="AG38">PRODUCT(1+U27:U38)-1</f>
        <v>7.4714162307096599E-2</v>
      </c>
      <c r="AH38" s="21">
        <f t="array" ref="AH38">PRODUCT(1+V27:V38)-1</f>
        <v>0.14494880413775535</v>
      </c>
      <c r="AI38" s="21">
        <f t="array" ref="AI38">PRODUCT(1+W27:W38)-1</f>
        <v>6.8213360189631755E-2</v>
      </c>
      <c r="AJ38" s="21">
        <f t="array" ref="AJ38">PRODUCT(1+X27:X38)-1</f>
        <v>-6.8592172976422838E-2</v>
      </c>
      <c r="AK38" s="57"/>
      <c r="AL38" s="58"/>
    </row>
    <row r="39" spans="1:48">
      <c r="A39" s="50">
        <v>26</v>
      </c>
      <c r="B39" s="47">
        <v>42004</v>
      </c>
      <c r="C39" s="51">
        <v>3.5499999999999997E-2</v>
      </c>
      <c r="D39" s="52">
        <v>1145.875</v>
      </c>
      <c r="E39" s="52">
        <v>1240.875</v>
      </c>
      <c r="F39" s="52">
        <v>1606.7629999999999</v>
      </c>
      <c r="G39" s="52">
        <v>1527.596</v>
      </c>
      <c r="H39" s="52">
        <v>1439.673</v>
      </c>
      <c r="I39" s="52">
        <v>2595.279</v>
      </c>
      <c r="J39" s="52">
        <v>2058.9</v>
      </c>
      <c r="K39" s="52">
        <v>1709.67</v>
      </c>
      <c r="L39" s="52">
        <v>1184.3699999999999</v>
      </c>
      <c r="M39" s="53"/>
      <c r="N39" s="54">
        <f t="shared" si="15"/>
        <v>42004</v>
      </c>
      <c r="O39" s="37">
        <f t="shared" si="19"/>
        <v>8.4166666666666668E-6</v>
      </c>
      <c r="P39" s="37">
        <f t="shared" si="39"/>
        <v>-2.4358542422430185E-3</v>
      </c>
      <c r="Q39" s="37">
        <f t="shared" si="40"/>
        <v>-1.9464407079575752E-3</v>
      </c>
      <c r="R39" s="37">
        <f t="shared" si="41"/>
        <v>-3.8821468979093332E-3</v>
      </c>
      <c r="S39" s="37">
        <f t="shared" si="42"/>
        <v>2.5858855279670134E-3</v>
      </c>
      <c r="T39" s="37">
        <f t="shared" si="43"/>
        <v>6.1162377075785201E-4</v>
      </c>
      <c r="U39" s="37">
        <f t="shared" si="44"/>
        <v>-1.4009665553383899E-3</v>
      </c>
      <c r="V39" s="37">
        <f t="shared" si="45"/>
        <v>-4.1885120625277938E-3</v>
      </c>
      <c r="W39" s="37">
        <f t="shared" si="46"/>
        <v>-1.7148605921241677E-2</v>
      </c>
      <c r="X39" s="37">
        <f t="shared" si="47"/>
        <v>1.4553958436841263E-2</v>
      </c>
      <c r="Y39" s="24">
        <v>15</v>
      </c>
      <c r="Z39" s="28">
        <f t="shared" si="50"/>
        <v>42004</v>
      </c>
      <c r="AA39" s="21">
        <f t="array" ref="AA39">PRODUCT(1+O28:O39)-1</f>
        <v>2.5769607371883829E-4</v>
      </c>
      <c r="AB39" s="21">
        <f t="array" ref="AB39">PRODUCT(1+P28:P39)-1</f>
        <v>6.1799888833964367E-3</v>
      </c>
      <c r="AC39" s="21">
        <f t="array" ref="AC39">PRODUCT(1+Q28:Q39)-1</f>
        <v>6.9724243538211716E-3</v>
      </c>
      <c r="AD39" s="21">
        <f t="array" ref="AD39">PRODUCT(1+R28:R39)-1</f>
        <v>1.1867741281350819E-2</v>
      </c>
      <c r="AE39" s="21">
        <f t="array" ref="AE39">PRODUCT(1+S28:S39)-1</f>
        <v>6.0201796989840961E-2</v>
      </c>
      <c r="AF39" s="21">
        <f t="array" ref="AF39">PRODUCT(1+T28:T39)-1</f>
        <v>4.0398302898384308E-2</v>
      </c>
      <c r="AG39" s="21">
        <f t="array" ref="AG39">PRODUCT(1+U28:U39)-1</f>
        <v>7.5139400969385317E-2</v>
      </c>
      <c r="AH39" s="21">
        <f t="array" ref="AH39">PRODUCT(1+V28:V39)-1</f>
        <v>0.11390638187366098</v>
      </c>
      <c r="AI39" s="21">
        <f t="array" ref="AI39">PRODUCT(1+W28:W39)-1</f>
        <v>2.9258249200816433E-2</v>
      </c>
      <c r="AJ39" s="21">
        <f t="array" ref="AJ39">PRODUCT(1+X28:X39)-1</f>
        <v>-1.4372024899304781E-2</v>
      </c>
      <c r="AK39" s="57"/>
      <c r="AL39" s="58"/>
    </row>
    <row r="40" spans="1:48">
      <c r="A40" s="50">
        <v>27</v>
      </c>
      <c r="B40" s="47">
        <v>42034</v>
      </c>
      <c r="C40" s="51">
        <v>0</v>
      </c>
      <c r="D40" s="52">
        <v>1151.6590000000001</v>
      </c>
      <c r="E40" s="52">
        <v>1246.759</v>
      </c>
      <c r="F40" s="52">
        <v>1615.4010000000001</v>
      </c>
      <c r="G40" s="52">
        <v>1571.633</v>
      </c>
      <c r="H40" s="52">
        <v>1463.9639999999999</v>
      </c>
      <c r="I40" s="52">
        <v>2666.3989999999999</v>
      </c>
      <c r="J40" s="52">
        <v>1994.99</v>
      </c>
      <c r="K40" s="52">
        <v>1677.54</v>
      </c>
      <c r="L40" s="52">
        <v>1283.79</v>
      </c>
      <c r="M40" s="53"/>
      <c r="N40" s="54">
        <f t="shared" si="15"/>
        <v>42034</v>
      </c>
      <c r="O40" s="37">
        <f t="shared" si="19"/>
        <v>2.9583333333333332E-5</v>
      </c>
      <c r="P40" s="37">
        <f t="shared" si="39"/>
        <v>5.0476709937821163E-3</v>
      </c>
      <c r="Q40" s="37">
        <f t="shared" si="40"/>
        <v>4.7418152513347689E-3</v>
      </c>
      <c r="R40" s="37">
        <f t="shared" si="41"/>
        <v>5.3760262092170663E-3</v>
      </c>
      <c r="S40" s="37">
        <f t="shared" si="42"/>
        <v>2.8827648147808693E-2</v>
      </c>
      <c r="T40" s="37">
        <f t="shared" si="43"/>
        <v>1.6872581482044735E-2</v>
      </c>
      <c r="U40" s="37">
        <f t="shared" si="44"/>
        <v>2.7403604776210955E-2</v>
      </c>
      <c r="V40" s="37">
        <f t="shared" si="45"/>
        <v>-3.1040847054252363E-2</v>
      </c>
      <c r="W40" s="37">
        <f t="shared" si="46"/>
        <v>-1.8793100422888731E-2</v>
      </c>
      <c r="X40" s="37">
        <f t="shared" si="47"/>
        <v>8.3943362293877888E-2</v>
      </c>
      <c r="Y40" s="24">
        <v>16</v>
      </c>
      <c r="Z40" s="28">
        <f t="shared" si="50"/>
        <v>42034</v>
      </c>
      <c r="AA40" s="21">
        <f t="array" ref="AA40">PRODUCT(1+O29:O40)-1</f>
        <v>2.3235760358941704E-4</v>
      </c>
      <c r="AB40" s="21">
        <f t="array" ref="AB40">PRODUCT(1+P29:P40)-1</f>
        <v>9.6621364534585918E-3</v>
      </c>
      <c r="AC40" s="21">
        <f t="array" ref="AC40">PRODUCT(1+Q29:Q40)-1</f>
        <v>1.0050609509596464E-2</v>
      </c>
      <c r="AD40" s="21">
        <f t="array" ref="AD40">PRODUCT(1+R29:R40)-1</f>
        <v>1.4299644549540025E-2</v>
      </c>
      <c r="AE40" s="21">
        <f t="array" ref="AE40">PRODUCT(1+S29:S40)-1</f>
        <v>7.3620277307371085E-2</v>
      </c>
      <c r="AF40" s="21">
        <f t="array" ref="AF40">PRODUCT(1+T29:T40)-1</f>
        <v>4.6596119778150147E-2</v>
      </c>
      <c r="AG40" s="21">
        <f t="array" ref="AG40">PRODUCT(1+U29:U40)-1</f>
        <v>8.5240054099220641E-2</v>
      </c>
      <c r="AH40" s="21">
        <f t="array" ref="AH40">PRODUCT(1+V29:V40)-1</f>
        <v>0.11915246916004207</v>
      </c>
      <c r="AI40" s="21">
        <f t="array" ref="AI40">PRODUCT(1+W29:W40)-1</f>
        <v>4.9472617394241913E-2</v>
      </c>
      <c r="AJ40" s="21">
        <f t="array" ref="AJ40">PRODUCT(1+X29:X40)-1</f>
        <v>3.1529468482584422E-2</v>
      </c>
      <c r="AK40" s="57"/>
      <c r="AL40" s="58"/>
    </row>
    <row r="41" spans="1:48">
      <c r="A41" s="50">
        <v>28</v>
      </c>
      <c r="B41" s="47">
        <v>42062</v>
      </c>
      <c r="C41" s="51">
        <v>1.01E-2</v>
      </c>
      <c r="D41" s="52">
        <v>1149.174</v>
      </c>
      <c r="E41" s="52">
        <v>1244.96</v>
      </c>
      <c r="F41" s="52">
        <v>1616.9259999999999</v>
      </c>
      <c r="G41" s="52">
        <v>1544.1579999999999</v>
      </c>
      <c r="H41" s="52">
        <v>1450.894</v>
      </c>
      <c r="I41" s="52">
        <v>2644.1060000000002</v>
      </c>
      <c r="J41" s="52">
        <v>2104.5</v>
      </c>
      <c r="K41" s="52">
        <v>1772.86</v>
      </c>
      <c r="L41" s="52">
        <v>1213.18</v>
      </c>
      <c r="M41" s="53"/>
      <c r="N41" s="54">
        <f t="shared" si="15"/>
        <v>42062</v>
      </c>
      <c r="O41" s="37">
        <f t="shared" si="19"/>
        <v>0</v>
      </c>
      <c r="P41" s="37">
        <f t="shared" si="39"/>
        <v>-2.1577567665429509E-3</v>
      </c>
      <c r="Q41" s="37">
        <f t="shared" si="40"/>
        <v>-1.442941258093966E-3</v>
      </c>
      <c r="R41" s="37">
        <f t="shared" si="41"/>
        <v>9.4403804380460699E-4</v>
      </c>
      <c r="S41" s="37">
        <f t="shared" si="42"/>
        <v>-1.7481816683666107E-2</v>
      </c>
      <c r="T41" s="37">
        <f t="shared" si="43"/>
        <v>-8.9278151648537474E-3</v>
      </c>
      <c r="U41" s="37">
        <f t="shared" si="44"/>
        <v>-8.3607142066883799E-3</v>
      </c>
      <c r="V41" s="37">
        <f t="shared" si="45"/>
        <v>5.4892505726845675E-2</v>
      </c>
      <c r="W41" s="37">
        <f t="shared" si="46"/>
        <v>5.6821297852808206E-2</v>
      </c>
      <c r="X41" s="37">
        <f t="shared" si="47"/>
        <v>-5.5001207362574744E-2</v>
      </c>
      <c r="Y41" s="24">
        <v>17</v>
      </c>
      <c r="Z41" s="28">
        <f t="shared" si="50"/>
        <v>42062</v>
      </c>
      <c r="AA41" s="21">
        <f t="array" ref="AA41">PRODUCT(1+O30:O41)-1</f>
        <v>2.1543729244188903E-4</v>
      </c>
      <c r="AB41" s="21">
        <f t="array" ref="AB41">PRODUCT(1+P30:P41)-1</f>
        <v>6.5737091924191748E-3</v>
      </c>
      <c r="AC41" s="21">
        <f t="array" ref="AC41">PRODUCT(1+Q30:Q41)-1</f>
        <v>7.7024940021561683E-3</v>
      </c>
      <c r="AD41" s="21">
        <f t="array" ref="AD41">PRODUCT(1+R30:R41)-1</f>
        <v>1.2560203748711141E-2</v>
      </c>
      <c r="AE41" s="21">
        <f t="array" ref="AE41">PRODUCT(1+S30:S41)-1</f>
        <v>5.1570009077716694E-2</v>
      </c>
      <c r="AF41" s="21">
        <f t="array" ref="AF41">PRODUCT(1+T30:T41)-1</f>
        <v>3.4363923085039216E-2</v>
      </c>
      <c r="AG41" s="21">
        <f t="array" ref="AG41">PRODUCT(1+U30:U41)-1</f>
        <v>6.4485766093058894E-2</v>
      </c>
      <c r="AH41" s="21">
        <f t="array" ref="AH41">PRODUCT(1+V30:V41)-1</f>
        <v>0.13178628088951005</v>
      </c>
      <c r="AI41" s="21">
        <f t="array" ref="AI41">PRODUCT(1+W30:W41)-1</f>
        <v>5.8171183001073823E-2</v>
      </c>
      <c r="AJ41" s="21">
        <f t="array" ref="AJ41">PRODUCT(1+X30:X41)-1</f>
        <v>-8.5351970385783682E-2</v>
      </c>
      <c r="AK41" s="57"/>
      <c r="AL41" s="58"/>
    </row>
    <row r="42" spans="1:48">
      <c r="A42" s="50">
        <v>29</v>
      </c>
      <c r="B42" s="47">
        <v>42094</v>
      </c>
      <c r="C42" s="51">
        <v>2.0299999999999999E-2</v>
      </c>
      <c r="D42" s="52">
        <v>1151.846</v>
      </c>
      <c r="E42" s="52">
        <v>1247.5540000000001</v>
      </c>
      <c r="F42" s="52">
        <v>1620.1479999999999</v>
      </c>
      <c r="G42" s="52">
        <v>1554.3309999999999</v>
      </c>
      <c r="H42" s="52">
        <v>1457.9169999999999</v>
      </c>
      <c r="I42" s="52">
        <v>2653.933</v>
      </c>
      <c r="J42" s="52">
        <v>2067.89</v>
      </c>
      <c r="K42" s="52">
        <v>1740.81</v>
      </c>
      <c r="L42" s="52">
        <v>1183.57</v>
      </c>
      <c r="M42" s="53"/>
      <c r="N42" s="54">
        <f t="shared" si="15"/>
        <v>42094</v>
      </c>
      <c r="O42" s="37">
        <f t="shared" si="19"/>
        <v>8.4166666666666668E-6</v>
      </c>
      <c r="P42" s="37">
        <f t="shared" si="39"/>
        <v>2.3251483239266069E-3</v>
      </c>
      <c r="Q42" s="37">
        <f t="shared" si="40"/>
        <v>2.0836010795528548E-3</v>
      </c>
      <c r="R42" s="37">
        <f t="shared" si="41"/>
        <v>1.9926700417953747E-3</v>
      </c>
      <c r="S42" s="37">
        <f t="shared" si="42"/>
        <v>6.5880564035545319E-3</v>
      </c>
      <c r="T42" s="37">
        <f t="shared" si="43"/>
        <v>4.8404638795114252E-3</v>
      </c>
      <c r="U42" s="37">
        <f t="shared" si="44"/>
        <v>3.7165680952275792E-3</v>
      </c>
      <c r="V42" s="37">
        <f t="shared" si="45"/>
        <v>-1.7396056070325572E-2</v>
      </c>
      <c r="W42" s="37">
        <f t="shared" si="46"/>
        <v>-1.807813363717381E-2</v>
      </c>
      <c r="X42" s="37">
        <f t="shared" si="47"/>
        <v>-2.4406930546168049E-2</v>
      </c>
      <c r="Y42" s="24">
        <v>18</v>
      </c>
      <c r="Z42" s="28">
        <f t="shared" si="50"/>
        <v>42094</v>
      </c>
      <c r="AA42" s="21">
        <f t="array" ref="AA42">PRODUCT(1+O31:O42)-1</f>
        <v>1.8584871012183868E-4</v>
      </c>
      <c r="AB42" s="21">
        <f t="array" ref="AB42">PRODUCT(1+P31:P42)-1</f>
        <v>1.0032400769901972E-2</v>
      </c>
      <c r="AC42" s="21">
        <f t="array" ref="AC42">PRODUCT(1+Q31:Q42)-1</f>
        <v>1.0676658227848357E-2</v>
      </c>
      <c r="AD42" s="21">
        <f t="array" ref="AD42">PRODUCT(1+R31:R42)-1</f>
        <v>1.4872156581722029E-2</v>
      </c>
      <c r="AE42" s="21">
        <f t="array" ref="AE42">PRODUCT(1+S31:S42)-1</f>
        <v>6.148905990809217E-2</v>
      </c>
      <c r="AF42" s="21">
        <f t="array" ref="AF42">PRODUCT(1+T31:T42)-1</f>
        <v>4.0724036811462305E-2</v>
      </c>
      <c r="AG42" s="21">
        <f t="array" ref="AG42">PRODUCT(1+U31:U42)-1</f>
        <v>6.7682479145671826E-2</v>
      </c>
      <c r="AH42" s="21">
        <f t="array" ref="AH42">PRODUCT(1+V31:V42)-1</f>
        <v>0.10444150100943195</v>
      </c>
      <c r="AI42" s="21">
        <f t="array" ref="AI42">PRODUCT(1+W31:W42)-1</f>
        <v>3.9991158214197631E-2</v>
      </c>
      <c r="AJ42" s="21">
        <f t="array" ref="AJ42">PRODUCT(1+X31:X42)-1</f>
        <v>-7.8223689846652178E-2</v>
      </c>
    </row>
    <row r="43" spans="1:48">
      <c r="A43" s="50">
        <v>30</v>
      </c>
      <c r="B43" s="47">
        <v>42124</v>
      </c>
      <c r="C43" s="51">
        <v>0</v>
      </c>
      <c r="D43" s="52">
        <v>1152.3720000000001</v>
      </c>
      <c r="E43" s="52">
        <v>1248.3109999999999</v>
      </c>
      <c r="F43" s="52">
        <v>1622.8409999999999</v>
      </c>
      <c r="G43" s="52">
        <v>1544.722</v>
      </c>
      <c r="H43" s="52">
        <v>1454.799</v>
      </c>
      <c r="I43" s="52">
        <v>2639.7559999999999</v>
      </c>
      <c r="J43" s="52">
        <v>2085.5100000000002</v>
      </c>
      <c r="K43" s="52">
        <v>1778.4</v>
      </c>
      <c r="L43" s="52">
        <v>1184.3699999999999</v>
      </c>
      <c r="M43" s="53"/>
      <c r="N43" s="54">
        <f t="shared" si="15"/>
        <v>42124</v>
      </c>
      <c r="O43" s="37">
        <f t="shared" si="19"/>
        <v>1.6916666666666667E-5</v>
      </c>
      <c r="P43" s="37">
        <f t="shared" si="39"/>
        <v>4.5665826855323388E-4</v>
      </c>
      <c r="Q43" s="37">
        <f t="shared" si="40"/>
        <v>6.0678736150876489E-4</v>
      </c>
      <c r="R43" s="37">
        <f t="shared" si="41"/>
        <v>1.6621938242677992E-3</v>
      </c>
      <c r="S43" s="37">
        <f t="shared" si="42"/>
        <v>-6.1820809081205574E-3</v>
      </c>
      <c r="T43" s="37">
        <f t="shared" si="43"/>
        <v>-2.1386677019336053E-3</v>
      </c>
      <c r="U43" s="37">
        <f t="shared" si="44"/>
        <v>-5.341883159823646E-3</v>
      </c>
      <c r="V43" s="37">
        <f t="shared" si="45"/>
        <v>8.5207627098153882E-3</v>
      </c>
      <c r="W43" s="37">
        <f t="shared" si="46"/>
        <v>2.1593396177641555E-2</v>
      </c>
      <c r="X43" s="37">
        <f t="shared" si="47"/>
        <v>6.75921153797443E-4</v>
      </c>
      <c r="Y43" s="24">
        <v>19</v>
      </c>
      <c r="Z43" s="28">
        <f t="shared" si="50"/>
        <v>42124</v>
      </c>
      <c r="AA43" s="21">
        <f t="array" ref="AA43">PRODUCT(1+O32:O43)-1</f>
        <v>1.7743069248465915E-4</v>
      </c>
      <c r="AB43" s="21">
        <f t="array" ref="AB43">PRODUCT(1+P32:P43)-1</f>
        <v>9.1574241515348653E-3</v>
      </c>
      <c r="AC43" s="21">
        <f t="array" ref="AC43">PRODUCT(1+Q32:Q43)-1</f>
        <v>9.6131993448849151E-3</v>
      </c>
      <c r="AD43" s="21">
        <f t="array" ref="AD43">PRODUCT(1+R32:R43)-1</f>
        <v>1.4084850287539696E-2</v>
      </c>
      <c r="AE43" s="21">
        <f t="array" ref="AE43">PRODUCT(1+S32:S43)-1</f>
        <v>4.8381503086325495E-2</v>
      </c>
      <c r="AF43" s="21">
        <f t="array" ref="AF43">PRODUCT(1+T32:T43)-1</f>
        <v>3.253392573245506E-2</v>
      </c>
      <c r="AG43" s="21">
        <f t="array" ref="AG43">PRODUCT(1+U32:U43)-1</f>
        <v>4.9739588821943848E-2</v>
      </c>
      <c r="AH43" s="21">
        <f t="array" ref="AH43">PRODUCT(1+V32:V43)-1</f>
        <v>0.10698797738793453</v>
      </c>
      <c r="AI43" s="21">
        <f t="array" ref="AI43">PRODUCT(1+W32:W43)-1</f>
        <v>5.3716804721106515E-2</v>
      </c>
      <c r="AJ43" s="21">
        <f t="array" ref="AJ43">PRODUCT(1+X32:X43)-1</f>
        <v>-8.3028158654702144E-2</v>
      </c>
    </row>
    <row r="44" spans="1:48">
      <c r="A44" s="50">
        <v>31</v>
      </c>
      <c r="B44" s="47">
        <v>42153</v>
      </c>
      <c r="C44" s="51">
        <v>0</v>
      </c>
      <c r="D44" s="52">
        <v>1153.2280000000001</v>
      </c>
      <c r="E44" s="52">
        <v>1249.135</v>
      </c>
      <c r="F44" s="52">
        <v>1624.636</v>
      </c>
      <c r="G44" s="52">
        <v>1541.11</v>
      </c>
      <c r="H44" s="52">
        <v>1454.7560000000001</v>
      </c>
      <c r="I44" s="52">
        <v>2626.4180000000001</v>
      </c>
      <c r="J44" s="52">
        <v>2107.39</v>
      </c>
      <c r="K44" s="52">
        <v>1779.31</v>
      </c>
      <c r="L44" s="52">
        <v>1190.58</v>
      </c>
      <c r="M44" s="53"/>
      <c r="N44" s="54">
        <f t="shared" si="15"/>
        <v>42153</v>
      </c>
      <c r="O44" s="37">
        <f t="shared" si="19"/>
        <v>0</v>
      </c>
      <c r="P44" s="37">
        <f t="shared" si="39"/>
        <v>7.428156879896175E-4</v>
      </c>
      <c r="Q44" s="37">
        <f t="shared" si="40"/>
        <v>6.6009191619720298E-4</v>
      </c>
      <c r="R44" s="37">
        <f t="shared" si="41"/>
        <v>1.1060849460915456E-3</v>
      </c>
      <c r="S44" s="37">
        <f t="shared" si="42"/>
        <v>-2.3382848175917958E-3</v>
      </c>
      <c r="T44" s="37">
        <f t="shared" si="43"/>
        <v>-2.9557347784758825E-5</v>
      </c>
      <c r="U44" s="37">
        <f t="shared" si="44"/>
        <v>-5.0527397229136461E-3</v>
      </c>
      <c r="V44" s="37">
        <f t="shared" si="45"/>
        <v>1.0491438545008114E-2</v>
      </c>
      <c r="W44" s="37">
        <f t="shared" si="46"/>
        <v>5.1169590643262985E-4</v>
      </c>
      <c r="X44" s="37">
        <f t="shared" si="47"/>
        <v>5.2432939030877534E-3</v>
      </c>
      <c r="Y44" s="24">
        <v>20</v>
      </c>
      <c r="Z44" s="28">
        <f t="shared" si="50"/>
        <v>42153</v>
      </c>
      <c r="AA44" s="21">
        <f t="array" ref="AA44">PRODUCT(1+O33:O44)-1</f>
        <v>1.5634406289710689E-4</v>
      </c>
      <c r="AB44" s="21">
        <f t="array" ref="AB44">PRODUCT(1+P33:P44)-1</f>
        <v>8.0549783962249322E-3</v>
      </c>
      <c r="AC44" s="21">
        <f t="array" ref="AC44">PRODUCT(1+Q33:Q44)-1</f>
        <v>8.696951221973892E-3</v>
      </c>
      <c r="AD44" s="21">
        <f t="array" ref="AD44">PRODUCT(1+R33:R44)-1</f>
        <v>1.1533442250602599E-2</v>
      </c>
      <c r="AE44" s="21">
        <f t="array" ref="AE44">PRODUCT(1+S33:S44)-1</f>
        <v>3.4643654146201408E-2</v>
      </c>
      <c r="AF44" s="21">
        <f t="array" ref="AF44">PRODUCT(1+T33:T44)-1</f>
        <v>2.5026105558052736E-2</v>
      </c>
      <c r="AG44" s="21">
        <f t="array" ref="AG44">PRODUCT(1+U33:U44)-1</f>
        <v>2.8703546308184391E-2</v>
      </c>
      <c r="AH44" s="21">
        <f t="array" ref="AH44">PRODUCT(1+V33:V44)-1</f>
        <v>9.5561897929370865E-2</v>
      </c>
      <c r="AI44" s="21">
        <f t="array" ref="AI44">PRODUCT(1+W33:W44)-1</f>
        <v>3.7389661726465739E-2</v>
      </c>
      <c r="AJ44" s="21">
        <f t="array" ref="AJ44">PRODUCT(1+X33:X44)-1</f>
        <v>-4.7292106779335374E-2</v>
      </c>
    </row>
    <row r="45" spans="1:48">
      <c r="A45" s="50">
        <v>32</v>
      </c>
      <c r="B45" s="47">
        <v>42185</v>
      </c>
      <c r="C45" s="51">
        <v>5.1000000000000004E-3</v>
      </c>
      <c r="D45" s="52">
        <v>1153.52</v>
      </c>
      <c r="E45" s="52">
        <v>1249.5820000000001</v>
      </c>
      <c r="F45" s="52">
        <v>1622.194</v>
      </c>
      <c r="G45" s="52">
        <v>1525.7570000000001</v>
      </c>
      <c r="H45" s="52">
        <v>1448.2940000000001</v>
      </c>
      <c r="I45" s="52">
        <v>2583.3620000000001</v>
      </c>
      <c r="J45" s="52">
        <v>2063.11</v>
      </c>
      <c r="K45" s="52">
        <v>1735.61</v>
      </c>
      <c r="L45" s="52">
        <v>1172.3499999999999</v>
      </c>
      <c r="M45" s="53"/>
      <c r="N45" s="54">
        <f t="shared" si="15"/>
        <v>42185</v>
      </c>
      <c r="O45" s="37">
        <f t="shared" si="19"/>
        <v>0</v>
      </c>
      <c r="P45" s="37">
        <f t="shared" si="39"/>
        <v>2.5320231558723094E-4</v>
      </c>
      <c r="Q45" s="37">
        <f t="shared" si="40"/>
        <v>3.5784763056034841E-4</v>
      </c>
      <c r="R45" s="37">
        <f t="shared" si="41"/>
        <v>-1.5031059264967173E-3</v>
      </c>
      <c r="S45" s="37">
        <f t="shared" si="42"/>
        <v>-9.962299900720839E-3</v>
      </c>
      <c r="T45" s="37">
        <f t="shared" si="43"/>
        <v>-4.4419820231021978E-3</v>
      </c>
      <c r="U45" s="37">
        <f t="shared" si="44"/>
        <v>-1.639343013945227E-2</v>
      </c>
      <c r="V45" s="37">
        <f t="shared" si="45"/>
        <v>-2.10117728564716E-2</v>
      </c>
      <c r="W45" s="37">
        <f t="shared" si="46"/>
        <v>-2.4560082279085793E-2</v>
      </c>
      <c r="X45" s="37">
        <f t="shared" si="47"/>
        <v>-1.5311864805389042E-2</v>
      </c>
      <c r="Y45" s="24">
        <v>21</v>
      </c>
      <c r="Z45" s="28">
        <f t="shared" si="50"/>
        <v>42185</v>
      </c>
      <c r="AA45" s="21">
        <f t="array" ref="AA45">PRODUCT(1+O34:O45)-1</f>
        <v>1.3100741070948274E-4</v>
      </c>
      <c r="AB45" s="21">
        <f t="array" ref="AB45">PRODUCT(1+P34:P45)-1</f>
        <v>8.7581602179263029E-3</v>
      </c>
      <c r="AC45" s="21">
        <f t="array" ref="AC45">PRODUCT(1+Q34:Q45)-1</f>
        <v>9.8603421258285362E-3</v>
      </c>
      <c r="AD45" s="21">
        <f t="array" ref="AD45">PRODUCT(1+R34:R45)-1</f>
        <v>9.5158201832967748E-3</v>
      </c>
      <c r="AE45" s="21">
        <f t="array" ref="AE45">PRODUCT(1+S34:S45)-1</f>
        <v>2.593762838870517E-2</v>
      </c>
      <c r="AF45" s="21">
        <f t="array" ref="AF45">PRODUCT(1+T34:T45)-1</f>
        <v>2.1144253175445105E-2</v>
      </c>
      <c r="AG45" s="21">
        <f t="array" ref="AG45">PRODUCT(1+U34:U45)-1</f>
        <v>1.0148556663622132E-2</v>
      </c>
      <c r="AH45" s="21">
        <f t="array" ref="AH45">PRODUCT(1+V34:V45)-1</f>
        <v>5.2483637124214999E-2</v>
      </c>
      <c r="AI45" s="21">
        <f t="array" ref="AI45">PRODUCT(1+W34:W45)-1</f>
        <v>-4.4797008179328079E-3</v>
      </c>
      <c r="AJ45" s="21">
        <f t="array" ref="AJ45">PRODUCT(1+X34:X45)-1</f>
        <v>-0.116760715119827</v>
      </c>
    </row>
    <row r="46" spans="1:48">
      <c r="A46" s="50">
        <v>33</v>
      </c>
      <c r="B46" s="47">
        <v>42216</v>
      </c>
      <c r="C46" s="51">
        <v>6.0999999999999999E-2</v>
      </c>
      <c r="D46" s="52">
        <v>1154.1199999999999</v>
      </c>
      <c r="E46" s="52">
        <v>1250.482</v>
      </c>
      <c r="F46" s="52">
        <v>1623.1859999999999</v>
      </c>
      <c r="G46" s="52">
        <v>1540.0889999999999</v>
      </c>
      <c r="H46" s="52">
        <v>1454.393</v>
      </c>
      <c r="I46" s="52">
        <v>2597.2840000000001</v>
      </c>
      <c r="J46" s="52">
        <v>2103.84</v>
      </c>
      <c r="K46" s="52">
        <v>1765.6</v>
      </c>
      <c r="L46" s="52">
        <v>1095.8</v>
      </c>
      <c r="M46" s="53"/>
      <c r="N46" s="54">
        <f t="shared" ref="N46:N77" si="51">B46</f>
        <v>42216</v>
      </c>
      <c r="O46" s="37">
        <f t="shared" si="19"/>
        <v>4.25E-6</v>
      </c>
      <c r="P46" s="37">
        <f t="shared" si="39"/>
        <v>5.2014702822655856E-4</v>
      </c>
      <c r="Q46" s="37">
        <f t="shared" si="40"/>
        <v>7.2024084853961057E-4</v>
      </c>
      <c r="R46" s="37">
        <f t="shared" si="41"/>
        <v>6.1151748804388895E-4</v>
      </c>
      <c r="S46" s="37">
        <f t="shared" si="42"/>
        <v>9.3933699796231451E-3</v>
      </c>
      <c r="T46" s="37">
        <f t="shared" si="43"/>
        <v>4.2111615459292651E-3</v>
      </c>
      <c r="U46" s="37">
        <f t="shared" si="44"/>
        <v>5.3891014886802147E-3</v>
      </c>
      <c r="V46" s="37">
        <f t="shared" si="45"/>
        <v>1.9742039930008559E-2</v>
      </c>
      <c r="W46" s="37">
        <f t="shared" si="46"/>
        <v>1.7279227476218795E-2</v>
      </c>
      <c r="X46" s="37">
        <f t="shared" si="47"/>
        <v>-6.5296199940290789E-2</v>
      </c>
      <c r="Y46" s="24">
        <v>22</v>
      </c>
      <c r="Z46" s="28">
        <f t="shared" si="50"/>
        <v>42216</v>
      </c>
      <c r="AA46" s="21">
        <f t="array" ref="AA46">PRODUCT(1+O35:O46)-1</f>
        <v>1.1833929891791328E-4</v>
      </c>
      <c r="AB46" s="21">
        <f t="array" ref="AB46">PRODUCT(1+P35:P46)-1</f>
        <v>1.0071660371149704E-2</v>
      </c>
      <c r="AC46" s="21">
        <f t="array" ref="AC46">PRODUCT(1+Q35:Q46)-1</f>
        <v>1.1310177056636173E-2</v>
      </c>
      <c r="AD46" s="21">
        <f t="array" ref="AD46">PRODUCT(1+R35:R46)-1</f>
        <v>1.1039812838921081E-2</v>
      </c>
      <c r="AE46" s="21">
        <f t="array" ref="AE46">PRODUCT(1+S35:S46)-1</f>
        <v>3.7126302562092706E-2</v>
      </c>
      <c r="AF46" s="21">
        <f t="array" ref="AF46">PRODUCT(1+T35:T46)-1</f>
        <v>2.637581173986514E-2</v>
      </c>
      <c r="AG46" s="21">
        <f t="array" ref="AG46">PRODUCT(1+U35:U46)-1</f>
        <v>1.6787888824033592E-2</v>
      </c>
      <c r="AH46" s="21">
        <f t="array" ref="AH46">PRODUCT(1+V35:V46)-1</f>
        <v>8.9694251218489063E-2</v>
      </c>
      <c r="AI46" s="21">
        <f t="array" ref="AI46">PRODUCT(1+W35:W46)-1</f>
        <v>2.9894712281622882E-2</v>
      </c>
      <c r="AJ46" s="21">
        <f t="array" ref="AJ46">PRODUCT(1+X35:X46)-1</f>
        <v>-0.14563500417124708</v>
      </c>
    </row>
    <row r="47" spans="1:48">
      <c r="A47" s="50">
        <v>34</v>
      </c>
      <c r="B47" s="47">
        <v>42247</v>
      </c>
      <c r="C47" s="51">
        <v>0</v>
      </c>
      <c r="D47" s="52">
        <v>1153.6300000000001</v>
      </c>
      <c r="E47" s="52">
        <v>1250.546</v>
      </c>
      <c r="F47" s="52">
        <v>1620.6120000000001</v>
      </c>
      <c r="G47" s="52">
        <v>1540.9670000000001</v>
      </c>
      <c r="H47" s="52">
        <v>1454.694</v>
      </c>
      <c r="I47" s="52">
        <v>2579.8580000000002</v>
      </c>
      <c r="J47" s="52">
        <v>1972.18</v>
      </c>
      <c r="K47" s="52">
        <v>1645.43</v>
      </c>
      <c r="L47" s="52">
        <v>1134.93</v>
      </c>
      <c r="M47" s="53"/>
      <c r="N47" s="54">
        <f t="shared" si="51"/>
        <v>42247</v>
      </c>
      <c r="O47" s="37">
        <f t="shared" si="19"/>
        <v>5.0833333333333333E-5</v>
      </c>
      <c r="P47" s="37">
        <f t="shared" si="39"/>
        <v>-4.245659030255311E-4</v>
      </c>
      <c r="Q47" s="37">
        <f t="shared" si="40"/>
        <v>5.1180264889927329E-5</v>
      </c>
      <c r="R47" s="37">
        <f t="shared" si="41"/>
        <v>-1.5857702074807412E-3</v>
      </c>
      <c r="S47" s="37">
        <f t="shared" si="42"/>
        <v>5.7009692297005365E-4</v>
      </c>
      <c r="T47" s="37">
        <f t="shared" si="43"/>
        <v>2.0695919191027201E-4</v>
      </c>
      <c r="U47" s="37">
        <f t="shared" si="44"/>
        <v>-6.7093163473843642E-3</v>
      </c>
      <c r="V47" s="37">
        <f t="shared" si="45"/>
        <v>-6.258080462392579E-2</v>
      </c>
      <c r="W47" s="37">
        <f t="shared" si="46"/>
        <v>-6.806184866334386E-2</v>
      </c>
      <c r="X47" s="37">
        <f t="shared" si="47"/>
        <v>3.5709070998357406E-2</v>
      </c>
      <c r="Y47" s="24">
        <v>23</v>
      </c>
      <c r="Z47" s="28">
        <f t="shared" si="50"/>
        <v>42247</v>
      </c>
      <c r="AA47" s="21">
        <f t="array" ref="AA47">PRODUCT(1+O36:O47)-1</f>
        <v>1.5225940544394412E-4</v>
      </c>
      <c r="AB47" s="21">
        <f t="array" ref="AB47">PRODUCT(1+P36:P47)-1</f>
        <v>7.9623107389403813E-3</v>
      </c>
      <c r="AC47" s="21">
        <f t="array" ref="AC47">PRODUCT(1+Q36:Q47)-1</f>
        <v>9.8355413504569444E-3</v>
      </c>
      <c r="AD47" s="21">
        <f t="array" ref="AD47">PRODUCT(1+R36:R47)-1</f>
        <v>7.2870206005639648E-3</v>
      </c>
      <c r="AE47" s="21">
        <f t="array" ref="AE47">PRODUCT(1+S36:S47)-1</f>
        <v>2.5234890934227483E-2</v>
      </c>
      <c r="AF47" s="21">
        <f t="array" ref="AF47">PRODUCT(1+T36:T47)-1</f>
        <v>1.991102822347357E-2</v>
      </c>
      <c r="AG47" s="21">
        <f t="array" ref="AG47">PRODUCT(1+U36:U47)-1</f>
        <v>-4.2422387410455675E-3</v>
      </c>
      <c r="AH47" s="21">
        <f t="array" ref="AH47">PRODUCT(1+V36:V47)-1</f>
        <v>-1.556876662823159E-2</v>
      </c>
      <c r="AI47" s="21">
        <f t="array" ref="AI47">PRODUCT(1+W36:W47)-1</f>
        <v>-5.9049917366714832E-2</v>
      </c>
      <c r="AJ47" s="21">
        <f t="array" ref="AJ47">PRODUCT(1+X36:X47)-1</f>
        <v>-0.11837771494267146</v>
      </c>
    </row>
    <row r="48" spans="1:48">
      <c r="A48" s="50">
        <v>35</v>
      </c>
      <c r="B48" s="47">
        <v>42277</v>
      </c>
      <c r="C48" s="51">
        <v>-2.0299999999999999E-2</v>
      </c>
      <c r="D48" s="52">
        <v>1157.1199999999999</v>
      </c>
      <c r="E48" s="52">
        <v>1254.1199999999999</v>
      </c>
      <c r="F48" s="52">
        <v>1625.098</v>
      </c>
      <c r="G48" s="52">
        <v>1554.798</v>
      </c>
      <c r="H48" s="52">
        <v>1463.473</v>
      </c>
      <c r="I48" s="52">
        <v>2593.3789999999999</v>
      </c>
      <c r="J48" s="52">
        <v>1920.03</v>
      </c>
      <c r="K48" s="52">
        <v>1581.92</v>
      </c>
      <c r="L48" s="52">
        <v>1115.0899999999999</v>
      </c>
      <c r="M48" s="53"/>
      <c r="N48" s="54">
        <f t="shared" si="51"/>
        <v>42277</v>
      </c>
      <c r="O48" s="37">
        <f t="shared" si="19"/>
        <v>0</v>
      </c>
      <c r="P48" s="37">
        <f t="shared" si="39"/>
        <v>3.025233393722182E-3</v>
      </c>
      <c r="Q48" s="37">
        <f t="shared" si="40"/>
        <v>2.8579516467206467E-3</v>
      </c>
      <c r="R48" s="37">
        <f t="shared" si="41"/>
        <v>2.7680900795501451E-3</v>
      </c>
      <c r="S48" s="37">
        <f t="shared" si="42"/>
        <v>8.9755328959022496E-3</v>
      </c>
      <c r="T48" s="37">
        <f t="shared" si="43"/>
        <v>6.0349461811213256E-3</v>
      </c>
      <c r="U48" s="37">
        <f t="shared" si="44"/>
        <v>5.2409861317948003E-3</v>
      </c>
      <c r="V48" s="37">
        <f t="shared" si="45"/>
        <v>-2.6442819620927094E-2</v>
      </c>
      <c r="W48" s="37">
        <f t="shared" si="46"/>
        <v>-3.8597813337546971E-2</v>
      </c>
      <c r="X48" s="37">
        <f t="shared" si="47"/>
        <v>-1.7481254350488751E-2</v>
      </c>
      <c r="Y48" s="24">
        <v>24</v>
      </c>
      <c r="Z48" s="28">
        <f t="shared" si="50"/>
        <v>42277</v>
      </c>
      <c r="AA48" s="21">
        <f t="array" ref="AA48">PRODUCT(1+O37:O48)-1</f>
        <v>1.3534044926810651E-4</v>
      </c>
      <c r="AB48" s="21">
        <f t="array" ref="AB48">PRODUCT(1+P37:P48)-1</f>
        <v>1.157729371252314E-2</v>
      </c>
      <c r="AC48" s="21">
        <f t="array" ref="AC48">PRODUCT(1+Q37:Q48)-1</f>
        <v>1.2868007821112526E-2</v>
      </c>
      <c r="AD48" s="21">
        <f t="array" ref="AD48">PRODUCT(1+R37:R48)-1</f>
        <v>1.1153753300829239E-2</v>
      </c>
      <c r="AE48" s="21">
        <f t="array" ref="AE48">PRODUCT(1+S37:S48)-1</f>
        <v>4.1026458228993645E-2</v>
      </c>
      <c r="AF48" s="21">
        <f t="array" ref="AF48">PRODUCT(1+T37:T48)-1</f>
        <v>2.9273109488968441E-2</v>
      </c>
      <c r="AG48" s="21">
        <f t="array" ref="AG48">PRODUCT(1+U37:U48)-1</f>
        <v>1.3577134727824403E-2</v>
      </c>
      <c r="AH48" s="21">
        <f t="array" ref="AH48">PRODUCT(1+V37:V48)-1</f>
        <v>-2.6497117563847095E-2</v>
      </c>
      <c r="AI48" s="21">
        <f t="array" ref="AI48">PRODUCT(1+W37:W48)-1</f>
        <v>-6.8587679064536999E-2</v>
      </c>
      <c r="AJ48" s="21">
        <f t="array" ref="AJ48">PRODUCT(1+X37:X48)-1</f>
        <v>-7.7026859247610324E-2</v>
      </c>
    </row>
    <row r="49" spans="1:36">
      <c r="A49" s="50">
        <v>36</v>
      </c>
      <c r="B49" s="47">
        <v>42307</v>
      </c>
      <c r="C49" s="51">
        <v>7.1199999999999999E-2</v>
      </c>
      <c r="D49" s="52">
        <v>1155.989</v>
      </c>
      <c r="E49" s="52">
        <v>1253.502</v>
      </c>
      <c r="F49" s="52">
        <v>1628.251</v>
      </c>
      <c r="G49" s="52">
        <v>1549.2550000000001</v>
      </c>
      <c r="H49" s="52">
        <v>1461.502</v>
      </c>
      <c r="I49" s="52">
        <v>2607.2800000000002</v>
      </c>
      <c r="J49" s="52">
        <v>2079.36</v>
      </c>
      <c r="K49" s="52">
        <v>1705.8</v>
      </c>
      <c r="L49" s="52">
        <v>1142.1099999999999</v>
      </c>
      <c r="M49" s="53"/>
      <c r="N49" s="54">
        <f t="shared" si="51"/>
        <v>42307</v>
      </c>
      <c r="O49" s="37">
        <f t="shared" si="19"/>
        <v>-1.6916666666666667E-5</v>
      </c>
      <c r="P49" s="37">
        <f t="shared" si="39"/>
        <v>-9.7742671460165909E-4</v>
      </c>
      <c r="Q49" s="37">
        <f t="shared" si="40"/>
        <v>-4.927758109271041E-4</v>
      </c>
      <c r="R49" s="37">
        <f t="shared" si="41"/>
        <v>1.940190683884957E-3</v>
      </c>
      <c r="S49" s="37">
        <f t="shared" si="42"/>
        <v>-3.5650933433152288E-3</v>
      </c>
      <c r="T49" s="37">
        <f t="shared" si="43"/>
        <v>-1.3467962852747872E-3</v>
      </c>
      <c r="U49" s="37">
        <f t="shared" si="44"/>
        <v>5.3601883874283551E-3</v>
      </c>
      <c r="V49" s="37">
        <f t="shared" si="45"/>
        <v>8.2983078389400333E-2</v>
      </c>
      <c r="W49" s="37">
        <f t="shared" si="46"/>
        <v>7.8309901891372435E-2</v>
      </c>
      <c r="X49" s="37">
        <f t="shared" si="47"/>
        <v>2.4231227972629998E-2</v>
      </c>
      <c r="Y49" s="24">
        <v>25</v>
      </c>
      <c r="Z49" s="28">
        <f t="shared" si="50"/>
        <v>42307</v>
      </c>
      <c r="AA49" s="21">
        <f t="array" ref="AA49">PRODUCT(1+O38:O49)-1</f>
        <v>1.0575348688157682E-4</v>
      </c>
      <c r="AB49" s="21">
        <f t="array" ref="AB49">PRODUCT(1+P38:P49)-1</f>
        <v>7.8220287929473553E-3</v>
      </c>
      <c r="AC49" s="21">
        <f t="array" ref="AC49">PRODUCT(1+Q38:Q49)-1</f>
        <v>1.016123066211172E-2</v>
      </c>
      <c r="AD49" s="21">
        <f t="array" ref="AD49">PRODUCT(1+R38:R49)-1</f>
        <v>1.0969940698492442E-2</v>
      </c>
      <c r="AE49" s="21">
        <f t="array" ref="AE49">PRODUCT(1+S38:S49)-1</f>
        <v>2.6174740252944639E-2</v>
      </c>
      <c r="AF49" s="21">
        <f t="array" ref="AF49">PRODUCT(1+T38:T49)-1</f>
        <v>2.1415093020980436E-2</v>
      </c>
      <c r="AG49" s="21">
        <f t="array" ref="AG49">PRODUCT(1+U38:U49)-1</f>
        <v>9.5883165189942776E-3</v>
      </c>
      <c r="AH49" s="21">
        <f t="array" ref="AH49">PRODUCT(1+V38:V49)-1</f>
        <v>3.0380813161219766E-2</v>
      </c>
      <c r="AI49" s="21">
        <f t="array" ref="AI49">PRODUCT(1+W38:W49)-1</f>
        <v>-1.3406787698539979E-3</v>
      </c>
      <c r="AJ49" s="21">
        <f t="array" ref="AJ49">PRODUCT(1+X38:X49)-1</f>
        <v>-2.6284379422647386E-2</v>
      </c>
    </row>
    <row r="50" spans="1:36">
      <c r="A50" s="50">
        <v>37</v>
      </c>
      <c r="B50" s="47">
        <v>42338</v>
      </c>
      <c r="C50" s="51">
        <v>0.1678</v>
      </c>
      <c r="D50" s="52">
        <v>1153.1510000000001</v>
      </c>
      <c r="E50" s="52">
        <v>1251.0709999999999</v>
      </c>
      <c r="F50" s="52">
        <v>1627.0940000000001</v>
      </c>
      <c r="G50" s="52">
        <v>1542.7090000000001</v>
      </c>
      <c r="H50" s="52">
        <v>1457.568</v>
      </c>
      <c r="I50" s="52">
        <v>2601.444</v>
      </c>
      <c r="J50" s="52">
        <v>2080.41</v>
      </c>
      <c r="K50" s="52">
        <v>1694.4</v>
      </c>
      <c r="L50" s="52">
        <v>1064.77</v>
      </c>
      <c r="M50" s="53"/>
      <c r="N50" s="54">
        <f t="shared" si="51"/>
        <v>42338</v>
      </c>
      <c r="O50" s="37">
        <f t="shared" si="19"/>
        <v>5.933333333333333E-5</v>
      </c>
      <c r="P50" s="37">
        <f t="shared" si="39"/>
        <v>-2.4550406621516307E-3</v>
      </c>
      <c r="Q50" s="37">
        <f t="shared" si="40"/>
        <v>-1.9393666703364509E-3</v>
      </c>
      <c r="R50" s="37">
        <f t="shared" si="41"/>
        <v>-7.1057840590915688E-4</v>
      </c>
      <c r="S50" s="37">
        <f t="shared" si="42"/>
        <v>-4.225256655618348E-3</v>
      </c>
      <c r="T50" s="37">
        <f t="shared" si="43"/>
        <v>-2.6917513626392164E-3</v>
      </c>
      <c r="U50" s="37">
        <f t="shared" si="44"/>
        <v>-2.2383480101869635E-3</v>
      </c>
      <c r="V50" s="37">
        <f t="shared" si="45"/>
        <v>5.0496306555847248E-4</v>
      </c>
      <c r="W50" s="37">
        <f t="shared" si="46"/>
        <v>-6.6830812521982974E-3</v>
      </c>
      <c r="X50" s="37">
        <f t="shared" si="47"/>
        <v>-6.7716769838281676E-2</v>
      </c>
      <c r="Y50" s="24">
        <v>26</v>
      </c>
      <c r="Z50" s="28">
        <f t="shared" si="50"/>
        <v>42338</v>
      </c>
      <c r="AA50" s="21">
        <f t="array" ref="AA50">PRODUCT(1+O39:O50)-1</f>
        <v>1.6084241134195487E-4</v>
      </c>
      <c r="AB50" s="21">
        <f t="array" ref="AB50">PRODUCT(1+P39:P50)-1</f>
        <v>3.8984114713238593E-3</v>
      </c>
      <c r="AC50" s="21">
        <f t="array" ref="AC50">PRODUCT(1+Q39:Q50)-1</f>
        <v>6.2543483244117404E-3</v>
      </c>
      <c r="AD50" s="21">
        <f t="array" ref="AD50">PRODUCT(1+R39:R50)-1</f>
        <v>8.7221214798283153E-3</v>
      </c>
      <c r="AE50" s="21">
        <f t="array" ref="AE50">PRODUCT(1+S39:S50)-1</f>
        <v>1.2504791107704305E-2</v>
      </c>
      <c r="AF50" s="21">
        <f t="array" ref="AF50">PRODUCT(1+T39:T50)-1</f>
        <v>1.3049132154521637E-2</v>
      </c>
      <c r="AG50" s="21">
        <f t="array" ref="AG50">PRODUCT(1+U39:U50)-1</f>
        <v>9.7117264094337408E-4</v>
      </c>
      <c r="AH50" s="21">
        <f t="array" ref="AH50">PRODUCT(1+V39:V50)-1</f>
        <v>6.2150554276534375E-3</v>
      </c>
      <c r="AI50" s="21">
        <f t="array" ref="AI50">PRODUCT(1+W39:W50)-1</f>
        <v>-2.5926990514515635E-2</v>
      </c>
      <c r="AJ50" s="21">
        <f t="array" ref="AJ50">PRODUCT(1+X39:X50)-1</f>
        <v>-8.7897685415203264E-2</v>
      </c>
    </row>
    <row r="51" spans="1:36">
      <c r="A51" s="50">
        <v>38</v>
      </c>
      <c r="B51" s="47">
        <v>42369</v>
      </c>
      <c r="C51" s="51">
        <v>0.16270000000000001</v>
      </c>
      <c r="D51" s="52">
        <v>1152.0709999999999</v>
      </c>
      <c r="E51" s="52">
        <v>1249.4960000000001</v>
      </c>
      <c r="F51" s="52">
        <v>1623.0329999999999</v>
      </c>
      <c r="G51" s="52">
        <v>1540.289</v>
      </c>
      <c r="H51" s="52">
        <v>1453.954</v>
      </c>
      <c r="I51" s="52">
        <v>2578.886</v>
      </c>
      <c r="J51" s="52">
        <v>2043.94</v>
      </c>
      <c r="K51" s="52">
        <v>1662.79</v>
      </c>
      <c r="L51" s="52">
        <v>1061.0999999999999</v>
      </c>
      <c r="M51" s="53"/>
      <c r="N51" s="54">
        <f t="shared" si="51"/>
        <v>42369</v>
      </c>
      <c r="O51" s="37">
        <f t="shared" si="19"/>
        <v>1.3983333333333334E-4</v>
      </c>
      <c r="P51" s="37">
        <f t="shared" si="39"/>
        <v>-9.365642487412229E-4</v>
      </c>
      <c r="Q51" s="37">
        <f t="shared" si="40"/>
        <v>-1.2589213561818857E-3</v>
      </c>
      <c r="R51" s="37">
        <f t="shared" si="41"/>
        <v>-2.4958607185572301E-3</v>
      </c>
      <c r="S51" s="37">
        <f t="shared" si="42"/>
        <v>-1.5686691398054675E-3</v>
      </c>
      <c r="T51" s="37">
        <f t="shared" si="43"/>
        <v>-2.4794726558212687E-3</v>
      </c>
      <c r="U51" s="37">
        <f t="shared" si="44"/>
        <v>-8.6713379184790718E-3</v>
      </c>
      <c r="V51" s="37">
        <f t="shared" si="45"/>
        <v>-1.7530198374358763E-2</v>
      </c>
      <c r="W51" s="37">
        <f t="shared" si="46"/>
        <v>-1.8655571293673345E-2</v>
      </c>
      <c r="X51" s="37">
        <f t="shared" si="47"/>
        <v>-3.4467537590278097E-3</v>
      </c>
      <c r="Y51" s="24">
        <v>27</v>
      </c>
      <c r="Z51" s="28">
        <f t="shared" si="50"/>
        <v>42369</v>
      </c>
      <c r="AA51" s="21">
        <f t="array" ref="AA51">PRODUCT(1+O40:O51)-1</f>
        <v>2.9227910912266175E-4</v>
      </c>
      <c r="AB51" s="21">
        <f t="array" ref="AB51">PRODUCT(1+P40:P51)-1</f>
        <v>5.407221555580044E-3</v>
      </c>
      <c r="AC51" s="21">
        <f t="array" ref="AC51">PRODUCT(1+Q40:Q51)-1</f>
        <v>6.9475168731738535E-3</v>
      </c>
      <c r="AD51" s="21">
        <f t="array" ref="AD51">PRODUCT(1+R40:R51)-1</f>
        <v>1.012594887982865E-2</v>
      </c>
      <c r="AE51" s="21">
        <f t="array" ref="AE51">PRODUCT(1+S40:S51)-1</f>
        <v>8.309134090427106E-3</v>
      </c>
      <c r="AF51" s="21">
        <f t="array" ref="AF51">PRODUCT(1+T40:T51)-1</f>
        <v>9.9196136900532306E-3</v>
      </c>
      <c r="AG51" s="21">
        <f t="array" ref="AG51">PRODUCT(1+U40:U51)-1</f>
        <v>-6.3164692505119913E-3</v>
      </c>
      <c r="AH51" s="21">
        <f t="array" ref="AH51">PRODUCT(1+V40:V51)-1</f>
        <v>-7.26601583369757E-3</v>
      </c>
      <c r="AI51" s="21">
        <f t="array" ref="AI51">PRODUCT(1+W40:W51)-1</f>
        <v>-2.7420496353097734E-2</v>
      </c>
      <c r="AJ51" s="21">
        <f t="array" ref="AJ51">PRODUCT(1+X40:X51)-1</f>
        <v>-0.10408065047240278</v>
      </c>
    </row>
    <row r="52" spans="1:36">
      <c r="A52" s="50">
        <v>39</v>
      </c>
      <c r="B52" s="47">
        <v>42398</v>
      </c>
      <c r="C52" s="51">
        <v>0.31030000000000002</v>
      </c>
      <c r="D52" s="52">
        <v>1159.0899999999999</v>
      </c>
      <c r="E52" s="52">
        <v>1256.875</v>
      </c>
      <c r="F52" s="52">
        <v>1627.4110000000001</v>
      </c>
      <c r="G52" s="52">
        <v>1574.173</v>
      </c>
      <c r="H52" s="52">
        <v>1474.7950000000001</v>
      </c>
      <c r="I52" s="52">
        <v>2590.1999999999998</v>
      </c>
      <c r="J52" s="52">
        <v>1940.24</v>
      </c>
      <c r="K52" s="52">
        <v>1562.18</v>
      </c>
      <c r="L52" s="52">
        <v>1118.21</v>
      </c>
      <c r="M52" s="53"/>
      <c r="N52" s="54">
        <f t="shared" si="51"/>
        <v>42398</v>
      </c>
      <c r="O52" s="37">
        <f t="shared" si="19"/>
        <v>1.3558333333333334E-4</v>
      </c>
      <c r="P52" s="37">
        <f t="shared" si="39"/>
        <v>6.0925064514252281E-3</v>
      </c>
      <c r="Q52" s="37">
        <f t="shared" si="40"/>
        <v>5.905581130311699E-3</v>
      </c>
      <c r="R52" s="37">
        <f t="shared" si="41"/>
        <v>2.6974189680679661E-3</v>
      </c>
      <c r="S52" s="37">
        <f t="shared" si="42"/>
        <v>2.1998469118457598E-2</v>
      </c>
      <c r="T52" s="37">
        <f t="shared" si="43"/>
        <v>1.4334016069284194E-2</v>
      </c>
      <c r="U52" s="37">
        <f t="shared" si="44"/>
        <v>4.3871656211247334E-3</v>
      </c>
      <c r="V52" s="37">
        <f t="shared" si="45"/>
        <v>-5.0735344481736222E-2</v>
      </c>
      <c r="W52" s="37">
        <f t="shared" si="46"/>
        <v>-6.0506738674156013E-2</v>
      </c>
      <c r="X52" s="37">
        <f t="shared" si="47"/>
        <v>5.3821505984356088E-2</v>
      </c>
      <c r="Y52" s="24">
        <v>28</v>
      </c>
      <c r="Z52" s="28">
        <f t="shared" si="50"/>
        <v>42398</v>
      </c>
      <c r="AA52" s="21">
        <f t="array" ref="AA52">PRODUCT(1+O41:O52)-1</f>
        <v>3.9830695405118632E-4</v>
      </c>
      <c r="AB52" s="21">
        <f t="array" ref="AB52">PRODUCT(1+P41:P52)-1</f>
        <v>6.4524307976576711E-3</v>
      </c>
      <c r="AC52" s="21">
        <f t="array" ref="AC52">PRODUCT(1+Q41:Q52)-1</f>
        <v>8.1138375580203093E-3</v>
      </c>
      <c r="AD52" s="21">
        <f t="array" ref="AD52">PRODUCT(1+R41:R52)-1</f>
        <v>7.4346864957992587E-3</v>
      </c>
      <c r="AE52" s="21">
        <f t="array" ref="AE52">PRODUCT(1+S41:S52)-1</f>
        <v>1.6161533894996083E-3</v>
      </c>
      <c r="AF52" s="21">
        <f t="array" ref="AF52">PRODUCT(1+T41:T52)-1</f>
        <v>7.3984059717318029E-3</v>
      </c>
      <c r="AG52" s="21">
        <f t="array" ref="AG52">PRODUCT(1+U41:U52)-1</f>
        <v>-2.8577493465906545E-2</v>
      </c>
      <c r="AH52" s="21">
        <f t="array" ref="AH52">PRODUCT(1+V41:V52)-1</f>
        <v>-2.7443746585195772E-2</v>
      </c>
      <c r="AI52" s="21">
        <f t="array" ref="AI52">PRODUCT(1+W41:W52)-1</f>
        <v>-6.8767361732059995E-2</v>
      </c>
      <c r="AJ52" s="21">
        <f t="array" ref="AJ52">PRODUCT(1+X41:X52)-1</f>
        <v>-0.12897748074061932</v>
      </c>
    </row>
    <row r="53" spans="1:36">
      <c r="A53" s="50">
        <v>40</v>
      </c>
      <c r="B53" s="47">
        <v>42429</v>
      </c>
      <c r="C53" s="51">
        <v>0.31540000000000001</v>
      </c>
      <c r="D53" s="52">
        <v>1160.4259999999999</v>
      </c>
      <c r="E53" s="52">
        <v>1257.675</v>
      </c>
      <c r="F53" s="52">
        <v>1628.9739999999999</v>
      </c>
      <c r="G53" s="52">
        <v>1589.664</v>
      </c>
      <c r="H53" s="52">
        <v>1481.4829999999999</v>
      </c>
      <c r="I53" s="52">
        <v>2609.23</v>
      </c>
      <c r="J53" s="52">
        <v>1932.23</v>
      </c>
      <c r="K53" s="52">
        <v>1547.17</v>
      </c>
      <c r="L53" s="52">
        <v>1238.67</v>
      </c>
      <c r="M53" s="53"/>
      <c r="N53" s="54">
        <f t="shared" si="51"/>
        <v>42429</v>
      </c>
      <c r="O53" s="37">
        <f t="shared" si="19"/>
        <v>2.5858333333333338E-4</v>
      </c>
      <c r="P53" s="37">
        <f t="shared" si="39"/>
        <v>1.1526283550027383E-3</v>
      </c>
      <c r="Q53" s="37">
        <f t="shared" si="40"/>
        <v>6.3649925410236285E-4</v>
      </c>
      <c r="R53" s="37">
        <f t="shared" si="41"/>
        <v>9.6042118432282386E-4</v>
      </c>
      <c r="S53" s="37">
        <f t="shared" si="42"/>
        <v>9.8407227159911237E-3</v>
      </c>
      <c r="T53" s="37">
        <f t="shared" si="43"/>
        <v>4.5348675578638087E-3</v>
      </c>
      <c r="U53" s="37">
        <f t="shared" si="44"/>
        <v>7.3469230175275957E-3</v>
      </c>
      <c r="V53" s="37">
        <f t="shared" si="45"/>
        <v>-4.1283552550199776E-3</v>
      </c>
      <c r="W53" s="37">
        <f t="shared" si="46"/>
        <v>-9.608367793724093E-3</v>
      </c>
      <c r="X53" s="37">
        <f t="shared" si="47"/>
        <v>0.10772574024557113</v>
      </c>
      <c r="Y53" s="24">
        <v>29</v>
      </c>
      <c r="Z53" s="28">
        <f t="shared" si="50"/>
        <v>42429</v>
      </c>
      <c r="AA53" s="21">
        <f t="array" ref="AA53">PRODUCT(1+O42:O53)-1</f>
        <v>6.5699328292434522E-4</v>
      </c>
      <c r="AB53" s="21">
        <f t="array" ref="AB53">PRODUCT(1+P42:P53)-1</f>
        <v>9.7913805916247654E-3</v>
      </c>
      <c r="AC53" s="21">
        <f t="array" ref="AC53">PRODUCT(1+Q42:Q53)-1</f>
        <v>1.0213179539904749E-2</v>
      </c>
      <c r="AD53" s="21">
        <f t="array" ref="AD53">PRODUCT(1+R42:R53)-1</f>
        <v>7.4511758732316302E-3</v>
      </c>
      <c r="AE53" s="21">
        <f t="array" ref="AE53">PRODUCT(1+S42:S53)-1</f>
        <v>2.9469782237309561E-2</v>
      </c>
      <c r="AF53" s="21">
        <f t="array" ref="AF53">PRODUCT(1+T42:T53)-1</f>
        <v>2.1082863393190543E-2</v>
      </c>
      <c r="AG53" s="21">
        <f t="array" ref="AG53">PRODUCT(1+U42:U53)-1</f>
        <v>-1.3190091471370624E-2</v>
      </c>
      <c r="AH53" s="21">
        <f t="array" ref="AH53">PRODUCT(1+V42:V53)-1</f>
        <v>-8.1857923497267615E-2</v>
      </c>
      <c r="AI53" s="21">
        <f t="array" ref="AI53">PRODUCT(1+W42:W53)-1</f>
        <v>-0.12730277630495357</v>
      </c>
      <c r="AJ53" s="21">
        <f t="array" ref="AJ53">PRODUCT(1+X42:X53)-1</f>
        <v>2.1010896981486837E-2</v>
      </c>
    </row>
    <row r="54" spans="1:36">
      <c r="A54" s="50">
        <v>41</v>
      </c>
      <c r="B54" s="47">
        <v>42460</v>
      </c>
      <c r="C54" s="51">
        <v>0.1983</v>
      </c>
      <c r="D54" s="52">
        <v>1162.451</v>
      </c>
      <c r="E54" s="52">
        <v>1260.2449999999999</v>
      </c>
      <c r="F54" s="52">
        <v>1642.7529999999999</v>
      </c>
      <c r="G54" s="52">
        <v>1591.874</v>
      </c>
      <c r="H54" s="52">
        <v>1485.0730000000001</v>
      </c>
      <c r="I54" s="52">
        <v>2680.049</v>
      </c>
      <c r="J54" s="52">
        <v>2059.7399999999998</v>
      </c>
      <c r="K54" s="52">
        <v>1648.12</v>
      </c>
      <c r="L54" s="52">
        <v>1232.75</v>
      </c>
      <c r="M54" s="53"/>
      <c r="N54" s="54">
        <f t="shared" si="51"/>
        <v>42460</v>
      </c>
      <c r="O54" s="37">
        <f t="shared" si="19"/>
        <v>2.6283333333333334E-4</v>
      </c>
      <c r="P54" s="37">
        <f t="shared" si="39"/>
        <v>1.7450488010437581E-3</v>
      </c>
      <c r="Q54" s="37">
        <f t="shared" si="40"/>
        <v>2.0434531973680947E-3</v>
      </c>
      <c r="R54" s="37">
        <f t="shared" si="41"/>
        <v>8.4586985427637096E-3</v>
      </c>
      <c r="S54" s="37">
        <f t="shared" si="42"/>
        <v>1.3902308915594297E-3</v>
      </c>
      <c r="T54" s="37">
        <f t="shared" si="43"/>
        <v>2.4232475161714007E-3</v>
      </c>
      <c r="U54" s="37">
        <f t="shared" si="44"/>
        <v>2.7141723803574269E-2</v>
      </c>
      <c r="V54" s="37">
        <f t="shared" si="45"/>
        <v>6.5991108718941094E-2</v>
      </c>
      <c r="W54" s="37">
        <f t="shared" si="46"/>
        <v>6.5248162774614205E-2</v>
      </c>
      <c r="X54" s="37">
        <f t="shared" si="47"/>
        <v>-4.7793197542526089E-3</v>
      </c>
      <c r="Y54" s="24">
        <v>30</v>
      </c>
      <c r="Z54" s="28">
        <f t="shared" si="50"/>
        <v>42460</v>
      </c>
      <c r="AA54" s="21">
        <f t="array" ref="AA54">PRODUCT(1+O43:O54)-1</f>
        <v>9.1157495690330492E-4</v>
      </c>
      <c r="AB54" s="21">
        <f t="array" ref="AB54">PRODUCT(1+P43:P54)-1</f>
        <v>9.2069599581887651E-3</v>
      </c>
      <c r="AC54" s="21">
        <f t="array" ref="AC54">PRODUCT(1+Q43:Q54)-1</f>
        <v>1.017270595100439E-2</v>
      </c>
      <c r="AD54" s="21">
        <f t="array" ref="AD54">PRODUCT(1+R43:R54)-1</f>
        <v>1.3952429037346725E-2</v>
      </c>
      <c r="AE54" s="21">
        <f t="array" ref="AE54">PRODUCT(1+S43:S54)-1</f>
        <v>2.4153799930645148E-2</v>
      </c>
      <c r="AF54" s="21">
        <f t="array" ref="AF54">PRODUCT(1+T43:T54)-1</f>
        <v>1.8626574763858539E-2</v>
      </c>
      <c r="AG54" s="21">
        <f t="array" ref="AG54">PRODUCT(1+U43:U54)-1</f>
        <v>9.8404895677473014E-3</v>
      </c>
      <c r="AH54" s="21">
        <f t="array" ref="AH54">PRODUCT(1+V43:V54)-1</f>
        <v>-3.9412154418270173E-3</v>
      </c>
      <c r="AI54" s="21">
        <f t="array" ref="AI54">PRODUCT(1+W43:W54)-1</f>
        <v>-5.3245328324170837E-2</v>
      </c>
      <c r="AJ54" s="21">
        <f t="array" ref="AJ54">PRODUCT(1+X43:X54)-1</f>
        <v>4.1552252929695888E-2</v>
      </c>
    </row>
    <row r="55" spans="1:36">
      <c r="A55" s="50">
        <v>42</v>
      </c>
      <c r="B55" s="47">
        <v>42489</v>
      </c>
      <c r="C55" s="51">
        <v>0.20849999999999999</v>
      </c>
      <c r="D55" s="52">
        <v>1162.8720000000001</v>
      </c>
      <c r="E55" s="52">
        <v>1260.557</v>
      </c>
      <c r="F55" s="52">
        <v>1649.5170000000001</v>
      </c>
      <c r="G55" s="52">
        <v>1589.963</v>
      </c>
      <c r="H55" s="52">
        <v>1485.4829999999999</v>
      </c>
      <c r="I55" s="52">
        <v>2716.5050000000001</v>
      </c>
      <c r="J55" s="52">
        <v>2065.3000000000002</v>
      </c>
      <c r="K55" s="52">
        <v>1670.8</v>
      </c>
      <c r="L55" s="52">
        <v>1293.53</v>
      </c>
      <c r="M55" s="53"/>
      <c r="N55" s="54">
        <f t="shared" si="51"/>
        <v>42489</v>
      </c>
      <c r="O55" s="37">
        <f t="shared" si="19"/>
        <v>1.6525000000000001E-4</v>
      </c>
      <c r="P55" s="37">
        <f t="shared" si="39"/>
        <v>3.6216580311787538E-4</v>
      </c>
      <c r="Q55" s="37">
        <f t="shared" si="40"/>
        <v>2.4757090883142929E-4</v>
      </c>
      <c r="R55" s="37">
        <f t="shared" si="41"/>
        <v>4.1174784036310808E-3</v>
      </c>
      <c r="S55" s="37">
        <f t="shared" si="42"/>
        <v>-1.2004718966450723E-3</v>
      </c>
      <c r="T55" s="37">
        <f t="shared" si="43"/>
        <v>2.7608070445017674E-4</v>
      </c>
      <c r="U55" s="37">
        <f t="shared" si="44"/>
        <v>1.3602736367879897E-2</v>
      </c>
      <c r="V55" s="37">
        <f t="shared" si="45"/>
        <v>2.69936982337593E-3</v>
      </c>
      <c r="W55" s="37">
        <f t="shared" si="46"/>
        <v>1.3761133898017253E-2</v>
      </c>
      <c r="X55" s="37">
        <f t="shared" si="47"/>
        <v>4.9304400730074915E-2</v>
      </c>
      <c r="Y55" s="24">
        <v>31</v>
      </c>
      <c r="Z55" s="28">
        <f t="shared" si="50"/>
        <v>42489</v>
      </c>
      <c r="AA55" s="21">
        <f t="array" ref="AA55">PRODUCT(1+O44:O55)-1</f>
        <v>1.0600409956380563E-3</v>
      </c>
      <c r="AB55" s="21">
        <f t="array" ref="AB55">PRODUCT(1+P44:P55)-1</f>
        <v>9.1116410325833286E-3</v>
      </c>
      <c r="AC55" s="21">
        <f t="array" ref="AC55">PRODUCT(1+Q44:Q55)-1</f>
        <v>9.8100553467845852E-3</v>
      </c>
      <c r="AD55" s="21">
        <f t="array" ref="AD55">PRODUCT(1+R44:R55)-1</f>
        <v>1.6437839566537882E-2</v>
      </c>
      <c r="AE55" s="21">
        <f t="array" ref="AE55">PRODUCT(1+S44:S55)-1</f>
        <v>2.9287470496309309E-2</v>
      </c>
      <c r="AF55" s="21">
        <f t="array" ref="AF55">PRODUCT(1+T44:T55)-1</f>
        <v>2.1091573475098713E-2</v>
      </c>
      <c r="AG55" s="21">
        <f t="array" ref="AG55">PRODUCT(1+U44:U55)-1</f>
        <v>2.9074278077216631E-2</v>
      </c>
      <c r="AH55" s="21">
        <f t="array" ref="AH55">PRODUCT(1+V44:V55)-1</f>
        <v>-9.6906751825689419E-3</v>
      </c>
      <c r="AI55" s="21">
        <f t="array" ref="AI55">PRODUCT(1+W44:W55)-1</f>
        <v>-6.0503823661718026E-2</v>
      </c>
      <c r="AJ55" s="21">
        <f t="array" ref="AJ55">PRODUCT(1+X44:X55)-1</f>
        <v>9.2167143713535626E-2</v>
      </c>
    </row>
    <row r="56" spans="1:36">
      <c r="A56" s="50">
        <v>43</v>
      </c>
      <c r="B56" s="47">
        <v>42521</v>
      </c>
      <c r="C56" s="51">
        <v>0.28489999999999999</v>
      </c>
      <c r="D56" s="52">
        <v>1161.636</v>
      </c>
      <c r="E56" s="52">
        <v>1259.8520000000001</v>
      </c>
      <c r="F56" s="52">
        <v>1649.7719999999999</v>
      </c>
      <c r="G56" s="52">
        <v>1590.559</v>
      </c>
      <c r="H56" s="52">
        <v>1486.0719999999999</v>
      </c>
      <c r="I56" s="52">
        <v>2714.741</v>
      </c>
      <c r="J56" s="52">
        <v>2096.96</v>
      </c>
      <c r="K56" s="52">
        <v>1674.61</v>
      </c>
      <c r="L56" s="52">
        <v>1215.33</v>
      </c>
      <c r="M56" s="53"/>
      <c r="N56" s="54">
        <f t="shared" si="51"/>
        <v>42521</v>
      </c>
      <c r="O56" s="37">
        <f t="shared" si="19"/>
        <v>1.7374999999999999E-4</v>
      </c>
      <c r="P56" s="37">
        <f t="shared" si="39"/>
        <v>-1.0628856830331435E-3</v>
      </c>
      <c r="Q56" s="37">
        <f t="shared" si="40"/>
        <v>-5.5927657376853013E-4</v>
      </c>
      <c r="R56" s="37">
        <f t="shared" si="41"/>
        <v>1.5459070746159931E-4</v>
      </c>
      <c r="S56" s="37">
        <f t="shared" si="42"/>
        <v>3.748514902548461E-4</v>
      </c>
      <c r="T56" s="37">
        <f t="shared" si="43"/>
        <v>3.9650403269497758E-4</v>
      </c>
      <c r="U56" s="37">
        <f t="shared" si="44"/>
        <v>-6.4936379649593867E-4</v>
      </c>
      <c r="V56" s="37">
        <f t="shared" si="45"/>
        <v>1.5329492083474561E-2</v>
      </c>
      <c r="W56" s="37">
        <f t="shared" si="46"/>
        <v>2.2803447450323588E-3</v>
      </c>
      <c r="X56" s="37">
        <f t="shared" si="47"/>
        <v>-6.0454724668156157E-2</v>
      </c>
      <c r="Y56" s="24">
        <v>32</v>
      </c>
      <c r="Z56" s="28">
        <f t="shared" si="50"/>
        <v>42521</v>
      </c>
      <c r="AA56" s="21">
        <f t="array" ref="AA56">PRODUCT(1+O45:O56)-1</f>
        <v>1.2339751777610264E-3</v>
      </c>
      <c r="AB56" s="21">
        <f t="array" ref="AB56">PRODUCT(1+P45:P56)-1</f>
        <v>7.2908392789630128E-3</v>
      </c>
      <c r="AC56" s="21">
        <f t="array" ref="AC56">PRODUCT(1+Q45:Q56)-1</f>
        <v>8.5795370396313242E-3</v>
      </c>
      <c r="AD56" s="21">
        <f t="array" ref="AD56">PRODUCT(1+R45:R56)-1</f>
        <v>1.5471773369542641E-2</v>
      </c>
      <c r="AE56" s="21">
        <f t="array" ref="AE56">PRODUCT(1+S45:S56)-1</f>
        <v>3.2086612895899647E-2</v>
      </c>
      <c r="AF56" s="21">
        <f t="array" ref="AF56">PRODUCT(1+T45:T56)-1</f>
        <v>2.1526634019725543E-2</v>
      </c>
      <c r="AG56" s="21">
        <f t="array" ref="AG56">PRODUCT(1+U45:U56)-1</f>
        <v>3.3628691244120601E-2</v>
      </c>
      <c r="AH56" s="21">
        <f t="array" ref="AH56">PRODUCT(1+V45:V56)-1</f>
        <v>-4.9492500201668843E-3</v>
      </c>
      <c r="AI56" s="21">
        <f t="array" ref="AI56">PRODUCT(1+W45:W56)-1</f>
        <v>-5.8843034659502691E-2</v>
      </c>
      <c r="AJ56" s="21">
        <f t="array" ref="AJ56">PRODUCT(1+X45:X56)-1</f>
        <v>2.0788187270070146E-2</v>
      </c>
    </row>
    <row r="57" spans="1:36">
      <c r="A57" s="50">
        <v>44</v>
      </c>
      <c r="B57" s="47">
        <v>42551</v>
      </c>
      <c r="C57" s="51">
        <v>0.25869999999999999</v>
      </c>
      <c r="D57" s="52">
        <v>1168.595</v>
      </c>
      <c r="E57" s="52">
        <v>1265.452</v>
      </c>
      <c r="F57" s="52">
        <v>1659.8009999999999</v>
      </c>
      <c r="G57" s="52">
        <v>1627.5329999999999</v>
      </c>
      <c r="H57" s="52">
        <v>1505.0409999999999</v>
      </c>
      <c r="I57" s="52">
        <v>2773.9090000000001</v>
      </c>
      <c r="J57" s="52">
        <v>2098.86</v>
      </c>
      <c r="K57" s="52">
        <v>1653.23</v>
      </c>
      <c r="L57" s="52">
        <v>1321.9</v>
      </c>
      <c r="M57" s="53"/>
      <c r="N57" s="54">
        <f t="shared" si="51"/>
        <v>42551</v>
      </c>
      <c r="O57" s="37">
        <f t="shared" si="19"/>
        <v>2.3741666666666665E-4</v>
      </c>
      <c r="P57" s="37">
        <f t="shared" si="39"/>
        <v>5.9906889937983987E-3</v>
      </c>
      <c r="Q57" s="37">
        <f t="shared" si="40"/>
        <v>4.4449665516266279E-3</v>
      </c>
      <c r="R57" s="37">
        <f t="shared" si="41"/>
        <v>6.0790218284707542E-3</v>
      </c>
      <c r="S57" s="37">
        <f t="shared" si="42"/>
        <v>2.3245915429732422E-2</v>
      </c>
      <c r="T57" s="37">
        <f t="shared" si="43"/>
        <v>1.2764522849498583E-2</v>
      </c>
      <c r="U57" s="37">
        <f t="shared" si="44"/>
        <v>2.179508100404437E-2</v>
      </c>
      <c r="V57" s="37">
        <f t="shared" si="45"/>
        <v>9.0607355409733081E-4</v>
      </c>
      <c r="W57" s="37">
        <f t="shared" si="46"/>
        <v>-1.2767151754736861E-2</v>
      </c>
      <c r="X57" s="37">
        <f t="shared" si="47"/>
        <v>8.768811763060258E-2</v>
      </c>
      <c r="Y57" s="24">
        <v>33</v>
      </c>
      <c r="Z57" s="28">
        <f t="shared" si="50"/>
        <v>42551</v>
      </c>
      <c r="AA57" s="21">
        <f t="array" ref="AA57">PRODUCT(1+O46:O57)-1</f>
        <v>1.471684810701257E-3</v>
      </c>
      <c r="AB57" s="21">
        <f t="array" ref="AB57">PRODUCT(1+P46:P57)-1</f>
        <v>1.3068694084194199E-2</v>
      </c>
      <c r="AC57" s="21">
        <f t="array" ref="AC57">PRODUCT(1+Q46:Q57)-1</f>
        <v>1.2700246962584316E-2</v>
      </c>
      <c r="AD57" s="21">
        <f t="array" ref="AD57">PRODUCT(1+R46:R57)-1</f>
        <v>2.3182800577489671E-2</v>
      </c>
      <c r="AE57" s="21">
        <f t="array" ref="AE57">PRODUCT(1+S46:S57)-1</f>
        <v>6.6705248607740186E-2</v>
      </c>
      <c r="AF57" s="21">
        <f t="array" ref="AF57">PRODUCT(1+T46:T57)-1</f>
        <v>3.918196167352761E-2</v>
      </c>
      <c r="AG57" s="21">
        <f t="array" ref="AG57">PRODUCT(1+U46:U57)-1</f>
        <v>7.3759310541844592E-2</v>
      </c>
      <c r="AH57" s="21">
        <f t="array" ref="AH57">PRODUCT(1+V46:V57)-1</f>
        <v>1.73282083844295E-2</v>
      </c>
      <c r="AI57" s="21">
        <f t="array" ref="AI57">PRODUCT(1+W46:W57)-1</f>
        <v>-4.7464580176421522E-2</v>
      </c>
      <c r="AJ57" s="21">
        <f t="array" ref="AJ57">PRODUCT(1+X46:X57)-1</f>
        <v>0.12756429393952362</v>
      </c>
    </row>
    <row r="58" spans="1:36">
      <c r="A58" s="50">
        <v>45</v>
      </c>
      <c r="B58" s="47">
        <v>42580</v>
      </c>
      <c r="C58" s="51">
        <v>0.25359999999999999</v>
      </c>
      <c r="D58" s="52">
        <v>1167.9280000000001</v>
      </c>
      <c r="E58" s="52">
        <v>1265.0650000000001</v>
      </c>
      <c r="F58" s="52">
        <v>1663.5530000000001</v>
      </c>
      <c r="G58" s="52">
        <v>1634.443</v>
      </c>
      <c r="H58" s="52">
        <v>1508.99</v>
      </c>
      <c r="I58" s="52">
        <v>2814.136</v>
      </c>
      <c r="J58" s="52">
        <v>2173.6</v>
      </c>
      <c r="K58" s="52">
        <v>1721.79</v>
      </c>
      <c r="L58" s="52">
        <v>1351.28</v>
      </c>
      <c r="M58" s="53"/>
      <c r="N58" s="54">
        <f t="shared" si="51"/>
        <v>42580</v>
      </c>
      <c r="O58" s="37">
        <f t="shared" si="19"/>
        <v>2.1558333333333333E-4</v>
      </c>
      <c r="P58" s="37">
        <f t="shared" si="39"/>
        <v>-5.7077088298329581E-4</v>
      </c>
      <c r="Q58" s="37">
        <f t="shared" si="40"/>
        <v>-3.0581958067155135E-4</v>
      </c>
      <c r="R58" s="37">
        <f t="shared" si="41"/>
        <v>2.2605119529390816E-3</v>
      </c>
      <c r="S58" s="37">
        <f t="shared" si="42"/>
        <v>4.2456896419305057E-3</v>
      </c>
      <c r="T58" s="37">
        <f t="shared" si="43"/>
        <v>2.623848785514804E-3</v>
      </c>
      <c r="U58" s="37">
        <f t="shared" si="44"/>
        <v>1.4501917690883159E-2</v>
      </c>
      <c r="V58" s="37">
        <f t="shared" si="45"/>
        <v>3.5609807228685897E-2</v>
      </c>
      <c r="W58" s="37">
        <f t="shared" si="46"/>
        <v>4.1470333831348238E-2</v>
      </c>
      <c r="X58" s="37">
        <f t="shared" si="47"/>
        <v>2.2225584386110775E-2</v>
      </c>
      <c r="Y58" s="24">
        <v>34</v>
      </c>
      <c r="Z58" s="28">
        <f t="shared" si="50"/>
        <v>42580</v>
      </c>
      <c r="AA58" s="21">
        <f t="array" ref="AA58">PRODUCT(1+O47:O58)-1</f>
        <v>1.6833282606065758E-3</v>
      </c>
      <c r="AB58" s="21">
        <f t="array" ref="AB58">PRODUCT(1+P47:P58)-1</f>
        <v>1.1964093855058477E-2</v>
      </c>
      <c r="AC58" s="21">
        <f t="array" ref="AC58">PRODUCT(1+Q47:Q58)-1</f>
        <v>1.1661903170137933E-2</v>
      </c>
      <c r="AD58" s="21">
        <f t="array" ref="AD58">PRODUCT(1+R47:R58)-1</f>
        <v>2.4868992216542152E-2</v>
      </c>
      <c r="AE58" s="21">
        <f t="array" ref="AE58">PRODUCT(1+S47:S58)-1</f>
        <v>6.1265290512431125E-2</v>
      </c>
      <c r="AF58" s="21">
        <f t="array" ref="AF58">PRODUCT(1+T47:T58)-1</f>
        <v>3.7539372095437784E-2</v>
      </c>
      <c r="AG58" s="21">
        <f t="array" ref="AG58">PRODUCT(1+U47:U58)-1</f>
        <v>8.3491832237060581E-2</v>
      </c>
      <c r="AH58" s="21">
        <f t="array" ref="AH58">PRODUCT(1+V47:V58)-1</f>
        <v>3.3158415088599735E-2</v>
      </c>
      <c r="AI58" s="21">
        <f t="array" ref="AI58">PRODUCT(1+W47:W58)-1</f>
        <v>-2.4813094698685756E-2</v>
      </c>
      <c r="AJ58" s="21">
        <f t="array" ref="AJ58">PRODUCT(1+X47:X58)-1</f>
        <v>0.23314473444059103</v>
      </c>
    </row>
    <row r="59" spans="1:36">
      <c r="A59" s="50">
        <v>46</v>
      </c>
      <c r="B59" s="47">
        <v>42613</v>
      </c>
      <c r="C59" s="51">
        <v>0.32979999999999998</v>
      </c>
      <c r="D59" s="52">
        <v>1165.989</v>
      </c>
      <c r="E59" s="52">
        <v>1263.951</v>
      </c>
      <c r="F59" s="52">
        <v>1664.085</v>
      </c>
      <c r="G59" s="52">
        <v>1625.0830000000001</v>
      </c>
      <c r="H59" s="52">
        <v>1506.011</v>
      </c>
      <c r="I59" s="52">
        <v>2821.8510000000001</v>
      </c>
      <c r="J59" s="52">
        <v>2170.9499999999998</v>
      </c>
      <c r="K59" s="52">
        <v>1719.52</v>
      </c>
      <c r="L59" s="52">
        <v>1308.97</v>
      </c>
      <c r="M59" s="53"/>
      <c r="N59" s="54">
        <f t="shared" si="51"/>
        <v>42613</v>
      </c>
      <c r="O59" s="37">
        <f t="shared" si="19"/>
        <v>2.1133333333333334E-4</v>
      </c>
      <c r="P59" s="37">
        <f t="shared" si="39"/>
        <v>-1.6602050811351798E-3</v>
      </c>
      <c r="Q59" s="37">
        <f t="shared" si="40"/>
        <v>-8.8058716350547517E-4</v>
      </c>
      <c r="R59" s="37">
        <f t="shared" si="41"/>
        <v>3.1979744558774392E-4</v>
      </c>
      <c r="S59" s="37">
        <f t="shared" si="42"/>
        <v>-5.7267215803793459E-3</v>
      </c>
      <c r="T59" s="37">
        <f t="shared" si="43"/>
        <v>-1.9741681522077448E-3</v>
      </c>
      <c r="U59" s="37">
        <f t="shared" si="44"/>
        <v>2.7415164014816806E-3</v>
      </c>
      <c r="V59" s="37">
        <f t="shared" si="45"/>
        <v>-1.2191755612808164E-3</v>
      </c>
      <c r="W59" s="37">
        <f t="shared" si="46"/>
        <v>-1.3183953908432189E-3</v>
      </c>
      <c r="X59" s="37">
        <f t="shared" si="47"/>
        <v>-3.1311053223610164E-2</v>
      </c>
      <c r="Y59" s="24">
        <v>35</v>
      </c>
      <c r="Z59" s="28">
        <f t="shared" si="50"/>
        <v>42613</v>
      </c>
      <c r="AA59" s="21">
        <f t="array" ref="AA59">PRODUCT(1+O48:O59)-1</f>
        <v>1.8440902627239186E-3</v>
      </c>
      <c r="AB59" s="21">
        <f t="array" ref="AB59">PRODUCT(1+P48:P59)-1</f>
        <v>1.0713140261608967E-2</v>
      </c>
      <c r="AC59" s="21">
        <f t="array" ref="AC59">PRODUCT(1+Q48:Q59)-1</f>
        <v>1.0719317801984207E-2</v>
      </c>
      <c r="AD59" s="21">
        <f t="array" ref="AD59">PRODUCT(1+R48:R59)-1</f>
        <v>2.6825051276925027E-2</v>
      </c>
      <c r="AE59" s="21">
        <f t="array" ref="AE59">PRODUCT(1+S48:S59)-1</f>
        <v>5.4586503150294341E-2</v>
      </c>
      <c r="AF59" s="21">
        <f t="array" ref="AF59">PRODUCT(1+T48:T59)-1</f>
        <v>3.5276834853240402E-2</v>
      </c>
      <c r="AG59" s="21">
        <f t="array" ref="AG59">PRODUCT(1+U48:U59)-1</f>
        <v>9.3800899119254266E-2</v>
      </c>
      <c r="AH59" s="21">
        <f t="array" ref="AH59">PRODUCT(1+V48:V59)-1</f>
        <v>0.1007869464247686</v>
      </c>
      <c r="AI59" s="21">
        <f t="array" ref="AI59">PRODUCT(1+W48:W59)-1</f>
        <v>4.5027743507775941E-2</v>
      </c>
      <c r="AJ59" s="21">
        <f t="array" ref="AJ59">PRODUCT(1+X48:X59)-1</f>
        <v>0.1533486646753548</v>
      </c>
    </row>
    <row r="60" spans="1:36">
      <c r="A60" s="50">
        <v>47</v>
      </c>
      <c r="B60" s="47">
        <v>42643</v>
      </c>
      <c r="C60" s="51">
        <v>0.27389999999999998</v>
      </c>
      <c r="D60" s="52">
        <v>1167.3440000000001</v>
      </c>
      <c r="E60" s="52">
        <v>1265.866</v>
      </c>
      <c r="F60" s="52">
        <v>1665.3679999999999</v>
      </c>
      <c r="G60" s="52">
        <v>1622.095</v>
      </c>
      <c r="H60" s="52">
        <v>1507.0640000000001</v>
      </c>
      <c r="I60" s="52">
        <v>2813.7240000000002</v>
      </c>
      <c r="J60" s="52">
        <v>2168.27</v>
      </c>
      <c r="K60" s="52">
        <v>1725.67</v>
      </c>
      <c r="L60" s="52">
        <v>1315.87</v>
      </c>
      <c r="M60" s="53"/>
      <c r="N60" s="54">
        <f t="shared" si="51"/>
        <v>42643</v>
      </c>
      <c r="O60" s="37">
        <f t="shared" si="19"/>
        <v>2.7483333333333331E-4</v>
      </c>
      <c r="P60" s="37">
        <f t="shared" si="39"/>
        <v>1.1621035875981622E-3</v>
      </c>
      <c r="Q60" s="37">
        <f t="shared" si="40"/>
        <v>1.515090379294648E-3</v>
      </c>
      <c r="R60" s="37">
        <f t="shared" si="41"/>
        <v>7.7099427012439214E-4</v>
      </c>
      <c r="S60" s="37">
        <f t="shared" si="42"/>
        <v>-1.8386753168915249E-3</v>
      </c>
      <c r="T60" s="37">
        <f t="shared" si="43"/>
        <v>6.9919808022667063E-4</v>
      </c>
      <c r="U60" s="37">
        <f t="shared" si="44"/>
        <v>-2.8800244945604847E-3</v>
      </c>
      <c r="V60" s="37">
        <f t="shared" si="45"/>
        <v>-1.2344825997834263E-3</v>
      </c>
      <c r="W60" s="37">
        <f t="shared" si="46"/>
        <v>3.5765795105611176E-3</v>
      </c>
      <c r="X60" s="37">
        <f t="shared" si="47"/>
        <v>5.2713201983236591E-3</v>
      </c>
      <c r="Y60" s="24">
        <v>36</v>
      </c>
      <c r="Z60" s="28">
        <f t="shared" si="50"/>
        <v>42643</v>
      </c>
      <c r="AA60" s="21">
        <f t="array" ref="AA60">PRODUCT(1+O49:O60)-1</f>
        <v>2.1194304135310205E-3</v>
      </c>
      <c r="AB60" s="21">
        <f t="array" ref="AB60">PRODUCT(1+P49:P60)-1</f>
        <v>8.8357300884955858E-3</v>
      </c>
      <c r="AC60" s="21">
        <f t="array" ref="AC60">PRODUCT(1+Q49:Q60)-1</f>
        <v>9.3659298950656833E-3</v>
      </c>
      <c r="AD60" s="21">
        <f t="array" ref="AD60">PRODUCT(1+R49:R60)-1</f>
        <v>2.4780044034267368E-2</v>
      </c>
      <c r="AE60" s="21">
        <f t="array" ref="AE60">PRODUCT(1+S49:S60)-1</f>
        <v>4.3283436176274614E-2</v>
      </c>
      <c r="AF60" s="21">
        <f t="array" ref="AF60">PRODUCT(1+T49:T60)-1</f>
        <v>2.9785995368551532E-2</v>
      </c>
      <c r="AG60" s="21">
        <f t="array" ref="AG60">PRODUCT(1+U49:U60)-1</f>
        <v>8.4964442142857033E-2</v>
      </c>
      <c r="AH60" s="21">
        <f t="array" ref="AH60">PRODUCT(1+V49:V60)-1</f>
        <v>0.12928964651593988</v>
      </c>
      <c r="AI60" s="21">
        <f t="array" ref="AI60">PRODUCT(1+W49:W60)-1</f>
        <v>9.0870587640335954E-2</v>
      </c>
      <c r="AJ60" s="21">
        <f t="array" ref="AJ60">PRODUCT(1+X49:X60)-1</f>
        <v>0.1800572151126818</v>
      </c>
    </row>
    <row r="61" spans="1:36">
      <c r="A61" s="50">
        <v>48</v>
      </c>
      <c r="B61" s="47">
        <v>42674</v>
      </c>
      <c r="C61" s="51">
        <v>0.29930000000000001</v>
      </c>
      <c r="D61" s="52">
        <v>1166.5630000000001</v>
      </c>
      <c r="E61" s="52">
        <v>1265.7539999999999</v>
      </c>
      <c r="F61" s="52">
        <v>1666.1579999999999</v>
      </c>
      <c r="G61" s="52">
        <v>1603.42</v>
      </c>
      <c r="H61" s="52">
        <v>1500.248</v>
      </c>
      <c r="I61" s="52">
        <v>2790.4340000000002</v>
      </c>
      <c r="J61" s="52">
        <v>2126.15</v>
      </c>
      <c r="K61" s="52">
        <v>1690.92</v>
      </c>
      <c r="L61" s="52">
        <v>1277.21</v>
      </c>
      <c r="M61" s="53"/>
      <c r="N61" s="54">
        <f t="shared" si="51"/>
        <v>42674</v>
      </c>
      <c r="O61" s="37">
        <f t="shared" si="19"/>
        <v>2.2824999999999999E-4</v>
      </c>
      <c r="P61" s="37">
        <f t="shared" si="39"/>
        <v>-6.6904014583524241E-4</v>
      </c>
      <c r="Q61" s="37">
        <f t="shared" si="40"/>
        <v>-8.8476979395957223E-5</v>
      </c>
      <c r="R61" s="37">
        <f t="shared" si="41"/>
        <v>4.7436962881475253E-4</v>
      </c>
      <c r="S61" s="37">
        <f t="shared" si="42"/>
        <v>-1.151288919576221E-2</v>
      </c>
      <c r="T61" s="37">
        <f t="shared" si="43"/>
        <v>-4.5227010929861367E-3</v>
      </c>
      <c r="U61" s="37">
        <f t="shared" si="44"/>
        <v>-8.2772866137545975E-3</v>
      </c>
      <c r="V61" s="37">
        <f t="shared" si="45"/>
        <v>-1.9425625037472249E-2</v>
      </c>
      <c r="W61" s="37">
        <f t="shared" si="46"/>
        <v>-2.0137106167459562E-2</v>
      </c>
      <c r="X61" s="37">
        <f t="shared" si="47"/>
        <v>-2.9379801956120222E-2</v>
      </c>
      <c r="Y61" s="24">
        <v>37</v>
      </c>
      <c r="Z61" s="28">
        <f t="shared" si="50"/>
        <v>42674</v>
      </c>
      <c r="AA61" s="21">
        <f t="array" ref="AA61">PRODUCT(1+O50:O61)-1</f>
        <v>2.365120850150948E-3</v>
      </c>
      <c r="AB61" s="21">
        <f t="array" ref="AB61">PRODUCT(1+P50:P61)-1</f>
        <v>9.1471458638447967E-3</v>
      </c>
      <c r="AC61" s="21">
        <f t="array" ref="AC61">PRODUCT(1+Q50:Q61)-1</f>
        <v>9.7742165548997395E-3</v>
      </c>
      <c r="AD61" s="21">
        <f t="array" ref="AD61">PRODUCT(1+R50:R61)-1</f>
        <v>2.3280808671390485E-2</v>
      </c>
      <c r="AE61" s="21">
        <f t="array" ref="AE61">PRODUCT(1+S50:S61)-1</f>
        <v>3.4961965589912491E-2</v>
      </c>
      <c r="AF61" s="21">
        <f t="array" ref="AF61">PRODUCT(1+T50:T61)-1</f>
        <v>2.6511082434372168E-2</v>
      </c>
      <c r="AG61" s="21">
        <f t="array" ref="AG61">PRODUCT(1+U50:U61)-1</f>
        <v>7.0247154122303757E-2</v>
      </c>
      <c r="AH61" s="21">
        <f t="array" ref="AH61">PRODUCT(1+V50:V61)-1</f>
        <v>2.2502116035703512E-2</v>
      </c>
      <c r="AI61" s="21">
        <f t="array" ref="AI61">PRODUCT(1+W50:W61)-1</f>
        <v>-8.72317973971104E-3</v>
      </c>
      <c r="AJ61" s="21">
        <f t="array" ref="AJ61">PRODUCT(1+X50:X61)-1</f>
        <v>0.1182898319776553</v>
      </c>
    </row>
    <row r="62" spans="1:36">
      <c r="A62" s="50">
        <v>49</v>
      </c>
      <c r="B62" s="47">
        <v>42704</v>
      </c>
      <c r="C62" s="51">
        <v>0.47710000000000002</v>
      </c>
      <c r="D62" s="52">
        <v>1161.934</v>
      </c>
      <c r="E62" s="52">
        <v>1260.7349999999999</v>
      </c>
      <c r="F62" s="52">
        <v>1659.1020000000001</v>
      </c>
      <c r="G62" s="52">
        <v>1559.6320000000001</v>
      </c>
      <c r="H62" s="52">
        <v>1477.88</v>
      </c>
      <c r="I62" s="52">
        <v>2715.674</v>
      </c>
      <c r="J62" s="52">
        <v>2198.81</v>
      </c>
      <c r="K62" s="52">
        <v>1712.09</v>
      </c>
      <c r="L62" s="52">
        <v>1173.2</v>
      </c>
      <c r="M62" s="53"/>
      <c r="N62" s="54">
        <f t="shared" si="51"/>
        <v>42704</v>
      </c>
      <c r="O62" s="37">
        <f t="shared" si="19"/>
        <v>2.4941666666666667E-4</v>
      </c>
      <c r="P62" s="37">
        <f t="shared" si="39"/>
        <v>-3.9680668767997362E-3</v>
      </c>
      <c r="Q62" s="37">
        <f t="shared" si="40"/>
        <v>-3.9652254703520518E-3</v>
      </c>
      <c r="R62" s="37">
        <f t="shared" si="41"/>
        <v>-4.234892489187625E-3</v>
      </c>
      <c r="S62" s="37">
        <f t="shared" si="42"/>
        <v>-2.7309126741589806E-2</v>
      </c>
      <c r="T62" s="37">
        <f t="shared" si="43"/>
        <v>-1.4909534956887072E-2</v>
      </c>
      <c r="U62" s="37">
        <f t="shared" si="44"/>
        <v>-2.6791531353187459E-2</v>
      </c>
      <c r="V62" s="37">
        <f t="shared" si="45"/>
        <v>3.4174446769983158E-2</v>
      </c>
      <c r="W62" s="37">
        <f t="shared" si="46"/>
        <v>1.2519811700139494E-2</v>
      </c>
      <c r="X62" s="37">
        <f t="shared" si="47"/>
        <v>-8.143531604043186E-2</v>
      </c>
      <c r="Y62" s="24">
        <v>38</v>
      </c>
      <c r="Z62" s="28">
        <f t="shared" si="50"/>
        <v>42704</v>
      </c>
      <c r="AA62" s="21">
        <f t="array" ref="AA62">PRODUCT(1+O51:O62)-1</f>
        <v>2.5556424492576557E-3</v>
      </c>
      <c r="AB62" s="21">
        <f t="array" ref="AB62">PRODUCT(1+P51:P62)-1</f>
        <v>7.6165220339747819E-3</v>
      </c>
      <c r="AC62" s="21">
        <f t="array" ref="AC62">PRODUCT(1+Q51:Q62)-1</f>
        <v>7.724581578503642E-3</v>
      </c>
      <c r="AD62" s="21">
        <f t="array" ref="AD62">PRODUCT(1+R51:R62)-1</f>
        <v>1.9671881280368453E-2</v>
      </c>
      <c r="AE62" s="21">
        <f t="array" ref="AE62">PRODUCT(1+S51:S62)-1</f>
        <v>1.0969664402035617E-2</v>
      </c>
      <c r="AF62" s="21">
        <f t="array" ref="AF62">PRODUCT(1+T51:T62)-1</f>
        <v>1.3935541943840724E-2</v>
      </c>
      <c r="AG62" s="21">
        <f t="array" ref="AG62">PRODUCT(1+U51:U62)-1</f>
        <v>4.3910228319348654E-2</v>
      </c>
      <c r="AH62" s="21">
        <f t="array" ref="AH62">PRODUCT(1+V51:V62)-1</f>
        <v>5.691185872015625E-2</v>
      </c>
      <c r="AI62" s="21">
        <f t="array" ref="AI62">PRODUCT(1+W51:W62)-1</f>
        <v>1.0440273843248526E-2</v>
      </c>
      <c r="AJ62" s="21">
        <f t="array" ref="AJ62">PRODUCT(1+X51:X62)-1</f>
        <v>0.10183419893498136</v>
      </c>
    </row>
    <row r="63" spans="1:36">
      <c r="A63" s="50">
        <v>50</v>
      </c>
      <c r="B63" s="47">
        <v>42734</v>
      </c>
      <c r="C63" s="51">
        <v>0.49740000000000001</v>
      </c>
      <c r="D63" s="52">
        <v>1162.279</v>
      </c>
      <c r="E63" s="52">
        <v>1261.5440000000001</v>
      </c>
      <c r="F63" s="52">
        <v>1661.82</v>
      </c>
      <c r="G63" s="52">
        <v>1557.8440000000001</v>
      </c>
      <c r="H63" s="52">
        <v>1475.7570000000001</v>
      </c>
      <c r="I63" s="52">
        <v>2732.6640000000002</v>
      </c>
      <c r="J63" s="52">
        <v>2238.83</v>
      </c>
      <c r="K63" s="52">
        <v>1751.22</v>
      </c>
      <c r="L63" s="52">
        <v>1147.5</v>
      </c>
      <c r="M63" s="53"/>
      <c r="N63" s="54">
        <f t="shared" si="51"/>
        <v>42734</v>
      </c>
      <c r="O63" s="37">
        <f t="shared" si="19"/>
        <v>3.9758333333333334E-4</v>
      </c>
      <c r="P63" s="37">
        <f t="shared" si="39"/>
        <v>2.9691875786408417E-4</v>
      </c>
      <c r="Q63" s="37">
        <f t="shared" si="40"/>
        <v>6.4168917337914522E-4</v>
      </c>
      <c r="R63" s="37">
        <f t="shared" si="41"/>
        <v>1.638235623849349E-3</v>
      </c>
      <c r="S63" s="37">
        <f t="shared" si="42"/>
        <v>-1.1464242847030182E-3</v>
      </c>
      <c r="T63" s="37">
        <f t="shared" si="43"/>
        <v>-1.4365171732482196E-3</v>
      </c>
      <c r="U63" s="37">
        <f t="shared" si="44"/>
        <v>6.2562737648186317E-3</v>
      </c>
      <c r="V63" s="37">
        <f t="shared" si="45"/>
        <v>1.8200754044233047E-2</v>
      </c>
      <c r="W63" s="37">
        <f t="shared" si="46"/>
        <v>2.2855106916108481E-2</v>
      </c>
      <c r="X63" s="37">
        <f t="shared" si="47"/>
        <v>-2.1905898397545198E-2</v>
      </c>
      <c r="Y63" s="24">
        <v>39</v>
      </c>
      <c r="Z63" s="28">
        <f t="shared" si="50"/>
        <v>42734</v>
      </c>
      <c r="AA63" s="21">
        <f t="array" ref="AA63">PRODUCT(1+O52:O63)-1</f>
        <v>2.8140150369986294E-3</v>
      </c>
      <c r="AB63" s="21">
        <f t="array" ref="AB63">PRODUCT(1+P52:P63)-1</f>
        <v>8.8605650172604022E-3</v>
      </c>
      <c r="AC63" s="21">
        <f t="array" ref="AC63">PRODUCT(1+Q52:Q63)-1</f>
        <v>9.6422877704294141E-3</v>
      </c>
      <c r="AD63" s="21">
        <f t="array" ref="AD63">PRODUCT(1+R52:R63)-1</f>
        <v>2.3897850505811835E-2</v>
      </c>
      <c r="AE63" s="21">
        <f t="array" ref="AE63">PRODUCT(1+S52:S63)-1</f>
        <v>1.1397211821937425E-2</v>
      </c>
      <c r="AF63" s="21">
        <f t="array" ref="AF63">PRODUCT(1+T52:T63)-1</f>
        <v>1.4995660110292519E-2</v>
      </c>
      <c r="AG63" s="21">
        <f t="array" ref="AG63">PRODUCT(1+U52:U63)-1</f>
        <v>5.9629623023274458E-2</v>
      </c>
      <c r="AH63" s="21">
        <f t="array" ref="AH63">PRODUCT(1+V52:V63)-1</f>
        <v>9.5350157049619799E-2</v>
      </c>
      <c r="AI63" s="21">
        <f t="array" ref="AI63">PRODUCT(1+W52:W63)-1</f>
        <v>5.3181700635678952E-2</v>
      </c>
      <c r="AJ63" s="21">
        <f t="array" ref="AJ63">PRODUCT(1+X52:X63)-1</f>
        <v>8.1424936386768287E-2</v>
      </c>
    </row>
    <row r="64" spans="1:36">
      <c r="A64" s="50">
        <v>51</v>
      </c>
      <c r="B64" s="47">
        <v>42766</v>
      </c>
      <c r="C64" s="51">
        <v>0.51270000000000004</v>
      </c>
      <c r="D64" s="52">
        <v>1163.7429999999999</v>
      </c>
      <c r="E64" s="52">
        <v>1263.4269999999999</v>
      </c>
      <c r="F64" s="52">
        <v>1666.5920000000001</v>
      </c>
      <c r="G64" s="52">
        <v>1561.3620000000001</v>
      </c>
      <c r="H64" s="52">
        <v>1479.7760000000001</v>
      </c>
      <c r="I64" s="52">
        <v>2743.8710000000001</v>
      </c>
      <c r="J64" s="52">
        <v>2278.87</v>
      </c>
      <c r="K64" s="52">
        <v>1792.4</v>
      </c>
      <c r="L64" s="52">
        <v>1210.72</v>
      </c>
      <c r="M64" s="53"/>
      <c r="N64" s="54">
        <f t="shared" si="51"/>
        <v>42766</v>
      </c>
      <c r="O64" s="37">
        <f t="shared" si="19"/>
        <v>4.1449999999999999E-4</v>
      </c>
      <c r="P64" s="37">
        <f t="shared" si="39"/>
        <v>1.2595942970663465E-3</v>
      </c>
      <c r="Q64" s="37">
        <f t="shared" si="40"/>
        <v>1.4926153982737222E-3</v>
      </c>
      <c r="R64" s="37">
        <f t="shared" si="41"/>
        <v>2.8715504687633064E-3</v>
      </c>
      <c r="S64" s="37">
        <f t="shared" si="42"/>
        <v>2.2582492213598648E-3</v>
      </c>
      <c r="T64" s="37">
        <f t="shared" si="43"/>
        <v>2.7233480850845648E-3</v>
      </c>
      <c r="U64" s="37">
        <f t="shared" si="44"/>
        <v>4.1011262270076454E-3</v>
      </c>
      <c r="V64" s="37">
        <f t="shared" si="45"/>
        <v>1.7884341374735824E-2</v>
      </c>
      <c r="W64" s="37">
        <f t="shared" si="46"/>
        <v>2.3515035232580805E-2</v>
      </c>
      <c r="X64" s="37">
        <f t="shared" si="47"/>
        <v>5.5093681917211423E-2</v>
      </c>
      <c r="Y64" s="24">
        <v>40</v>
      </c>
      <c r="Z64" s="28">
        <f t="shared" si="50"/>
        <v>42766</v>
      </c>
      <c r="AA64" s="21">
        <f t="array" ref="AA64">PRODUCT(1+O53:O64)-1</f>
        <v>3.0936786616331258E-3</v>
      </c>
      <c r="AB64" s="21">
        <f t="array" ref="AB64">PRODUCT(1+P53:P64)-1</f>
        <v>4.0143560896914732E-3</v>
      </c>
      <c r="AC64" s="21">
        <f t="array" ref="AC64">PRODUCT(1+Q53:Q64)-1</f>
        <v>5.2129288910989224E-3</v>
      </c>
      <c r="AD64" s="21">
        <f t="array" ref="AD64">PRODUCT(1+R53:R64)-1</f>
        <v>2.4075663738293507E-2</v>
      </c>
      <c r="AE64" s="21">
        <f t="array" ref="AE64">PRODUCT(1+S53:S64)-1</f>
        <v>-8.1382414766353328E-3</v>
      </c>
      <c r="AF64" s="21">
        <f t="array" ref="AF64">PRODUCT(1+T53:T64)-1</f>
        <v>3.3774185564778847E-3</v>
      </c>
      <c r="AG64" s="21">
        <f t="array" ref="AG64">PRODUCT(1+U53:U64)-1</f>
        <v>5.9327851131186549E-2</v>
      </c>
      <c r="AH64" s="21">
        <f t="array" ref="AH64">PRODUCT(1+V53:V64)-1</f>
        <v>0.174529955057106</v>
      </c>
      <c r="AI64" s="21">
        <f t="array" ref="AI64">PRODUCT(1+W53:W64)-1</f>
        <v>0.14737098157702744</v>
      </c>
      <c r="AJ64" s="21">
        <f t="array" ref="AJ64">PRODUCT(1+X53:X64)-1</f>
        <v>8.2730435249192658E-2</v>
      </c>
    </row>
    <row r="65" spans="1:36">
      <c r="A65" s="50">
        <v>52</v>
      </c>
      <c r="B65" s="47">
        <v>42794</v>
      </c>
      <c r="C65" s="51">
        <v>0.60419999999999996</v>
      </c>
      <c r="D65" s="52">
        <v>1164.93</v>
      </c>
      <c r="E65" s="52">
        <v>1264.8499999999999</v>
      </c>
      <c r="F65" s="52">
        <v>1672.1980000000001</v>
      </c>
      <c r="G65" s="52">
        <v>1569.4359999999999</v>
      </c>
      <c r="H65" s="52">
        <v>1485.597</v>
      </c>
      <c r="I65" s="52">
        <v>2774.9059999999999</v>
      </c>
      <c r="J65" s="52">
        <v>2363.64</v>
      </c>
      <c r="K65" s="52">
        <v>1838.7</v>
      </c>
      <c r="L65" s="52">
        <v>1248.44</v>
      </c>
      <c r="M65" s="53"/>
      <c r="N65" s="54">
        <f t="shared" si="51"/>
        <v>42794</v>
      </c>
      <c r="O65" s="37">
        <f t="shared" si="19"/>
        <v>4.2725000000000006E-4</v>
      </c>
      <c r="P65" s="37">
        <f t="shared" si="39"/>
        <v>1.0199846529690415E-3</v>
      </c>
      <c r="Q65" s="37">
        <f t="shared" si="40"/>
        <v>1.1263017174716339E-3</v>
      </c>
      <c r="R65" s="37">
        <f t="shared" si="41"/>
        <v>3.3637506960311203E-3</v>
      </c>
      <c r="S65" s="37">
        <f t="shared" si="42"/>
        <v>5.1711262346592068E-3</v>
      </c>
      <c r="T65" s="37">
        <f t="shared" si="43"/>
        <v>3.9337034794455494E-3</v>
      </c>
      <c r="U65" s="37">
        <f t="shared" si="44"/>
        <v>1.1310662928395665E-2</v>
      </c>
      <c r="V65" s="37">
        <f t="shared" si="45"/>
        <v>3.7198260541408734E-2</v>
      </c>
      <c r="W65" s="37">
        <f t="shared" si="46"/>
        <v>2.5831287659004554E-2</v>
      </c>
      <c r="X65" s="37">
        <f t="shared" si="47"/>
        <v>3.1155015197568359E-2</v>
      </c>
      <c r="Y65" s="24">
        <v>41</v>
      </c>
      <c r="Z65" s="28">
        <f t="shared" si="50"/>
        <v>42794</v>
      </c>
      <c r="AA65" s="21">
        <f t="array" ref="AA65">PRODUCT(1+O54:O65)-1</f>
        <v>3.2628233907592286E-3</v>
      </c>
      <c r="AB65" s="21">
        <f t="array" ref="AB65">PRODUCT(1+P54:P65)-1</f>
        <v>3.8813332345197793E-3</v>
      </c>
      <c r="AC65" s="21">
        <f t="array" ref="AC65">PRODUCT(1+Q54:Q65)-1</f>
        <v>5.7049714751427061E-3</v>
      </c>
      <c r="AD65" s="21">
        <f t="array" ref="AD65">PRODUCT(1+R54:R65)-1</f>
        <v>2.6534493490995015E-2</v>
      </c>
      <c r="AE65" s="21">
        <f t="array" ref="AE65">PRODUCT(1+S54:S65)-1</f>
        <v>-1.2724701572155772E-2</v>
      </c>
      <c r="AF65" s="21">
        <f t="array" ref="AF65">PRODUCT(1+T54:T65)-1</f>
        <v>2.7769471536294166E-3</v>
      </c>
      <c r="AG65" s="21">
        <f t="array" ref="AG65">PRODUCT(1+U54:U65)-1</f>
        <v>6.3496127209942799E-2</v>
      </c>
      <c r="AH65" s="21">
        <f t="array" ref="AH65">PRODUCT(1+V54:V65)-1</f>
        <v>0.22327052162527172</v>
      </c>
      <c r="AI65" s="21">
        <f t="array" ref="AI65">PRODUCT(1+W54:W65)-1</f>
        <v>0.18842790385025565</v>
      </c>
      <c r="AJ65" s="21">
        <f t="array" ref="AJ65">PRODUCT(1+X54:X65)-1</f>
        <v>7.8874922295686378E-3</v>
      </c>
    </row>
    <row r="66" spans="1:36">
      <c r="A66" s="50">
        <v>53</v>
      </c>
      <c r="B66" s="47">
        <v>42825</v>
      </c>
      <c r="C66" s="51">
        <v>0.75160000000000005</v>
      </c>
      <c r="D66" s="52">
        <v>1165.3040000000001</v>
      </c>
      <c r="E66" s="52">
        <v>1265.386</v>
      </c>
      <c r="F66" s="52">
        <v>1673.5119999999999</v>
      </c>
      <c r="G66" s="52">
        <v>1568.5150000000001</v>
      </c>
      <c r="H66" s="52">
        <v>1486.7180000000001</v>
      </c>
      <c r="I66" s="52">
        <v>2771.491</v>
      </c>
      <c r="J66" s="52">
        <v>2362.7199999999998</v>
      </c>
      <c r="K66" s="52">
        <v>1853.69</v>
      </c>
      <c r="L66" s="52">
        <v>1249.2</v>
      </c>
      <c r="M66" s="53"/>
      <c r="N66" s="54">
        <f t="shared" si="51"/>
        <v>42825</v>
      </c>
      <c r="O66" s="37">
        <f t="shared" si="19"/>
        <v>5.0349999999999993E-4</v>
      </c>
      <c r="P66" s="37">
        <f t="shared" si="39"/>
        <v>3.210493334364628E-4</v>
      </c>
      <c r="Q66" s="37">
        <f t="shared" si="40"/>
        <v>4.2376566391277848E-4</v>
      </c>
      <c r="R66" s="37">
        <f t="shared" si="41"/>
        <v>7.8579211313489772E-4</v>
      </c>
      <c r="S66" s="37">
        <f t="shared" si="42"/>
        <v>-5.8683501589096299E-4</v>
      </c>
      <c r="T66" s="37">
        <f t="shared" si="43"/>
        <v>7.5457879896112523E-4</v>
      </c>
      <c r="U66" s="37">
        <f t="shared" si="44"/>
        <v>-1.2306723182694546E-3</v>
      </c>
      <c r="V66" s="37">
        <f t="shared" si="45"/>
        <v>-3.8923017041514463E-4</v>
      </c>
      <c r="W66" s="37">
        <f t="shared" si="46"/>
        <v>8.152499048240669E-3</v>
      </c>
      <c r="X66" s="37">
        <f t="shared" si="47"/>
        <v>6.087597321458027E-4</v>
      </c>
      <c r="Y66" s="24">
        <v>42</v>
      </c>
      <c r="Z66" s="28">
        <f t="shared" si="50"/>
        <v>42825</v>
      </c>
      <c r="AA66" s="21">
        <f t="array" ref="AA66">PRODUCT(1+O55:O66)-1</f>
        <v>3.5042118653179077E-3</v>
      </c>
      <c r="AB66" s="21">
        <f t="array" ref="AB66">PRODUCT(1+P55:P66)-1</f>
        <v>2.4542969983256668E-3</v>
      </c>
      <c r="AC66" s="21">
        <f t="array" ref="AC66">PRODUCT(1+Q55:Q66)-1</f>
        <v>4.0793655201967205E-3</v>
      </c>
      <c r="AD66" s="21">
        <f t="array" ref="AD66">PRODUCT(1+R55:R66)-1</f>
        <v>1.872405650758191E-2</v>
      </c>
      <c r="AE66" s="21">
        <f t="array" ref="AE66">PRODUCT(1+S55:S66)-1</f>
        <v>-1.4673900069980372E-2</v>
      </c>
      <c r="AF66" s="21">
        <f t="array" ref="AF66">PRODUCT(1+T55:T66)-1</f>
        <v>1.1076896556603266E-3</v>
      </c>
      <c r="AG66" s="21">
        <f t="array" ref="AG66">PRODUCT(1+U55:U66)-1</f>
        <v>3.411952542658736E-2</v>
      </c>
      <c r="AH66" s="21">
        <f t="array" ref="AH66">PRODUCT(1+V55:V66)-1</f>
        <v>0.1470962354471923</v>
      </c>
      <c r="AI66" s="21">
        <f t="array" ref="AI66">PRODUCT(1+W55:W66)-1</f>
        <v>0.12472999538868601</v>
      </c>
      <c r="AJ66" s="21">
        <f t="array" ref="AJ66">PRODUCT(1+X55:X66)-1</f>
        <v>1.3344149259784999E-2</v>
      </c>
    </row>
    <row r="67" spans="1:36">
      <c r="A67" s="50">
        <v>54</v>
      </c>
      <c r="B67" s="47">
        <v>42853</v>
      </c>
      <c r="C67" s="51">
        <v>0.7923</v>
      </c>
      <c r="D67" s="52">
        <v>1166.9190000000001</v>
      </c>
      <c r="E67" s="52">
        <v>1267.0899999999999</v>
      </c>
      <c r="F67" s="52">
        <v>1677.777</v>
      </c>
      <c r="G67" s="52">
        <v>1579.5</v>
      </c>
      <c r="H67" s="52">
        <v>1494.1949999999999</v>
      </c>
      <c r="I67" s="52">
        <v>2799.14</v>
      </c>
      <c r="J67" s="52">
        <v>2384.1999999999998</v>
      </c>
      <c r="K67" s="52">
        <v>1878.28</v>
      </c>
      <c r="L67" s="52">
        <v>1268.28</v>
      </c>
      <c r="M67" s="53"/>
      <c r="N67" s="54">
        <f t="shared" si="51"/>
        <v>42853</v>
      </c>
      <c r="O67" s="37">
        <f t="shared" si="19"/>
        <v>6.2633333333333334E-4</v>
      </c>
      <c r="P67" s="37">
        <f t="shared" si="39"/>
        <v>1.3859044506840945E-3</v>
      </c>
      <c r="Q67" s="37">
        <f t="shared" si="40"/>
        <v>1.3466246663074166E-3</v>
      </c>
      <c r="R67" s="37">
        <f t="shared" si="41"/>
        <v>2.5485326666316865E-3</v>
      </c>
      <c r="S67" s="37">
        <f t="shared" si="42"/>
        <v>7.0034395590732323E-3</v>
      </c>
      <c r="T67" s="37">
        <f t="shared" si="43"/>
        <v>5.0291985433685849E-3</v>
      </c>
      <c r="U67" s="37">
        <f t="shared" si="44"/>
        <v>9.9762185769320944E-3</v>
      </c>
      <c r="V67" s="37">
        <f t="shared" si="45"/>
        <v>9.0912169025529899E-3</v>
      </c>
      <c r="W67" s="37">
        <f t="shared" si="46"/>
        <v>1.3265432731470739E-2</v>
      </c>
      <c r="X67" s="37">
        <f t="shared" si="47"/>
        <v>1.5273775216138263E-2</v>
      </c>
      <c r="Y67" s="24">
        <v>43</v>
      </c>
      <c r="Z67" s="28">
        <f t="shared" si="50"/>
        <v>42853</v>
      </c>
      <c r="AA67" s="21">
        <f t="array" ref="AA67">PRODUCT(1+O56:O67)-1</f>
        <v>3.9668344839511871E-3</v>
      </c>
      <c r="AB67" s="21">
        <f t="array" ref="AB67">PRODUCT(1+P56:P67)-1</f>
        <v>3.4801766660474964E-3</v>
      </c>
      <c r="AC67" s="21">
        <f t="array" ref="AC67">PRODUCT(1+Q56:Q67)-1</f>
        <v>5.1826295835890601E-3</v>
      </c>
      <c r="AD67" s="21">
        <f t="array" ref="AD67">PRODUCT(1+R56:R67)-1</f>
        <v>1.7132287815160296E-2</v>
      </c>
      <c r="AE67" s="21">
        <f t="array" ref="AE67">PRODUCT(1+S56:S67)-1</f>
        <v>-6.5806562794228363E-3</v>
      </c>
      <c r="AF67" s="21">
        <f t="array" ref="AF67">PRODUCT(1+T56:T67)-1</f>
        <v>5.8647591389471287E-3</v>
      </c>
      <c r="AG67" s="21">
        <f t="array" ref="AG67">PRODUCT(1+U56:U67)-1</f>
        <v>3.041960165727664E-2</v>
      </c>
      <c r="AH67" s="21">
        <f t="array" ref="AH67">PRODUCT(1+V56:V67)-1</f>
        <v>0.15440856049968521</v>
      </c>
      <c r="AI67" s="21">
        <f t="array" ref="AI67">PRODUCT(1+W56:W67)-1</f>
        <v>0.12418003351687812</v>
      </c>
      <c r="AJ67" s="21">
        <f t="array" ref="AJ67">PRODUCT(1+X56:X67)-1</f>
        <v>-1.9520227594257311E-2</v>
      </c>
    </row>
    <row r="68" spans="1:36">
      <c r="A68" s="50">
        <v>55</v>
      </c>
      <c r="B68" s="47">
        <v>42886</v>
      </c>
      <c r="C68" s="51">
        <v>0.97060000000000002</v>
      </c>
      <c r="D68" s="52">
        <v>1168.269</v>
      </c>
      <c r="E68" s="52">
        <v>1268.9169999999999</v>
      </c>
      <c r="F68" s="52">
        <v>1682.3610000000001</v>
      </c>
      <c r="G68" s="52">
        <v>1590.085</v>
      </c>
      <c r="H68" s="52">
        <v>1500.7159999999999</v>
      </c>
      <c r="I68" s="52">
        <v>2831.6770000000001</v>
      </c>
      <c r="J68" s="52">
        <v>2411.8000000000002</v>
      </c>
      <c r="K68" s="52">
        <v>1911.74</v>
      </c>
      <c r="L68" s="52">
        <v>1268.92</v>
      </c>
      <c r="M68" s="53"/>
      <c r="N68" s="54">
        <f t="shared" si="51"/>
        <v>42886</v>
      </c>
      <c r="O68" s="37">
        <f t="shared" si="19"/>
        <v>6.6025000000000003E-4</v>
      </c>
      <c r="P68" s="37">
        <f t="shared" si="39"/>
        <v>1.1568926377922839E-3</v>
      </c>
      <c r="Q68" s="37">
        <f t="shared" si="40"/>
        <v>1.4418865273975179E-3</v>
      </c>
      <c r="R68" s="37">
        <f t="shared" si="41"/>
        <v>2.7321866970402287E-3</v>
      </c>
      <c r="S68" s="37">
        <f t="shared" si="42"/>
        <v>6.7014878125990496E-3</v>
      </c>
      <c r="T68" s="37">
        <f t="shared" si="43"/>
        <v>4.3642228758629109E-3</v>
      </c>
      <c r="U68" s="37">
        <f t="shared" si="44"/>
        <v>1.1623927349114549E-2</v>
      </c>
      <c r="V68" s="37">
        <f t="shared" si="45"/>
        <v>1.1576210049492719E-2</v>
      </c>
      <c r="W68" s="37">
        <f t="shared" si="46"/>
        <v>1.7814170411227348E-2</v>
      </c>
      <c r="X68" s="37">
        <f t="shared" si="47"/>
        <v>5.046204308196689E-4</v>
      </c>
      <c r="Y68" s="24">
        <v>44</v>
      </c>
      <c r="Z68" s="28">
        <f t="shared" si="50"/>
        <v>42886</v>
      </c>
      <c r="AA68" s="21">
        <f t="array" ref="AA68">PRODUCT(1+O57:O68)-1</f>
        <v>4.45517949898111E-3</v>
      </c>
      <c r="AB68" s="21">
        <f t="array" ref="AB68">PRODUCT(1+P57:P68)-1</f>
        <v>5.7100503083584719E-3</v>
      </c>
      <c r="AC68" s="21">
        <f t="array" ref="AC68">PRODUCT(1+Q57:Q68)-1</f>
        <v>7.1952896054456872E-3</v>
      </c>
      <c r="AD68" s="21">
        <f t="array" ref="AD68">PRODUCT(1+R57:R68)-1</f>
        <v>1.9753638684618435E-2</v>
      </c>
      <c r="AE68" s="21">
        <f t="array" ref="AE68">PRODUCT(1+S57:S68)-1</f>
        <v>-2.9800843602789673E-4</v>
      </c>
      <c r="AF68" s="21">
        <f t="array" ref="AF68">PRODUCT(1+T57:T68)-1</f>
        <v>9.8541658815993749E-3</v>
      </c>
      <c r="AG68" s="21">
        <f t="array" ref="AG68">PRODUCT(1+U57:U68)-1</f>
        <v>4.3074459036792634E-2</v>
      </c>
      <c r="AH68" s="21">
        <f t="array" ref="AH68">PRODUCT(1+V57:V68)-1</f>
        <v>0.15014115672211203</v>
      </c>
      <c r="AI68" s="21">
        <f t="array" ref="AI68">PRODUCT(1+W57:W68)-1</f>
        <v>0.14160311953230886</v>
      </c>
      <c r="AJ68" s="21">
        <f t="array" ref="AJ68">PRODUCT(1+X57:X68)-1</f>
        <v>4.4095019459735374E-2</v>
      </c>
    </row>
    <row r="69" spans="1:36">
      <c r="A69" s="50">
        <v>56</v>
      </c>
      <c r="B69" s="47">
        <v>42916</v>
      </c>
      <c r="C69" s="51">
        <v>1.0113000000000001</v>
      </c>
      <c r="D69" s="52">
        <v>1167.3320000000001</v>
      </c>
      <c r="E69" s="52">
        <v>1268.6010000000001</v>
      </c>
      <c r="F69" s="52">
        <v>1683.5360000000001</v>
      </c>
      <c r="G69" s="52">
        <v>1587.7</v>
      </c>
      <c r="H69" s="52">
        <v>1499.806</v>
      </c>
      <c r="I69" s="52">
        <v>2838.6260000000002</v>
      </c>
      <c r="J69" s="52">
        <v>2423.41</v>
      </c>
      <c r="K69" s="52">
        <v>1916.43</v>
      </c>
      <c r="L69" s="52">
        <v>1241.6099999999999</v>
      </c>
      <c r="M69" s="53"/>
      <c r="N69" s="54">
        <f t="shared" si="51"/>
        <v>42916</v>
      </c>
      <c r="O69" s="37">
        <f t="shared" si="19"/>
        <v>8.0883333333333339E-4</v>
      </c>
      <c r="P69" s="37">
        <f t="shared" si="39"/>
        <v>-8.0204131069117057E-4</v>
      </c>
      <c r="Q69" s="37">
        <f t="shared" si="40"/>
        <v>-2.4903126051567526E-4</v>
      </c>
      <c r="R69" s="37">
        <f t="shared" si="41"/>
        <v>6.9842322783286725E-4</v>
      </c>
      <c r="S69" s="37">
        <f t="shared" si="42"/>
        <v>-1.4999198156073756E-3</v>
      </c>
      <c r="T69" s="37">
        <f t="shared" si="43"/>
        <v>-6.063772226055919E-4</v>
      </c>
      <c r="U69" s="37">
        <f t="shared" si="44"/>
        <v>2.4540228281686449E-3</v>
      </c>
      <c r="V69" s="37">
        <f t="shared" si="45"/>
        <v>4.8138319927024664E-3</v>
      </c>
      <c r="W69" s="37">
        <f t="shared" si="46"/>
        <v>2.4532624729305397E-3</v>
      </c>
      <c r="X69" s="37">
        <f t="shared" si="47"/>
        <v>-2.152223938467368E-2</v>
      </c>
      <c r="Y69" s="24">
        <v>45</v>
      </c>
      <c r="Z69" s="28">
        <f t="shared" si="50"/>
        <v>42916</v>
      </c>
      <c r="AA69" s="21">
        <f t="array" ref="AA69">PRODUCT(1+O58:O69)-1</f>
        <v>5.0290056935637928E-3</v>
      </c>
      <c r="AB69" s="21">
        <f t="array" ref="AB69">PRODUCT(1+P58:P69)-1</f>
        <v>-1.0807850452889678E-3</v>
      </c>
      <c r="AC69" s="21">
        <f t="array" ref="AC69">PRODUCT(1+Q58:Q69)-1</f>
        <v>2.4884389135269025E-3</v>
      </c>
      <c r="AD69" s="21">
        <f t="array" ref="AD69">PRODUCT(1+R58:R69)-1</f>
        <v>1.4299907037048198E-2</v>
      </c>
      <c r="AE69" s="21">
        <f t="array" ref="AE69">PRODUCT(1+S58:S69)-1</f>
        <v>-2.447446534110187E-2</v>
      </c>
      <c r="AF69" s="21">
        <f t="array" ref="AF69">PRODUCT(1+T58:T69)-1</f>
        <v>-3.4783105576519091E-3</v>
      </c>
      <c r="AG69" s="21">
        <f t="array" ref="AG69">PRODUCT(1+U58:U69)-1</f>
        <v>2.3330613945879097E-2</v>
      </c>
      <c r="AH69" s="21">
        <f t="array" ref="AH69">PRODUCT(1+V58:V69)-1</f>
        <v>0.1546315618955052</v>
      </c>
      <c r="AI69" s="21">
        <f t="array" ref="AI69">PRODUCT(1+W58:W69)-1</f>
        <v>0.15920349860576</v>
      </c>
      <c r="AJ69" s="21">
        <f t="array" ref="AJ69">PRODUCT(1+X58:X69)-1</f>
        <v>-6.0738331189954087E-2</v>
      </c>
    </row>
    <row r="70" spans="1:36">
      <c r="A70" s="50">
        <v>57</v>
      </c>
      <c r="B70" s="47">
        <v>42947</v>
      </c>
      <c r="C70" s="51">
        <v>1.0724</v>
      </c>
      <c r="D70" s="52">
        <v>1169.818</v>
      </c>
      <c r="E70" s="52">
        <v>1271.289</v>
      </c>
      <c r="F70" s="52">
        <v>1690.2260000000001</v>
      </c>
      <c r="G70" s="52">
        <v>1590.114</v>
      </c>
      <c r="H70" s="52">
        <v>1503.9970000000001</v>
      </c>
      <c r="I70" s="52">
        <v>2859.8389999999999</v>
      </c>
      <c r="J70" s="52">
        <v>2470.3000000000002</v>
      </c>
      <c r="K70" s="52">
        <v>1961.1</v>
      </c>
      <c r="L70" s="52">
        <v>1269.44</v>
      </c>
      <c r="M70" s="53"/>
      <c r="N70" s="54">
        <f t="shared" si="51"/>
        <v>42947</v>
      </c>
      <c r="O70" s="37">
        <f t="shared" si="19"/>
        <v>8.4275000000000007E-4</v>
      </c>
      <c r="P70" s="37">
        <f t="shared" si="39"/>
        <v>2.1296426380839062E-3</v>
      </c>
      <c r="Q70" s="37">
        <f t="shared" si="40"/>
        <v>2.1188695263520962E-3</v>
      </c>
      <c r="R70" s="37">
        <f t="shared" si="41"/>
        <v>3.9737789984888305E-3</v>
      </c>
      <c r="S70" s="37">
        <f t="shared" si="42"/>
        <v>1.5204383699691792E-3</v>
      </c>
      <c r="T70" s="37">
        <f t="shared" si="43"/>
        <v>2.7943614040748521E-3</v>
      </c>
      <c r="U70" s="37">
        <f t="shared" si="44"/>
        <v>7.4729816467542509E-3</v>
      </c>
      <c r="V70" s="37">
        <f t="shared" si="45"/>
        <v>1.9348768883515444E-2</v>
      </c>
      <c r="W70" s="37">
        <f t="shared" si="46"/>
        <v>2.330896510699576E-2</v>
      </c>
      <c r="X70" s="37">
        <f t="shared" si="47"/>
        <v>2.2414445759940893E-2</v>
      </c>
      <c r="Y70" s="24">
        <v>46</v>
      </c>
      <c r="Z70" s="28">
        <f t="shared" si="50"/>
        <v>42947</v>
      </c>
      <c r="AA70" s="21">
        <f t="array" ref="AA70">PRODUCT(1+O59:O70)-1</f>
        <v>5.6591905276213161E-3</v>
      </c>
      <c r="AB70" s="21">
        <f t="array" ref="AB70">PRODUCT(1+P59:P70)-1</f>
        <v>1.6182504400954478E-3</v>
      </c>
      <c r="AC70" s="21">
        <f t="array" ref="AC70">PRODUCT(1+Q59:Q70)-1</f>
        <v>4.9199053013087024E-3</v>
      </c>
      <c r="AD70" s="21">
        <f t="array" ref="AD70">PRODUCT(1+R59:R70)-1</f>
        <v>1.6033754259707766E-2</v>
      </c>
      <c r="AE70" s="21">
        <f t="array" ref="AE70">PRODUCT(1+S59:S70)-1</f>
        <v>-2.7121777877845532E-2</v>
      </c>
      <c r="AF70" s="21">
        <f t="array" ref="AF70">PRODUCT(1+T59:T70)-1</f>
        <v>-3.3088357113032485E-3</v>
      </c>
      <c r="AG70" s="21">
        <f t="array" ref="AG70">PRODUCT(1+U59:U70)-1</f>
        <v>1.6240508632133999E-2</v>
      </c>
      <c r="AH70" s="21">
        <f t="array" ref="AH70">PRODUCT(1+V59:V70)-1</f>
        <v>0.13650165623849864</v>
      </c>
      <c r="AI70" s="21">
        <f t="array" ref="AI70">PRODUCT(1+W59:W70)-1</f>
        <v>0.13898907532277516</v>
      </c>
      <c r="AJ70" s="21">
        <f t="array" ref="AJ70">PRODUCT(1+X59:X70)-1</f>
        <v>-6.0564797821324845E-2</v>
      </c>
    </row>
    <row r="71" spans="1:36">
      <c r="A71" s="50">
        <v>58</v>
      </c>
      <c r="B71" s="47">
        <v>42978</v>
      </c>
      <c r="C71" s="51">
        <v>0.99099999999999999</v>
      </c>
      <c r="D71" s="52">
        <v>1172.0340000000001</v>
      </c>
      <c r="E71" s="52">
        <v>1273.575</v>
      </c>
      <c r="F71" s="52">
        <v>1693.654</v>
      </c>
      <c r="G71" s="52">
        <v>1608.0930000000001</v>
      </c>
      <c r="H71" s="52">
        <v>1515.028</v>
      </c>
      <c r="I71" s="52">
        <v>2884.06</v>
      </c>
      <c r="J71" s="52">
        <v>2471.65</v>
      </c>
      <c r="K71" s="52">
        <v>1959.74</v>
      </c>
      <c r="L71" s="52">
        <v>1321.43</v>
      </c>
      <c r="M71" s="53"/>
      <c r="N71" s="54">
        <f t="shared" si="51"/>
        <v>42978</v>
      </c>
      <c r="O71" s="37">
        <f t="shared" si="19"/>
        <v>8.9366666666666663E-4</v>
      </c>
      <c r="P71" s="37">
        <f t="shared" si="39"/>
        <v>1.8943117647360896E-3</v>
      </c>
      <c r="Q71" s="37">
        <f t="shared" si="40"/>
        <v>1.7981749232471866E-3</v>
      </c>
      <c r="R71" s="37">
        <f t="shared" si="41"/>
        <v>2.0281311493255405E-3</v>
      </c>
      <c r="S71" s="37">
        <f t="shared" si="42"/>
        <v>1.1306736498137848E-2</v>
      </c>
      <c r="T71" s="37">
        <f t="shared" si="43"/>
        <v>7.3344561192607571E-3</v>
      </c>
      <c r="U71" s="37">
        <f t="shared" si="44"/>
        <v>8.4693578904266875E-3</v>
      </c>
      <c r="V71" s="37">
        <f t="shared" si="45"/>
        <v>5.4649232886694321E-4</v>
      </c>
      <c r="W71" s="37">
        <f t="shared" si="46"/>
        <v>-6.9348834837590356E-4</v>
      </c>
      <c r="X71" s="37">
        <f t="shared" si="47"/>
        <v>4.0955066801109163E-2</v>
      </c>
      <c r="Y71" s="24">
        <v>47</v>
      </c>
      <c r="Z71" s="28">
        <f t="shared" si="50"/>
        <v>42978</v>
      </c>
      <c r="AA71" s="21">
        <f t="array" ref="AA71">PRODUCT(1+O60:O71)-1</f>
        <v>6.345240330099422E-3</v>
      </c>
      <c r="AB71" s="21">
        <f t="array" ref="AB71">PRODUCT(1+P60:P71)-1</f>
        <v>5.1844399904288352E-3</v>
      </c>
      <c r="AC71" s="21">
        <f t="array" ref="AC71">PRODUCT(1+Q60:Q71)-1</f>
        <v>7.6142192221064775E-3</v>
      </c>
      <c r="AD71" s="21">
        <f t="array" ref="AD71">PRODUCT(1+R60:R71)-1</f>
        <v>1.7768924063374048E-2</v>
      </c>
      <c r="AE71" s="21">
        <f t="array" ref="AE71">PRODUCT(1+S60:S71)-1</f>
        <v>-1.0454850613783928E-2</v>
      </c>
      <c r="AF71" s="21">
        <f t="array" ref="AF71">PRODUCT(1+T60:T71)-1</f>
        <v>5.9873400659096188E-3</v>
      </c>
      <c r="AG71" s="21">
        <f t="array" ref="AG71">PRODUCT(1+U60:U71)-1</f>
        <v>2.2045458814090368E-2</v>
      </c>
      <c r="AH71" s="21">
        <f t="array" ref="AH71">PRODUCT(1+V60:V71)-1</f>
        <v>0.13851079020705259</v>
      </c>
      <c r="AI71" s="21">
        <f t="array" ref="AI71">PRODUCT(1+W60:W71)-1</f>
        <v>0.13970177724016031</v>
      </c>
      <c r="AJ71" s="21">
        <f t="array" ref="AJ71">PRODUCT(1+X60:X71)-1</f>
        <v>9.5189347349444731E-3</v>
      </c>
    </row>
    <row r="72" spans="1:36">
      <c r="A72" s="50">
        <v>59</v>
      </c>
      <c r="B72" s="47">
        <v>43007</v>
      </c>
      <c r="C72" s="51">
        <v>1.0405</v>
      </c>
      <c r="D72" s="52">
        <v>1170.116</v>
      </c>
      <c r="E72" s="52">
        <v>1272.1510000000001</v>
      </c>
      <c r="F72" s="52">
        <v>1693.8510000000001</v>
      </c>
      <c r="G72" s="52">
        <v>1593.95</v>
      </c>
      <c r="H72" s="52">
        <v>1507.422</v>
      </c>
      <c r="I72" s="52">
        <v>2877.4780000000001</v>
      </c>
      <c r="J72" s="52">
        <v>2519.36</v>
      </c>
      <c r="K72" s="52">
        <v>2000.55</v>
      </c>
      <c r="L72" s="52">
        <v>1279.75</v>
      </c>
      <c r="M72" s="53"/>
      <c r="N72" s="54">
        <f t="shared" si="51"/>
        <v>43007</v>
      </c>
      <c r="O72" s="37">
        <f t="shared" si="19"/>
        <v>8.2583333333333337E-4</v>
      </c>
      <c r="P72" s="37">
        <f t="shared" si="39"/>
        <v>-1.6364712969079154E-3</v>
      </c>
      <c r="Q72" s="37">
        <f t="shared" si="40"/>
        <v>-1.1181124001334863E-3</v>
      </c>
      <c r="R72" s="37">
        <f t="shared" si="41"/>
        <v>1.1631655580179867E-4</v>
      </c>
      <c r="S72" s="37">
        <f t="shared" si="42"/>
        <v>-8.7948893503050352E-3</v>
      </c>
      <c r="T72" s="37">
        <f t="shared" si="43"/>
        <v>-5.0203692605020889E-3</v>
      </c>
      <c r="U72" s="37">
        <f t="shared" si="44"/>
        <v>-2.2821993994576184E-3</v>
      </c>
      <c r="V72" s="37">
        <f t="shared" si="45"/>
        <v>1.9302894827342154E-2</v>
      </c>
      <c r="W72" s="37">
        <f t="shared" si="46"/>
        <v>2.082419096410737E-2</v>
      </c>
      <c r="X72" s="37">
        <f t="shared" si="47"/>
        <v>-3.1541587522608161E-2</v>
      </c>
      <c r="Y72" s="24">
        <v>48</v>
      </c>
      <c r="Z72" s="28">
        <f t="shared" si="50"/>
        <v>43007</v>
      </c>
      <c r="AA72" s="21">
        <f t="array" ref="AA72">PRODUCT(1+O61:O72)-1</f>
        <v>6.8995842053458656E-3</v>
      </c>
      <c r="AB72" s="21">
        <f t="array" ref="AB72">PRODUCT(1+P61:P72)-1</f>
        <v>2.3746213626829604E-3</v>
      </c>
      <c r="AC72" s="21">
        <f t="array" ref="AC72">PRODUCT(1+Q61:Q72)-1</f>
        <v>4.9649804955658183E-3</v>
      </c>
      <c r="AD72" s="21">
        <f t="array" ref="AD72">PRODUCT(1+R61:R72)-1</f>
        <v>1.7103126756368603E-2</v>
      </c>
      <c r="AE72" s="21">
        <f t="array" ref="AE72">PRODUCT(1+S61:S72)-1</f>
        <v>-1.73510182819131E-2</v>
      </c>
      <c r="AF72" s="21">
        <f t="array" ref="AF72">PRODUCT(1+T61:T72)-1</f>
        <v>2.3754797407415928E-4</v>
      </c>
      <c r="AG72" s="21">
        <f t="array" ref="AG72">PRODUCT(1+U61:U72)-1</f>
        <v>2.2658228028050953E-2</v>
      </c>
      <c r="AH72" s="21">
        <f t="array" ref="AH72">PRODUCT(1+V61:V72)-1</f>
        <v>0.16192171639140929</v>
      </c>
      <c r="AI72" s="21">
        <f t="array" ref="AI72">PRODUCT(1+W61:W72)-1</f>
        <v>0.15928885592262776</v>
      </c>
      <c r="AJ72" s="21">
        <f t="array" ref="AJ72">PRODUCT(1+X61:X72)-1</f>
        <v>-2.7449520089370405E-2</v>
      </c>
    </row>
    <row r="73" spans="1:36">
      <c r="A73" s="50">
        <v>60</v>
      </c>
      <c r="B73" s="47">
        <v>43039</v>
      </c>
      <c r="C73" s="51">
        <v>1.1312</v>
      </c>
      <c r="D73" s="52">
        <v>1169.405</v>
      </c>
      <c r="E73" s="52">
        <v>1271.838</v>
      </c>
      <c r="F73" s="52">
        <v>1695.3389999999999</v>
      </c>
      <c r="G73" s="52">
        <v>1592.2</v>
      </c>
      <c r="H73" s="52">
        <v>1507.721</v>
      </c>
      <c r="I73" s="52">
        <v>2889.0909999999999</v>
      </c>
      <c r="J73" s="52">
        <v>2575.2600000000002</v>
      </c>
      <c r="K73" s="52">
        <v>2036.8</v>
      </c>
      <c r="L73" s="52">
        <v>1271.46</v>
      </c>
      <c r="M73" s="53"/>
      <c r="N73" s="54">
        <f t="shared" si="51"/>
        <v>43039</v>
      </c>
      <c r="O73" s="37">
        <f t="shared" si="19"/>
        <v>8.6708333333333331E-4</v>
      </c>
      <c r="P73" s="37">
        <f t="shared" si="39"/>
        <v>-6.0763206382963286E-4</v>
      </c>
      <c r="Q73" s="37">
        <f t="shared" si="40"/>
        <v>-2.4603997481442708E-4</v>
      </c>
      <c r="R73" s="37">
        <f t="shared" si="41"/>
        <v>8.7847160110299249E-4</v>
      </c>
      <c r="S73" s="37">
        <f t="shared" si="42"/>
        <v>-1.0979014398193598E-3</v>
      </c>
      <c r="T73" s="37">
        <f t="shared" si="43"/>
        <v>1.9835188819050664E-4</v>
      </c>
      <c r="U73" s="37">
        <f t="shared" si="44"/>
        <v>4.0358258169133077E-3</v>
      </c>
      <c r="V73" s="37">
        <f t="shared" si="45"/>
        <v>2.2188174774546043E-2</v>
      </c>
      <c r="W73" s="37">
        <f t="shared" si="46"/>
        <v>1.8120016995326393E-2</v>
      </c>
      <c r="X73" s="37">
        <f t="shared" si="47"/>
        <v>-6.4778277007228047E-3</v>
      </c>
      <c r="Y73" s="24">
        <v>49</v>
      </c>
      <c r="Z73" s="28">
        <f t="shared" si="50"/>
        <v>43039</v>
      </c>
      <c r="AA73" s="21">
        <f t="array" ref="AA73">PRODUCT(1+O62:O73)-1</f>
        <v>7.5426784367975674E-3</v>
      </c>
      <c r="AB73" s="21">
        <f t="array" ref="AB73">PRODUCT(1+P62:P73)-1</f>
        <v>2.4362164752349535E-3</v>
      </c>
      <c r="AC73" s="21">
        <f t="array" ref="AC73">PRODUCT(1+Q62:Q73)-1</f>
        <v>4.8066211917956458E-3</v>
      </c>
      <c r="AD73" s="21">
        <f t="array" ref="AD73">PRODUCT(1+R62:R73)-1</f>
        <v>1.7513945256091956E-2</v>
      </c>
      <c r="AE73" s="21">
        <f t="array" ref="AE73">PRODUCT(1+S62:S73)-1</f>
        <v>-6.9975427523666367E-3</v>
      </c>
      <c r="AF73" s="21">
        <f t="array" ref="AF73">PRODUCT(1+T62:T73)-1</f>
        <v>4.9811764454943397E-3</v>
      </c>
      <c r="AG73" s="21">
        <f t="array" ref="AG73">PRODUCT(1+U62:U73)-1</f>
        <v>3.5355432165749212E-2</v>
      </c>
      <c r="AH73" s="21">
        <f t="array" ref="AH73">PRODUCT(1+V62:V73)-1</f>
        <v>0.21123156879806237</v>
      </c>
      <c r="AI73" s="21">
        <f t="array" ref="AI73">PRODUCT(1+W62:W73)-1</f>
        <v>0.20455136848579492</v>
      </c>
      <c r="AJ73" s="21">
        <f t="array" ref="AJ73">PRODUCT(1+X62:X73)-1</f>
        <v>-4.5020004541149738E-3</v>
      </c>
    </row>
    <row r="74" spans="1:36">
      <c r="A74" s="50">
        <v>61</v>
      </c>
      <c r="B74" s="47">
        <v>43069</v>
      </c>
      <c r="C74" s="51">
        <v>1.256</v>
      </c>
      <c r="D74" s="52">
        <v>1167.049</v>
      </c>
      <c r="E74" s="52">
        <v>1269.4559999999999</v>
      </c>
      <c r="F74" s="52">
        <v>1691.684</v>
      </c>
      <c r="G74" s="52">
        <v>1590.269</v>
      </c>
      <c r="H74" s="52">
        <v>1505.3019999999999</v>
      </c>
      <c r="I74" s="52">
        <v>2885.0349999999999</v>
      </c>
      <c r="J74" s="52">
        <v>2647.58</v>
      </c>
      <c r="K74" s="52">
        <v>2077.36</v>
      </c>
      <c r="L74" s="52">
        <v>1275.01</v>
      </c>
      <c r="M74" s="53"/>
      <c r="N74" s="54">
        <f t="shared" si="51"/>
        <v>43069</v>
      </c>
      <c r="O74" s="37">
        <f t="shared" si="19"/>
        <v>9.4266666666666663E-4</v>
      </c>
      <c r="P74" s="37">
        <f t="shared" si="39"/>
        <v>-2.0146997832231062E-3</v>
      </c>
      <c r="Q74" s="37">
        <f t="shared" si="40"/>
        <v>-1.8728800366084597E-3</v>
      </c>
      <c r="R74" s="37">
        <f t="shared" si="41"/>
        <v>-2.1559110006906801E-3</v>
      </c>
      <c r="S74" s="37">
        <f t="shared" si="42"/>
        <v>-1.2127873382741239E-3</v>
      </c>
      <c r="T74" s="37">
        <f t="shared" si="43"/>
        <v>-1.6044082426390771E-3</v>
      </c>
      <c r="U74" s="37">
        <f t="shared" si="44"/>
        <v>-1.4039017808715748E-3</v>
      </c>
      <c r="V74" s="37">
        <f t="shared" si="45"/>
        <v>2.8082601368405458E-2</v>
      </c>
      <c r="W74" s="37">
        <f t="shared" si="46"/>
        <v>1.99135899450118E-2</v>
      </c>
      <c r="X74" s="37">
        <f t="shared" si="47"/>
        <v>2.792065814103406E-3</v>
      </c>
      <c r="Y74" s="24">
        <v>50</v>
      </c>
      <c r="Z74" s="28">
        <f t="shared" si="50"/>
        <v>43069</v>
      </c>
      <c r="AA74" s="21">
        <f t="array" ref="AA74">PRODUCT(1+O63:O74)-1</f>
        <v>8.2409832297705155E-3</v>
      </c>
      <c r="AB74" s="21">
        <f t="array" ref="AB74">PRODUCT(1+P63:P74)-1</f>
        <v>4.4021433231147267E-3</v>
      </c>
      <c r="AC74" s="21">
        <f t="array" ref="AC74">PRODUCT(1+Q63:Q74)-1</f>
        <v>6.9173934252639846E-3</v>
      </c>
      <c r="AD74" s="21">
        <f t="array" ref="AD74">PRODUCT(1+R63:R74)-1</f>
        <v>1.9638334472503516E-2</v>
      </c>
      <c r="AE74" s="21">
        <f t="array" ref="AE74">PRODUCT(1+S63:S74)-1</f>
        <v>1.9643736471167683E-2</v>
      </c>
      <c r="AF74" s="21">
        <f t="array" ref="AF74">PRODUCT(1+T63:T74)-1</f>
        <v>1.8554957100712199E-2</v>
      </c>
      <c r="AG74" s="21">
        <f t="array" ref="AG74">PRODUCT(1+U63:U74)-1</f>
        <v>6.2364260216801082E-2</v>
      </c>
      <c r="AH74" s="21">
        <f t="array" ref="AH74">PRODUCT(1+V63:V74)-1</f>
        <v>0.20409676143004685</v>
      </c>
      <c r="AI74" s="21">
        <f t="array" ref="AI74">PRODUCT(1+W63:W74)-1</f>
        <v>0.21334742916552329</v>
      </c>
      <c r="AJ74" s="21">
        <f t="array" ref="AJ74">PRODUCT(1+X63:X74)-1</f>
        <v>8.6779747698602083E-2</v>
      </c>
    </row>
    <row r="75" spans="1:36">
      <c r="A75" s="50">
        <v>62</v>
      </c>
      <c r="B75" s="47">
        <v>43098</v>
      </c>
      <c r="C75" s="51">
        <v>1.3756999999999999</v>
      </c>
      <c r="D75" s="52">
        <v>1167.1890000000001</v>
      </c>
      <c r="E75" s="52">
        <v>1269.7260000000001</v>
      </c>
      <c r="F75" s="52">
        <v>1693.5070000000001</v>
      </c>
      <c r="G75" s="52">
        <v>1595.7729999999999</v>
      </c>
      <c r="H75" s="52">
        <v>1507.491</v>
      </c>
      <c r="I75" s="52">
        <v>2909.6370000000002</v>
      </c>
      <c r="J75" s="52">
        <v>2673.61</v>
      </c>
      <c r="K75" s="52">
        <v>2103.4499999999998</v>
      </c>
      <c r="L75" s="52">
        <v>1302.8</v>
      </c>
      <c r="M75" s="53"/>
      <c r="N75" s="54">
        <f t="shared" si="51"/>
        <v>43098</v>
      </c>
      <c r="O75" s="37">
        <f t="shared" si="19"/>
        <v>1.0466666666666667E-3</v>
      </c>
      <c r="P75" s="37">
        <f t="shared" si="39"/>
        <v>1.1996068716912944E-4</v>
      </c>
      <c r="Q75" s="37">
        <f t="shared" si="40"/>
        <v>2.1268953000364021E-4</v>
      </c>
      <c r="R75" s="37">
        <f t="shared" si="41"/>
        <v>1.0776244263113188E-3</v>
      </c>
      <c r="S75" s="37">
        <f t="shared" si="42"/>
        <v>3.4610496714706507E-3</v>
      </c>
      <c r="T75" s="37">
        <f t="shared" si="43"/>
        <v>1.454193244943669E-3</v>
      </c>
      <c r="U75" s="37">
        <f t="shared" si="44"/>
        <v>8.527452873188901E-3</v>
      </c>
      <c r="V75" s="37">
        <f t="shared" si="45"/>
        <v>9.8316198188534987E-3</v>
      </c>
      <c r="W75" s="37">
        <f t="shared" si="46"/>
        <v>1.2559209766241697E-2</v>
      </c>
      <c r="X75" s="37">
        <f t="shared" si="47"/>
        <v>2.1795907483078469E-2</v>
      </c>
      <c r="Y75" s="24">
        <v>51</v>
      </c>
      <c r="Z75" s="28">
        <f t="shared" si="50"/>
        <v>43098</v>
      </c>
      <c r="AA75" s="21">
        <f t="array" ref="AA75">PRODUCT(1+O64:O75)-1</f>
        <v>8.8951555599527943E-3</v>
      </c>
      <c r="AB75" s="21">
        <f t="array" ref="AB75">PRODUCT(1+P64:P75)-1</f>
        <v>4.2244590154341122E-3</v>
      </c>
      <c r="AC75" s="21">
        <f t="array" ref="AC75">PRODUCT(1+Q64:Q75)-1</f>
        <v>6.4857032334979525E-3</v>
      </c>
      <c r="AD75" s="21">
        <f t="array" ref="AD75">PRODUCT(1+R64:R75)-1</f>
        <v>1.9067648722484787E-2</v>
      </c>
      <c r="AE75" s="21">
        <f t="array" ref="AE75">PRODUCT(1+S64:S75)-1</f>
        <v>2.4347110493733393E-2</v>
      </c>
      <c r="AF75" s="21">
        <f t="array" ref="AF75">PRODUCT(1+T64:T75)-1</f>
        <v>2.150354021698675E-2</v>
      </c>
      <c r="AG75" s="21">
        <f t="array" ref="AG75">PRODUCT(1+U64:U75)-1</f>
        <v>6.4762078323569838E-2</v>
      </c>
      <c r="AH75" s="21">
        <f t="array" ref="AH75">PRODUCT(1+V64:V75)-1</f>
        <v>0.19419964892376851</v>
      </c>
      <c r="AI75" s="21">
        <f t="array" ref="AI75">PRODUCT(1+W64:W75)-1</f>
        <v>0.20113406653647159</v>
      </c>
      <c r="AJ75" s="21">
        <f t="array" ref="AJ75">PRODUCT(1+X64:X75)-1</f>
        <v>0.13533769063180823</v>
      </c>
    </row>
    <row r="76" spans="1:36">
      <c r="A76" s="50">
        <v>63</v>
      </c>
      <c r="B76" s="47">
        <v>43131</v>
      </c>
      <c r="C76" s="51">
        <v>1.4551000000000001</v>
      </c>
      <c r="D76" s="52">
        <v>1163.8340000000001</v>
      </c>
      <c r="E76" s="52">
        <v>1266.8599999999999</v>
      </c>
      <c r="F76" s="52">
        <v>1690.5619999999999</v>
      </c>
      <c r="G76" s="52">
        <v>1573.4970000000001</v>
      </c>
      <c r="H76" s="52">
        <v>1495.537</v>
      </c>
      <c r="I76" s="52">
        <v>2882.748</v>
      </c>
      <c r="J76" s="52">
        <v>2823.81</v>
      </c>
      <c r="K76" s="52">
        <v>2213.2399999999998</v>
      </c>
      <c r="L76" s="52">
        <v>1345.14</v>
      </c>
      <c r="M76" s="53"/>
      <c r="N76" s="54">
        <f t="shared" si="51"/>
        <v>43131</v>
      </c>
      <c r="O76" s="37">
        <f t="shared" si="19"/>
        <v>1.1464166666666667E-3</v>
      </c>
      <c r="P76" s="37">
        <f t="shared" si="39"/>
        <v>-2.8744273635203932E-3</v>
      </c>
      <c r="Q76" s="37">
        <f t="shared" si="40"/>
        <v>-2.2571798955052236E-3</v>
      </c>
      <c r="R76" s="37">
        <f t="shared" si="41"/>
        <v>-1.7389948786749043E-3</v>
      </c>
      <c r="S76" s="37">
        <f t="shared" si="42"/>
        <v>-1.3959378934221722E-2</v>
      </c>
      <c r="T76" s="37">
        <f t="shared" si="43"/>
        <v>-7.9297322504744416E-3</v>
      </c>
      <c r="U76" s="37">
        <f t="shared" si="44"/>
        <v>-9.2413589736451973E-3</v>
      </c>
      <c r="V76" s="37">
        <f t="shared" si="45"/>
        <v>5.6178724645703726E-2</v>
      </c>
      <c r="W76" s="37">
        <f t="shared" si="46"/>
        <v>5.2195203118685862E-2</v>
      </c>
      <c r="X76" s="37">
        <f t="shared" si="47"/>
        <v>3.2499232422474877E-2</v>
      </c>
      <c r="Y76" s="24">
        <v>52</v>
      </c>
      <c r="Z76" s="28">
        <f t="shared" si="50"/>
        <v>43131</v>
      </c>
      <c r="AA76" s="21">
        <f t="array" ref="AA76">PRODUCT(1+O65:O76)-1</f>
        <v>9.6332767879769854E-3</v>
      </c>
      <c r="AB76" s="21">
        <f t="array" ref="AB76">PRODUCT(1+P65:P76)-1</f>
        <v>7.8195959073212862E-5</v>
      </c>
      <c r="AC76" s="21">
        <f t="array" ref="AC76">PRODUCT(1+Q65:Q76)-1</f>
        <v>2.7172127871259999E-3</v>
      </c>
      <c r="AD76" s="21">
        <f t="array" ref="AD76">PRODUCT(1+R65:R76)-1</f>
        <v>1.4382644342466389E-2</v>
      </c>
      <c r="AE76" s="21">
        <f t="array" ref="AE76">PRODUCT(1+S65:S76)-1</f>
        <v>7.7720605471376381E-3</v>
      </c>
      <c r="AF76" s="21">
        <f t="array" ref="AF76">PRODUCT(1+T65:T76)-1</f>
        <v>1.0650936357935459E-2</v>
      </c>
      <c r="AG76" s="21">
        <f t="array" ref="AG76">PRODUCT(1+U65:U76)-1</f>
        <v>5.061353102970223E-2</v>
      </c>
      <c r="AH76" s="21">
        <f t="array" ref="AH76">PRODUCT(1+V65:V76)-1</f>
        <v>0.23912728676932105</v>
      </c>
      <c r="AI76" s="21">
        <f t="array" ref="AI76">PRODUCT(1+W65:W76)-1</f>
        <v>0.23479134121847789</v>
      </c>
      <c r="AJ76" s="21">
        <f t="array" ref="AJ76">PRODUCT(1+X65:X76)-1</f>
        <v>0.11102484472049712</v>
      </c>
    </row>
    <row r="77" spans="1:36">
      <c r="A77" s="50">
        <v>64</v>
      </c>
      <c r="B77" s="47">
        <v>43159</v>
      </c>
      <c r="C77" s="51">
        <v>1.6517999999999999</v>
      </c>
      <c r="D77" s="52">
        <v>1163.3920000000001</v>
      </c>
      <c r="E77" s="52">
        <v>1266.8820000000001</v>
      </c>
      <c r="F77" s="52">
        <v>1686.7349999999999</v>
      </c>
      <c r="G77" s="52">
        <v>1561.104</v>
      </c>
      <c r="H77" s="52">
        <v>1490.9860000000001</v>
      </c>
      <c r="I77" s="52">
        <v>2839.6089999999999</v>
      </c>
      <c r="J77" s="52">
        <v>2713.83</v>
      </c>
      <c r="K77" s="52">
        <v>2117.9899999999998</v>
      </c>
      <c r="L77" s="52">
        <v>1318.31</v>
      </c>
      <c r="M77" s="53"/>
      <c r="N77" s="54">
        <f t="shared" si="51"/>
        <v>43159</v>
      </c>
      <c r="O77" s="37">
        <f t="shared" si="19"/>
        <v>1.2125833333333333E-3</v>
      </c>
      <c r="P77" s="37">
        <f t="shared" si="39"/>
        <v>-3.7977924686849462E-4</v>
      </c>
      <c r="Q77" s="37">
        <f t="shared" si="40"/>
        <v>1.7365770487831611E-5</v>
      </c>
      <c r="R77" s="37">
        <f t="shared" si="41"/>
        <v>-2.2637442459962909E-3</v>
      </c>
      <c r="S77" s="37">
        <f t="shared" si="42"/>
        <v>-7.8760874663250657E-3</v>
      </c>
      <c r="T77" s="37">
        <f t="shared" si="43"/>
        <v>-3.0430541002997025E-3</v>
      </c>
      <c r="U77" s="37">
        <f t="shared" si="44"/>
        <v>-1.4964540778451663E-2</v>
      </c>
      <c r="V77" s="37">
        <f t="shared" si="45"/>
        <v>-3.8947379604151844E-2</v>
      </c>
      <c r="W77" s="37">
        <f t="shared" si="46"/>
        <v>-4.3036453344418191E-2</v>
      </c>
      <c r="X77" s="37">
        <f t="shared" si="47"/>
        <v>-1.9945879239335773E-2</v>
      </c>
      <c r="Y77" s="24">
        <v>53</v>
      </c>
      <c r="Z77" s="28">
        <f t="shared" si="50"/>
        <v>43159</v>
      </c>
      <c r="AA77" s="21">
        <f t="array" ref="AA77">PRODUCT(1+O66:O77)-1</f>
        <v>1.0425836833401814E-2</v>
      </c>
      <c r="AB77" s="21">
        <f t="array" ref="AB77">PRODUCT(1+P66:P77)-1</f>
        <v>-1.3202510022063407E-3</v>
      </c>
      <c r="AC77" s="21">
        <f t="array" ref="AC77">PRODUCT(1+Q66:Q77)-1</f>
        <v>1.6065146064754288E-3</v>
      </c>
      <c r="AD77" s="21">
        <f t="array" ref="AD77">PRODUCT(1+R66:R77)-1</f>
        <v>8.6933485149480738E-3</v>
      </c>
      <c r="AE77" s="21">
        <f t="array" ref="AE77">PRODUCT(1+S66:S77)-1</f>
        <v>-5.3089135205262039E-3</v>
      </c>
      <c r="AF77" s="21">
        <f t="array" ref="AF77">PRODUCT(1+T66:T77)-1</f>
        <v>3.6274979015169517E-3</v>
      </c>
      <c r="AG77" s="21">
        <f t="array" ref="AG77">PRODUCT(1+U66:U77)-1</f>
        <v>2.3317186239822263E-2</v>
      </c>
      <c r="AH77" s="21">
        <f t="array" ref="AH77">PRODUCT(1+V66:V77)-1</f>
        <v>0.14815707975833936</v>
      </c>
      <c r="AI77" s="21">
        <f t="array" ref="AI77">PRODUCT(1+W66:W77)-1</f>
        <v>0.15189536085277622</v>
      </c>
      <c r="AJ77" s="21">
        <f t="array" ref="AJ77">PRODUCT(1+X66:X77)-1</f>
        <v>5.5965845375027801E-2</v>
      </c>
    </row>
    <row r="78" spans="1:36">
      <c r="A78" s="50">
        <v>65</v>
      </c>
      <c r="B78" s="47">
        <v>43189</v>
      </c>
      <c r="C78" s="51">
        <v>1.7000999999999999</v>
      </c>
      <c r="D78" s="52">
        <v>1165.673</v>
      </c>
      <c r="E78" s="52">
        <v>1269.423</v>
      </c>
      <c r="F78" s="52">
        <v>1687.0519999999999</v>
      </c>
      <c r="G78" s="52">
        <v>1576.5260000000001</v>
      </c>
      <c r="H78" s="52">
        <v>1499.4280000000001</v>
      </c>
      <c r="I78" s="52">
        <v>2845.7150000000001</v>
      </c>
      <c r="J78" s="52">
        <v>2640.87</v>
      </c>
      <c r="K78" s="52">
        <v>2066.84</v>
      </c>
      <c r="L78" s="52">
        <v>1325.48</v>
      </c>
      <c r="M78" s="53"/>
      <c r="N78" s="54">
        <f t="shared" ref="N78:N141" si="52">B78</f>
        <v>43189</v>
      </c>
      <c r="O78" s="37">
        <f t="shared" si="19"/>
        <v>1.3764999999999999E-3</v>
      </c>
      <c r="P78" s="37">
        <f t="shared" si="39"/>
        <v>1.9606461106831397E-3</v>
      </c>
      <c r="Q78" s="37">
        <f t="shared" si="40"/>
        <v>2.0057116605964875E-3</v>
      </c>
      <c r="R78" s="37">
        <f t="shared" si="41"/>
        <v>1.8793704998110172E-4</v>
      </c>
      <c r="S78" s="37">
        <f t="shared" si="42"/>
        <v>9.8789062099642333E-3</v>
      </c>
      <c r="T78" s="37">
        <f t="shared" si="43"/>
        <v>5.662024995539916E-3</v>
      </c>
      <c r="U78" s="37">
        <f t="shared" si="44"/>
        <v>2.1502960442794095E-3</v>
      </c>
      <c r="V78" s="37">
        <f t="shared" si="45"/>
        <v>-2.6884513768364315E-2</v>
      </c>
      <c r="W78" s="37">
        <f t="shared" si="46"/>
        <v>-2.4150255666929299E-2</v>
      </c>
      <c r="X78" s="37">
        <f t="shared" si="47"/>
        <v>5.4387814702157034E-3</v>
      </c>
      <c r="Y78" s="24">
        <v>54</v>
      </c>
      <c r="Z78" s="28">
        <f t="shared" si="50"/>
        <v>43189</v>
      </c>
      <c r="AA78" s="21">
        <f t="array" ref="AA78">PRODUCT(1+O67:O78)-1</f>
        <v>1.130749467423442E-2</v>
      </c>
      <c r="AB78" s="21">
        <f t="array" ref="AB78">PRODUCT(1+P67:P78)-1</f>
        <v>3.1665556798921024E-4</v>
      </c>
      <c r="AC78" s="21">
        <f t="array" ref="AC78">PRODUCT(1+Q67:Q78)-1</f>
        <v>3.1903308555649712E-3</v>
      </c>
      <c r="AD78" s="21">
        <f t="array" ref="AD78">PRODUCT(1+R67:R78)-1</f>
        <v>8.090769591134972E-3</v>
      </c>
      <c r="AE78" s="21">
        <f t="array" ref="AE78">PRODUCT(1+S67:S78)-1</f>
        <v>5.107378635205384E-3</v>
      </c>
      <c r="AF78" s="21">
        <f t="array" ref="AF78">PRODUCT(1+T67:T78)-1</f>
        <v>8.549032163463588E-3</v>
      </c>
      <c r="AG78" s="21">
        <f t="array" ref="AG78">PRODUCT(1+U67:U78)-1</f>
        <v>2.6781252401685718E-2</v>
      </c>
      <c r="AH78" s="21">
        <f t="array" ref="AH78">PRODUCT(1+V67:V78)-1</f>
        <v>0.11772448703189564</v>
      </c>
      <c r="AI78" s="21">
        <f t="array" ref="AI78">PRODUCT(1+W67:W78)-1</f>
        <v>0.11498686403875547</v>
      </c>
      <c r="AJ78" s="21">
        <f t="array" ref="AJ78">PRODUCT(1+X67:X78)-1</f>
        <v>6.1063080371437595E-2</v>
      </c>
    </row>
    <row r="79" spans="1:36">
      <c r="A79" s="50">
        <v>66</v>
      </c>
      <c r="B79" s="47">
        <v>43220</v>
      </c>
      <c r="C79" s="51">
        <v>1.7996000000000001</v>
      </c>
      <c r="D79" s="52">
        <v>1163.8620000000001</v>
      </c>
      <c r="E79" s="52">
        <v>1267.607</v>
      </c>
      <c r="F79" s="52">
        <v>1688.623</v>
      </c>
      <c r="G79" s="52">
        <v>1563.5509999999999</v>
      </c>
      <c r="H79" s="52">
        <v>1490.5060000000001</v>
      </c>
      <c r="I79" s="52">
        <v>2821.48</v>
      </c>
      <c r="J79" s="52">
        <v>2648.05</v>
      </c>
      <c r="K79" s="52">
        <v>2086.5100000000002</v>
      </c>
      <c r="L79" s="52">
        <v>1315.39</v>
      </c>
      <c r="M79" s="53"/>
      <c r="N79" s="54">
        <f t="shared" si="52"/>
        <v>43220</v>
      </c>
      <c r="O79" s="37">
        <f t="shared" ref="O79:O142" si="53">C78/1200</f>
        <v>1.41675E-3</v>
      </c>
      <c r="P79" s="37">
        <f t="shared" si="39"/>
        <v>-1.5536089452187207E-3</v>
      </c>
      <c r="Q79" s="37">
        <f t="shared" si="40"/>
        <v>-1.430571212275189E-3</v>
      </c>
      <c r="R79" s="37">
        <f t="shared" si="41"/>
        <v>9.3121018202180217E-4</v>
      </c>
      <c r="S79" s="37">
        <f t="shared" si="42"/>
        <v>-8.2301211651442108E-3</v>
      </c>
      <c r="T79" s="37">
        <f t="shared" si="43"/>
        <v>-5.9502690359257704E-3</v>
      </c>
      <c r="U79" s="37">
        <f t="shared" si="44"/>
        <v>-8.5163131234153866E-3</v>
      </c>
      <c r="V79" s="37">
        <f t="shared" si="45"/>
        <v>2.718801001185378E-3</v>
      </c>
      <c r="W79" s="37">
        <f t="shared" si="46"/>
        <v>9.5169437402025103E-3</v>
      </c>
      <c r="X79" s="37">
        <f t="shared" si="47"/>
        <v>-7.6123366629446965E-3</v>
      </c>
      <c r="Y79" s="24">
        <v>55</v>
      </c>
      <c r="Z79" s="28">
        <f t="shared" si="50"/>
        <v>43220</v>
      </c>
      <c r="AA79" s="21">
        <f t="array" ref="AA79">PRODUCT(1+O68:O79)-1</f>
        <v>1.2106348624292274E-2</v>
      </c>
      <c r="AB79" s="21">
        <f t="array" ref="AB79">PRODUCT(1+P68:P79)-1</f>
        <v>-2.6197191064677439E-3</v>
      </c>
      <c r="AC79" s="21">
        <f t="array" ref="AC79">PRODUCT(1+Q68:Q79)-1</f>
        <v>4.0802152964669602E-4</v>
      </c>
      <c r="AD79" s="21">
        <f t="array" ref="AD79">PRODUCT(1+R68:R79)-1</f>
        <v>6.4645063080490672E-3</v>
      </c>
      <c r="AE79" s="21">
        <f t="array" ref="AE79">PRODUCT(1+S68:S79)-1</f>
        <v>-1.0097499208610583E-2</v>
      </c>
      <c r="AF79" s="21">
        <f t="array" ref="AF79">PRODUCT(1+T68:T79)-1</f>
        <v>-2.4688879296209665E-3</v>
      </c>
      <c r="AG79" s="21">
        <f t="array" ref="AG79">PRODUCT(1+U68:U79)-1</f>
        <v>7.9810227426997393E-3</v>
      </c>
      <c r="AH79" s="21">
        <f t="array" ref="AH79">PRODUCT(1+V68:V79)-1</f>
        <v>0.11066605150574671</v>
      </c>
      <c r="AI79" s="21">
        <f t="array" ref="AI79">PRODUCT(1+W68:W79)-1</f>
        <v>0.11086206529377929</v>
      </c>
      <c r="AJ79" s="21">
        <f t="array" ref="AJ79">PRODUCT(1+X68:X79)-1</f>
        <v>3.7144794524868185E-2</v>
      </c>
    </row>
    <row r="80" spans="1:36">
      <c r="A80" s="50">
        <v>67</v>
      </c>
      <c r="B80" s="47">
        <v>43251</v>
      </c>
      <c r="C80" s="51">
        <v>1.8946000000000001</v>
      </c>
      <c r="D80" s="52">
        <v>1168.078</v>
      </c>
      <c r="E80" s="52">
        <v>1272.1189999999999</v>
      </c>
      <c r="F80" s="52">
        <v>1695.002</v>
      </c>
      <c r="G80" s="52">
        <v>1577.751</v>
      </c>
      <c r="H80" s="52">
        <v>1499.838</v>
      </c>
      <c r="I80" s="52">
        <v>2834.1790000000001</v>
      </c>
      <c r="J80" s="52">
        <v>2705.27</v>
      </c>
      <c r="K80" s="52">
        <v>2092.92</v>
      </c>
      <c r="L80" s="52">
        <v>1298.51</v>
      </c>
      <c r="M80" s="53"/>
      <c r="N80" s="54">
        <f t="shared" si="52"/>
        <v>43251</v>
      </c>
      <c r="O80" s="37">
        <f t="shared" si="53"/>
        <v>1.4996666666666667E-3</v>
      </c>
      <c r="P80" s="37">
        <f t="shared" si="39"/>
        <v>3.6224225896195339E-3</v>
      </c>
      <c r="Q80" s="37">
        <f t="shared" si="40"/>
        <v>3.5594628303565745E-3</v>
      </c>
      <c r="R80" s="37">
        <f t="shared" si="41"/>
        <v>3.7776342025424015E-3</v>
      </c>
      <c r="S80" s="37">
        <f t="shared" si="42"/>
        <v>9.0818911567323024E-3</v>
      </c>
      <c r="T80" s="37">
        <f t="shared" si="43"/>
        <v>6.2609610427599716E-3</v>
      </c>
      <c r="U80" s="37">
        <f t="shared" si="44"/>
        <v>4.5008293519712694E-3</v>
      </c>
      <c r="V80" s="37">
        <f t="shared" si="45"/>
        <v>2.1608353316591389E-2</v>
      </c>
      <c r="W80" s="37">
        <f t="shared" si="46"/>
        <v>3.0721156380750791E-3</v>
      </c>
      <c r="X80" s="37">
        <f t="shared" si="47"/>
        <v>-1.2832696006507605E-2</v>
      </c>
      <c r="Y80" s="24">
        <v>56</v>
      </c>
      <c r="Z80" s="28">
        <f t="shared" si="50"/>
        <v>43251</v>
      </c>
      <c r="AA80" s="21">
        <f t="array" ref="AA80">PRODUCT(1+O69:O80)-1</f>
        <v>1.2955366997385864E-2</v>
      </c>
      <c r="AB80" s="21">
        <f t="array" ref="AB80">PRODUCT(1+P69:P80)-1</f>
        <v>-1.6348974422886187E-4</v>
      </c>
      <c r="AC80" s="21">
        <f t="array" ref="AC80">PRODUCT(1+Q69:Q80)-1</f>
        <v>2.5234116967456366E-3</v>
      </c>
      <c r="AD80" s="21">
        <f t="array" ref="AD80">PRODUCT(1+R69:R80)-1</f>
        <v>7.513845125986629E-3</v>
      </c>
      <c r="AE80" s="21">
        <f t="array" ref="AE80">PRODUCT(1+S69:S80)-1</f>
        <v>-7.7568180317406643E-3</v>
      </c>
      <c r="AF80" s="21">
        <f t="array" ref="AF80">PRODUCT(1+T69:T80)-1</f>
        <v>-5.8505406752507039E-4</v>
      </c>
      <c r="AG80" s="21">
        <f t="array" ref="AG80">PRODUCT(1+U69:U80)-1</f>
        <v>8.8357535128547049E-4</v>
      </c>
      <c r="AH80" s="21">
        <f t="array" ref="AH80">PRODUCT(1+V69:V80)-1</f>
        <v>0.12168090223069883</v>
      </c>
      <c r="AI80" s="21">
        <f t="array" ref="AI80">PRODUCT(1+W69:W80)-1</f>
        <v>9.477230167282169E-2</v>
      </c>
      <c r="AJ80" s="21">
        <f t="array" ref="AJ80">PRODUCT(1+X69:X80)-1</f>
        <v>2.3319042965671555E-2</v>
      </c>
    </row>
    <row r="81" spans="1:36">
      <c r="A81" s="50">
        <v>68</v>
      </c>
      <c r="B81" s="47">
        <v>43280</v>
      </c>
      <c r="C81" s="51">
        <v>1.9123000000000001</v>
      </c>
      <c r="D81" s="52">
        <v>1168.259</v>
      </c>
      <c r="E81" s="52">
        <v>1272.347</v>
      </c>
      <c r="F81" s="52">
        <v>1694.9749999999999</v>
      </c>
      <c r="G81" s="52">
        <v>1578.2070000000001</v>
      </c>
      <c r="H81" s="52">
        <v>1499.1510000000001</v>
      </c>
      <c r="I81" s="52">
        <v>2818.8879999999999</v>
      </c>
      <c r="J81" s="52">
        <v>2718.37</v>
      </c>
      <c r="K81" s="52">
        <v>2089.3000000000002</v>
      </c>
      <c r="L81" s="52">
        <v>1252.5999999999999</v>
      </c>
      <c r="M81" s="53"/>
      <c r="N81" s="54">
        <f t="shared" si="52"/>
        <v>43280</v>
      </c>
      <c r="O81" s="37">
        <f t="shared" si="53"/>
        <v>1.5788333333333333E-3</v>
      </c>
      <c r="P81" s="37">
        <f t="shared" si="39"/>
        <v>1.5495540537546759E-4</v>
      </c>
      <c r="Q81" s="37">
        <f t="shared" si="40"/>
        <v>1.7922851557128361E-4</v>
      </c>
      <c r="R81" s="37">
        <f t="shared" si="41"/>
        <v>-1.5929184744356562E-5</v>
      </c>
      <c r="S81" s="37">
        <f t="shared" si="42"/>
        <v>2.8901898968847206E-4</v>
      </c>
      <c r="T81" s="37">
        <f t="shared" si="43"/>
        <v>-4.5804946934258073E-4</v>
      </c>
      <c r="U81" s="37">
        <f t="shared" si="44"/>
        <v>-5.3952132169493572E-3</v>
      </c>
      <c r="V81" s="37">
        <f t="shared" si="45"/>
        <v>4.8424002040461378E-3</v>
      </c>
      <c r="W81" s="37">
        <f t="shared" si="46"/>
        <v>-1.7296408845057787E-3</v>
      </c>
      <c r="X81" s="37">
        <f t="shared" si="47"/>
        <v>-3.5355907925237462E-2</v>
      </c>
      <c r="Y81" s="24">
        <v>57</v>
      </c>
      <c r="Z81" s="28">
        <f t="shared" si="50"/>
        <v>43280</v>
      </c>
      <c r="AA81" s="21">
        <f t="array" ref="AA81">PRODUCT(1+O70:O81)-1</f>
        <v>1.373471226954015E-2</v>
      </c>
      <c r="AB81" s="21">
        <f t="array" ref="AB81">PRODUCT(1+P70:P81)-1</f>
        <v>7.9411855410405074E-4</v>
      </c>
      <c r="AC81" s="21">
        <f t="array" ref="AC81">PRODUCT(1+Q70:Q81)-1</f>
        <v>2.9528590943876942E-3</v>
      </c>
      <c r="AD81" s="21">
        <f t="array" ref="AD81">PRODUCT(1+R70:R81)-1</f>
        <v>6.7946274983126109E-3</v>
      </c>
      <c r="AE81" s="21">
        <f t="array" ref="AE81">PRODUCT(1+S70:S81)-1</f>
        <v>-5.9790892485989122E-3</v>
      </c>
      <c r="AF81" s="21">
        <f t="array" ref="AF81">PRODUCT(1+T70:T81)-1</f>
        <v>-4.3672314952736269E-4</v>
      </c>
      <c r="AG81" s="21">
        <f t="array" ref="AG81">PRODUCT(1+U70:U81)-1</f>
        <v>-6.9533640571174393E-3</v>
      </c>
      <c r="AH81" s="21">
        <f t="array" ref="AH81">PRODUCT(1+V70:V81)-1</f>
        <v>0.12171279313034145</v>
      </c>
      <c r="AI81" s="21">
        <f t="array" ref="AI81">PRODUCT(1+W70:W81)-1</f>
        <v>9.0204181733744226E-2</v>
      </c>
      <c r="AJ81" s="21">
        <f t="array" ref="AJ81">PRODUCT(1+X70:X81)-1</f>
        <v>8.8514106684063343E-3</v>
      </c>
    </row>
    <row r="82" spans="1:36">
      <c r="A82" s="50">
        <v>69</v>
      </c>
      <c r="B82" s="47">
        <v>43312</v>
      </c>
      <c r="C82" s="51">
        <v>2.0203000000000002</v>
      </c>
      <c r="D82" s="52">
        <v>1168.2049999999999</v>
      </c>
      <c r="E82" s="52">
        <v>1272.8869999999999</v>
      </c>
      <c r="F82" s="52">
        <v>1698.9159999999999</v>
      </c>
      <c r="G82" s="52">
        <v>1571.0519999999999</v>
      </c>
      <c r="H82" s="52">
        <v>1496.6379999999999</v>
      </c>
      <c r="I82" s="52">
        <v>2839.7710000000002</v>
      </c>
      <c r="J82" s="52">
        <v>2816.29</v>
      </c>
      <c r="K82" s="52">
        <v>2153.1</v>
      </c>
      <c r="L82" s="52">
        <v>1224.1500000000001</v>
      </c>
      <c r="M82" s="53"/>
      <c r="N82" s="54">
        <f t="shared" si="52"/>
        <v>43312</v>
      </c>
      <c r="O82" s="37">
        <f t="shared" si="53"/>
        <v>1.5935833333333334E-3</v>
      </c>
      <c r="P82" s="37">
        <f t="shared" si="39"/>
        <v>-4.6222627003156269E-5</v>
      </c>
      <c r="Q82" s="37">
        <f t="shared" si="40"/>
        <v>4.2441252268443641E-4</v>
      </c>
      <c r="R82" s="37">
        <f t="shared" si="41"/>
        <v>2.3251080399415702E-3</v>
      </c>
      <c r="S82" s="37">
        <f t="shared" si="42"/>
        <v>-4.5336258171457811E-3</v>
      </c>
      <c r="T82" s="37">
        <f t="shared" si="43"/>
        <v>-1.6762821090071656E-3</v>
      </c>
      <c r="U82" s="37">
        <f t="shared" si="44"/>
        <v>7.4082404125315193E-3</v>
      </c>
      <c r="V82" s="37">
        <f t="shared" si="45"/>
        <v>3.6021586465418753E-2</v>
      </c>
      <c r="W82" s="37">
        <f t="shared" si="46"/>
        <v>3.0536543339874545E-2</v>
      </c>
      <c r="X82" s="37">
        <f t="shared" si="47"/>
        <v>-2.2712757464473765E-2</v>
      </c>
      <c r="Y82" s="24">
        <v>58</v>
      </c>
      <c r="Z82" s="28">
        <f t="shared" si="50"/>
        <v>43312</v>
      </c>
      <c r="AA82" s="21">
        <f t="array" ref="AA82">PRODUCT(1+O71:O82)-1</f>
        <v>1.4495217167166397E-2</v>
      </c>
      <c r="AB82" s="21">
        <f t="array" ref="AB82">PRODUCT(1+P71:P82)-1</f>
        <v>-1.378846965938707E-3</v>
      </c>
      <c r="AC82" s="21">
        <f t="array" ref="AC82">PRODUCT(1+Q71:Q82)-1</f>
        <v>1.2569919192249035E-3</v>
      </c>
      <c r="AD82" s="21">
        <f t="array" ref="AD82">PRODUCT(1+R71:R82)-1</f>
        <v>5.1413242962772276E-3</v>
      </c>
      <c r="AE82" s="21">
        <f t="array" ref="AE82">PRODUCT(1+S71:S82)-1</f>
        <v>-1.1987819741226646E-2</v>
      </c>
      <c r="AF82" s="21">
        <f t="array" ref="AF82">PRODUCT(1+T71:T82)-1</f>
        <v>-4.8929618875570569E-3</v>
      </c>
      <c r="AG82" s="21">
        <f t="array" ref="AG82">PRODUCT(1+U71:U82)-1</f>
        <v>-7.0171782397537852E-3</v>
      </c>
      <c r="AH82" s="21">
        <f t="array" ref="AH82">PRODUCT(1+V71:V82)-1</f>
        <v>0.14005991175160948</v>
      </c>
      <c r="AI82" s="21">
        <f t="array" ref="AI82">PRODUCT(1+W71:W82)-1</f>
        <v>9.790423741777543E-2</v>
      </c>
      <c r="AJ82" s="21">
        <f t="array" ref="AJ82">PRODUCT(1+X71:X82)-1</f>
        <v>-3.56771489790777E-2</v>
      </c>
    </row>
    <row r="83" spans="1:36">
      <c r="A83" s="50">
        <v>70</v>
      </c>
      <c r="B83" s="47">
        <v>43343</v>
      </c>
      <c r="C83" s="51">
        <v>2.0937999999999999</v>
      </c>
      <c r="D83" s="52">
        <v>1171.922</v>
      </c>
      <c r="E83" s="52">
        <v>1276.9870000000001</v>
      </c>
      <c r="F83" s="52">
        <v>1705.952</v>
      </c>
      <c r="G83" s="52">
        <v>1583.3219999999999</v>
      </c>
      <c r="H83" s="52">
        <v>1505.1030000000001</v>
      </c>
      <c r="I83" s="52">
        <v>2855.2170000000001</v>
      </c>
      <c r="J83" s="52">
        <v>2901.52</v>
      </c>
      <c r="K83" s="52">
        <v>2175.5</v>
      </c>
      <c r="L83" s="52">
        <v>1201.1500000000001</v>
      </c>
      <c r="M83" s="53"/>
      <c r="N83" s="54">
        <f t="shared" si="52"/>
        <v>43343</v>
      </c>
      <c r="O83" s="37">
        <f t="shared" si="53"/>
        <v>1.6835833333333336E-3</v>
      </c>
      <c r="P83" s="37">
        <f t="shared" si="39"/>
        <v>3.1818045634115499E-3</v>
      </c>
      <c r="Q83" s="37">
        <f t="shared" si="40"/>
        <v>3.2210243328749666E-3</v>
      </c>
      <c r="R83" s="37">
        <f t="shared" si="41"/>
        <v>4.1414643219559455E-3</v>
      </c>
      <c r="S83" s="37">
        <f t="shared" si="42"/>
        <v>7.8100533909761793E-3</v>
      </c>
      <c r="T83" s="37">
        <f t="shared" si="43"/>
        <v>5.6560103378373583E-3</v>
      </c>
      <c r="U83" s="37">
        <f t="shared" si="44"/>
        <v>5.4391709754060269E-3</v>
      </c>
      <c r="V83" s="37">
        <f t="shared" si="45"/>
        <v>3.0263218631604083E-2</v>
      </c>
      <c r="W83" s="37">
        <f t="shared" si="46"/>
        <v>1.0403604105708064E-2</v>
      </c>
      <c r="X83" s="37">
        <f t="shared" si="47"/>
        <v>-1.8788547155168867E-2</v>
      </c>
      <c r="Y83" s="24">
        <v>59</v>
      </c>
      <c r="Z83" s="28">
        <f t="shared" si="50"/>
        <v>43343</v>
      </c>
      <c r="AA83" s="21">
        <f t="array" ref="AA83">PRODUCT(1+O72:O83)-1</f>
        <v>1.5295868332202422E-2</v>
      </c>
      <c r="AB83" s="21">
        <f t="array" ref="AB83">PRODUCT(1+P72:P83)-1</f>
        <v>-9.5560367702640647E-5</v>
      </c>
      <c r="AC83" s="21">
        <f t="array" ref="AC83">PRODUCT(1+Q72:Q83)-1</f>
        <v>2.6790726890839611E-3</v>
      </c>
      <c r="AD83" s="21">
        <f t="array" ref="AD83">PRODUCT(1+R72:R83)-1</f>
        <v>7.2612233667561643E-3</v>
      </c>
      <c r="AE83" s="21">
        <f t="array" ref="AE83">PRODUCT(1+S72:S83)-1</f>
        <v>-1.5403959845606385E-2</v>
      </c>
      <c r="AF83" s="21">
        <f t="array" ref="AF83">PRODUCT(1+T72:T83)-1</f>
        <v>-6.5510340402946676E-3</v>
      </c>
      <c r="AG83" s="21">
        <f t="array" ref="AG83">PRODUCT(1+U72:U83)-1</f>
        <v>-1.000083216021852E-2</v>
      </c>
      <c r="AH83" s="21">
        <f t="array" ref="AH83">PRODUCT(1+V72:V83)-1</f>
        <v>0.17392025569963399</v>
      </c>
      <c r="AI83" s="21">
        <f t="array" ref="AI83">PRODUCT(1+W72:W83)-1</f>
        <v>0.11009623725596263</v>
      </c>
      <c r="AJ83" s="21">
        <f t="array" ref="AJ83">PRODUCT(1+X72:X83)-1</f>
        <v>-9.1022604299887178E-2</v>
      </c>
    </row>
    <row r="84" spans="1:36">
      <c r="A84" s="50">
        <v>71</v>
      </c>
      <c r="B84" s="47">
        <v>43371</v>
      </c>
      <c r="C84" s="51">
        <v>2.1964000000000001</v>
      </c>
      <c r="D84" s="52">
        <v>1170.5350000000001</v>
      </c>
      <c r="E84" s="52">
        <v>1276.4380000000001</v>
      </c>
      <c r="F84" s="52">
        <v>1707.202</v>
      </c>
      <c r="G84" s="52">
        <v>1567.837</v>
      </c>
      <c r="H84" s="52">
        <v>1498.943</v>
      </c>
      <c r="I84" s="52">
        <v>2845.9340000000002</v>
      </c>
      <c r="J84" s="52">
        <v>2913.98</v>
      </c>
      <c r="K84" s="52">
        <v>2184.0100000000002</v>
      </c>
      <c r="L84" s="52">
        <v>1190.8800000000001</v>
      </c>
      <c r="M84" s="53"/>
      <c r="N84" s="54">
        <f t="shared" si="52"/>
        <v>43371</v>
      </c>
      <c r="O84" s="37">
        <f t="shared" si="53"/>
        <v>1.7448333333333333E-3</v>
      </c>
      <c r="P84" s="37">
        <f t="shared" si="39"/>
        <v>-1.1835258660558567E-3</v>
      </c>
      <c r="Q84" s="37">
        <f t="shared" si="40"/>
        <v>-4.2991823722560163E-4</v>
      </c>
      <c r="R84" s="37">
        <f t="shared" si="41"/>
        <v>7.3272870514529131E-4</v>
      </c>
      <c r="S84" s="37">
        <f t="shared" si="42"/>
        <v>-9.780070004711594E-3</v>
      </c>
      <c r="T84" s="37">
        <f t="shared" si="43"/>
        <v>-4.0927431544552917E-3</v>
      </c>
      <c r="U84" s="37">
        <f t="shared" si="44"/>
        <v>-3.2512414993325356E-3</v>
      </c>
      <c r="V84" s="37">
        <f t="shared" si="45"/>
        <v>4.2943009181395375E-3</v>
      </c>
      <c r="W84" s="37">
        <f t="shared" si="46"/>
        <v>3.9117444265686085E-3</v>
      </c>
      <c r="X84" s="37">
        <f t="shared" si="47"/>
        <v>-8.5501394496940719E-3</v>
      </c>
      <c r="Y84" s="24">
        <v>60</v>
      </c>
      <c r="Z84" s="28">
        <f t="shared" si="50"/>
        <v>43371</v>
      </c>
      <c r="AA84" s="21">
        <f t="array" ref="AA84">PRODUCT(1+O73:O84)-1</f>
        <v>1.6228155321527549E-2</v>
      </c>
      <c r="AB84" s="21">
        <f t="array" ref="AB84">PRODUCT(1+P73:P84)-1</f>
        <v>3.5808415575866448E-4</v>
      </c>
      <c r="AC84" s="21">
        <f t="array" ref="AC84">PRODUCT(1+Q73:Q84)-1</f>
        <v>3.3698829777280004E-3</v>
      </c>
      <c r="AD84" s="21">
        <f t="array" ref="AD84">PRODUCT(1+R73:R84)-1</f>
        <v>7.8820392112410875E-3</v>
      </c>
      <c r="AE84" s="21">
        <f t="array" ref="AE84">PRODUCT(1+S73:S84)-1</f>
        <v>-1.6382571598858475E-2</v>
      </c>
      <c r="AF84" s="21">
        <f t="array" ref="AF84">PRODUCT(1+T73:T84)-1</f>
        <v>-5.6248349831696798E-3</v>
      </c>
      <c r="AG84" s="21">
        <f t="array" ref="AG84">PRODUCT(1+U73:U84)-1</f>
        <v>-1.0962377470826623E-2</v>
      </c>
      <c r="AH84" s="21">
        <f t="array" ref="AH84">PRODUCT(1+V73:V84)-1</f>
        <v>0.15663501841737659</v>
      </c>
      <c r="AI84" s="21">
        <f t="array" ref="AI84">PRODUCT(1+W73:W84)-1</f>
        <v>9.1704781185174333E-2</v>
      </c>
      <c r="AJ84" s="21">
        <f t="array" ref="AJ84">PRODUCT(1+X73:X84)-1</f>
        <v>-6.9443250634889431E-2</v>
      </c>
    </row>
    <row r="85" spans="1:36">
      <c r="A85" s="50">
        <v>72</v>
      </c>
      <c r="B85" s="47">
        <v>43404</v>
      </c>
      <c r="C85" s="51">
        <v>2.3250999999999999</v>
      </c>
      <c r="D85" s="52">
        <v>1172.31</v>
      </c>
      <c r="E85" s="52">
        <v>1278.0160000000001</v>
      </c>
      <c r="F85" s="52">
        <v>1707.567</v>
      </c>
      <c r="G85" s="52">
        <v>1559.5730000000001</v>
      </c>
      <c r="H85" s="52">
        <v>1497.0329999999999</v>
      </c>
      <c r="I85" s="52">
        <v>2807.4760000000001</v>
      </c>
      <c r="J85" s="52">
        <v>2711.74</v>
      </c>
      <c r="K85" s="52">
        <v>2021.98</v>
      </c>
      <c r="L85" s="52">
        <v>1214.76</v>
      </c>
      <c r="M85" s="53"/>
      <c r="N85" s="54">
        <f t="shared" si="52"/>
        <v>43404</v>
      </c>
      <c r="O85" s="37">
        <f t="shared" si="53"/>
        <v>1.8303333333333333E-3</v>
      </c>
      <c r="P85" s="37">
        <f t="shared" ref="P85:P144" si="54">D85/D84-1</f>
        <v>1.5164006202290636E-3</v>
      </c>
      <c r="Q85" s="37">
        <f t="shared" ref="Q85:Q144" si="55">E85/E84-1</f>
        <v>1.2362527596325723E-3</v>
      </c>
      <c r="R85" s="37">
        <f t="shared" ref="R85:R144" si="56">F85/F84-1</f>
        <v>2.1380012441407636E-4</v>
      </c>
      <c r="S85" s="37">
        <f t="shared" ref="S85:S144" si="57">G85/G84-1</f>
        <v>-5.2709561006659689E-3</v>
      </c>
      <c r="T85" s="37">
        <f t="shared" ref="T85:T144" si="58">H85/H84-1</f>
        <v>-1.2742312416149648E-3</v>
      </c>
      <c r="U85" s="37">
        <f t="shared" ref="U85:U144" si="59">I85/I84-1</f>
        <v>-1.3513314082477024E-2</v>
      </c>
      <c r="V85" s="37">
        <f t="shared" ref="V85:V144" si="60">J85/J84-1</f>
        <v>-6.9403358979814644E-2</v>
      </c>
      <c r="W85" s="37">
        <f t="shared" ref="W85:W144" si="61">K85/K84-1</f>
        <v>-7.4189220745326301E-2</v>
      </c>
      <c r="X85" s="37">
        <f t="shared" ref="X85:X144" si="62">L85/L84-1</f>
        <v>2.0052398226521495E-2</v>
      </c>
      <c r="Y85" s="24">
        <v>61</v>
      </c>
      <c r="Z85" s="28">
        <f t="shared" si="50"/>
        <v>43404</v>
      </c>
      <c r="AA85" s="21">
        <f t="array" ref="AA85">PRODUCT(1+O74:O85)-1</f>
        <v>1.7206189055391619E-2</v>
      </c>
      <c r="AB85" s="21">
        <f t="array" ref="AB85">PRODUCT(1+P74:P85)-1</f>
        <v>2.48416929977191E-3</v>
      </c>
      <c r="AC85" s="21">
        <f t="array" ref="AC85">PRODUCT(1+Q74:Q85)-1</f>
        <v>4.8575368875594105E-3</v>
      </c>
      <c r="AD85" s="21">
        <f t="array" ref="AD85">PRODUCT(1+R74:R85)-1</f>
        <v>7.2127167486857324E-3</v>
      </c>
      <c r="AE85" s="21">
        <f t="array" ref="AE85">PRODUCT(1+S74:S85)-1</f>
        <v>-2.049177239040334E-2</v>
      </c>
      <c r="AF85" s="21">
        <f t="array" ref="AF85">PRODUCT(1+T74:T85)-1</f>
        <v>-7.0888446867822807E-3</v>
      </c>
      <c r="AG85" s="21">
        <f t="array" ref="AG85">PRODUCT(1+U74:U85)-1</f>
        <v>-2.8249369784475231E-2</v>
      </c>
      <c r="AH85" s="21">
        <f t="array" ref="AH85">PRODUCT(1+V74:V85)-1</f>
        <v>5.2996590635508989E-2</v>
      </c>
      <c r="AI85" s="21">
        <f t="array" ref="AI85">PRODUCT(1+W74:W85)-1</f>
        <v>-7.276119402985004E-3</v>
      </c>
      <c r="AJ85" s="21">
        <f t="array" ref="AJ85">PRODUCT(1+X74:X85)-1</f>
        <v>-4.4594403284413109E-2</v>
      </c>
    </row>
    <row r="86" spans="1:36">
      <c r="A86" s="50">
        <v>73</v>
      </c>
      <c r="B86" s="47">
        <v>43434</v>
      </c>
      <c r="C86" s="51">
        <v>2.3424</v>
      </c>
      <c r="D86" s="52">
        <v>1176.3720000000001</v>
      </c>
      <c r="E86" s="52">
        <v>1282.606</v>
      </c>
      <c r="F86" s="52">
        <v>1709.046</v>
      </c>
      <c r="G86" s="52">
        <v>1573.614</v>
      </c>
      <c r="H86" s="52">
        <v>1506.4849999999999</v>
      </c>
      <c r="I86" s="52">
        <v>2802.1210000000001</v>
      </c>
      <c r="J86" s="52">
        <v>2760.17</v>
      </c>
      <c r="K86" s="52">
        <v>2041.36</v>
      </c>
      <c r="L86" s="52">
        <v>1220.52</v>
      </c>
      <c r="M86" s="53"/>
      <c r="N86" s="54">
        <f t="shared" si="52"/>
        <v>43434</v>
      </c>
      <c r="O86" s="37">
        <f t="shared" si="53"/>
        <v>1.9375833333333333E-3</v>
      </c>
      <c r="P86" s="37">
        <f t="shared" si="54"/>
        <v>3.4649538091462428E-3</v>
      </c>
      <c r="Q86" s="37">
        <f t="shared" si="55"/>
        <v>3.5915043317140682E-3</v>
      </c>
      <c r="R86" s="37">
        <f t="shared" si="56"/>
        <v>8.6614463737011427E-4</v>
      </c>
      <c r="S86" s="37">
        <f t="shared" si="57"/>
        <v>9.0031053371659731E-3</v>
      </c>
      <c r="T86" s="37">
        <f t="shared" si="58"/>
        <v>6.3138220733944816E-3</v>
      </c>
      <c r="U86" s="37">
        <f t="shared" si="59"/>
        <v>-1.9074072227153183E-3</v>
      </c>
      <c r="V86" s="37">
        <f t="shared" si="60"/>
        <v>1.785938179914015E-2</v>
      </c>
      <c r="W86" s="37">
        <f t="shared" si="61"/>
        <v>9.5846645367412275E-3</v>
      </c>
      <c r="X86" s="37">
        <f t="shared" si="62"/>
        <v>4.7416773683690572E-3</v>
      </c>
      <c r="Y86" s="24">
        <v>62</v>
      </c>
      <c r="Z86" s="28">
        <f t="shared" si="50"/>
        <v>43434</v>
      </c>
      <c r="AA86" s="21">
        <f t="array" ref="AA86">PRODUCT(1+O75:O86)-1</f>
        <v>1.8217271332758855E-2</v>
      </c>
      <c r="AB86" s="21">
        <f t="array" ref="AB86">PRODUCT(1+P75:P86)-1</f>
        <v>7.9885249034103989E-3</v>
      </c>
      <c r="AC86" s="21">
        <f t="array" ref="AC86">PRODUCT(1+Q75:Q86)-1</f>
        <v>1.0358767850165318E-2</v>
      </c>
      <c r="AD86" s="21">
        <f t="array" ref="AD86">PRODUCT(1+R75:R86)-1</f>
        <v>1.0263146072197804E-2</v>
      </c>
      <c r="AE86" s="21">
        <f t="array" ref="AE86">PRODUCT(1+S75:S86)-1</f>
        <v>-1.0473070908129656E-2</v>
      </c>
      <c r="AF86" s="21">
        <f t="array" ref="AF86">PRODUCT(1+T75:T86)-1</f>
        <v>7.8588881168051294E-4</v>
      </c>
      <c r="AG86" s="21">
        <f t="array" ref="AG86">PRODUCT(1+U75:U86)-1</f>
        <v>-2.8739339384097451E-2</v>
      </c>
      <c r="AH86" s="21">
        <f t="array" ref="AH86">PRODUCT(1+V75:V86)-1</f>
        <v>4.2525627176516645E-2</v>
      </c>
      <c r="AI86" s="21">
        <f t="array" ref="AI86">PRODUCT(1+W75:W86)-1</f>
        <v>-1.7329687680517347E-2</v>
      </c>
      <c r="AJ86" s="21">
        <f t="array" ref="AJ86">PRODUCT(1+X75:X86)-1</f>
        <v>-4.2736919710433696E-2</v>
      </c>
    </row>
    <row r="87" spans="1:36">
      <c r="A87" s="50">
        <v>74</v>
      </c>
      <c r="B87" s="47">
        <v>43465</v>
      </c>
      <c r="C87" s="51">
        <v>2.3549000000000002</v>
      </c>
      <c r="D87" s="52">
        <v>1185.6610000000001</v>
      </c>
      <c r="E87" s="52">
        <v>1292.3150000000001</v>
      </c>
      <c r="F87" s="52">
        <v>1720.972</v>
      </c>
      <c r="G87" s="52">
        <v>1608.5429999999999</v>
      </c>
      <c r="H87" s="52">
        <v>1528.1279999999999</v>
      </c>
      <c r="I87" s="52">
        <v>2844.1840000000002</v>
      </c>
      <c r="J87" s="52">
        <v>2506.85</v>
      </c>
      <c r="K87" s="52">
        <v>1883.9</v>
      </c>
      <c r="L87" s="52">
        <v>1282.49</v>
      </c>
      <c r="M87" s="53"/>
      <c r="N87" s="54">
        <f t="shared" si="52"/>
        <v>43465</v>
      </c>
      <c r="O87" s="37">
        <f t="shared" si="53"/>
        <v>1.952E-3</v>
      </c>
      <c r="P87" s="37">
        <f t="shared" si="54"/>
        <v>7.896311710921422E-3</v>
      </c>
      <c r="Q87" s="37">
        <f t="shared" si="55"/>
        <v>7.5697447228533221E-3</v>
      </c>
      <c r="R87" s="37">
        <f t="shared" si="56"/>
        <v>6.9781620857483073E-3</v>
      </c>
      <c r="S87" s="37">
        <f t="shared" si="57"/>
        <v>2.219667593196295E-2</v>
      </c>
      <c r="T87" s="37">
        <f t="shared" si="58"/>
        <v>1.4366555259428315E-2</v>
      </c>
      <c r="U87" s="37">
        <f t="shared" si="59"/>
        <v>1.5011129069729678E-2</v>
      </c>
      <c r="V87" s="37">
        <f t="shared" si="60"/>
        <v>-9.1776955767217339E-2</v>
      </c>
      <c r="W87" s="37">
        <f t="shared" si="61"/>
        <v>-7.7134851275620031E-2</v>
      </c>
      <c r="X87" s="37">
        <f t="shared" si="62"/>
        <v>5.0773440828499439E-2</v>
      </c>
      <c r="Y87" s="24">
        <v>63</v>
      </c>
      <c r="Z87" s="28">
        <f t="shared" si="50"/>
        <v>43465</v>
      </c>
      <c r="AA87" s="21">
        <f t="array" ref="AA87">PRODUCT(1+O76:O87)-1</f>
        <v>1.9138133533302071E-2</v>
      </c>
      <c r="AB87" s="21">
        <f t="array" ref="AB87">PRODUCT(1+P76:P87)-1</f>
        <v>1.5826057305201147E-2</v>
      </c>
      <c r="AC87" s="21">
        <f t="array" ref="AC87">PRODUCT(1+Q76:Q87)-1</f>
        <v>1.7790452428318781E-2</v>
      </c>
      <c r="AD87" s="21">
        <f t="array" ref="AD87">PRODUCT(1+R76:R87)-1</f>
        <v>1.6217824904178224E-2</v>
      </c>
      <c r="AE87" s="21">
        <f t="array" ref="AE87">PRODUCT(1+S76:S87)-1</f>
        <v>8.0023913175619743E-3</v>
      </c>
      <c r="AF87" s="21">
        <f t="array" ref="AF87">PRODUCT(1+T76:T87)-1</f>
        <v>1.3689633967963966E-2</v>
      </c>
      <c r="AG87" s="21">
        <f t="array" ref="AG87">PRODUCT(1+U76:U87)-1</f>
        <v>-2.249524597054553E-2</v>
      </c>
      <c r="AH87" s="21">
        <f t="array" ref="AH87">PRODUCT(1+V76:V87)-1</f>
        <v>-6.2372597349650616E-2</v>
      </c>
      <c r="AI87" s="21">
        <f t="array" ref="AI87">PRODUCT(1+W76:W87)-1</f>
        <v>-0.10437614395398009</v>
      </c>
      <c r="AJ87" s="21">
        <f t="array" ref="AJ87">PRODUCT(1+X76:X87)-1</f>
        <v>-1.5589499539452989E-2</v>
      </c>
    </row>
    <row r="88" spans="1:36">
      <c r="A88" s="50">
        <v>75</v>
      </c>
      <c r="B88" s="47">
        <v>43496</v>
      </c>
      <c r="C88" s="51">
        <v>2.3839000000000001</v>
      </c>
      <c r="D88" s="52">
        <v>1188.854</v>
      </c>
      <c r="E88" s="52">
        <v>1295.913</v>
      </c>
      <c r="F88" s="52">
        <v>1733.066</v>
      </c>
      <c r="G88" s="52">
        <v>1616.0540000000001</v>
      </c>
      <c r="H88" s="52">
        <v>1533.816</v>
      </c>
      <c r="I88" s="52">
        <v>2903.7190000000001</v>
      </c>
      <c r="J88" s="52">
        <v>2704.1</v>
      </c>
      <c r="K88" s="52">
        <v>2028.49</v>
      </c>
      <c r="L88" s="52">
        <v>1321.25</v>
      </c>
      <c r="M88" s="53"/>
      <c r="N88" s="54">
        <f t="shared" si="52"/>
        <v>43496</v>
      </c>
      <c r="O88" s="37">
        <f t="shared" si="53"/>
        <v>1.962416666666667E-3</v>
      </c>
      <c r="P88" s="37">
        <f t="shared" si="54"/>
        <v>2.693012589601862E-3</v>
      </c>
      <c r="Q88" s="37">
        <f t="shared" si="55"/>
        <v>2.7841509229560302E-3</v>
      </c>
      <c r="R88" s="37">
        <f t="shared" si="56"/>
        <v>7.0274240371139829E-3</v>
      </c>
      <c r="S88" s="37">
        <f t="shared" si="57"/>
        <v>4.6694430922893382E-3</v>
      </c>
      <c r="T88" s="37">
        <f t="shared" si="58"/>
        <v>3.7222012815680827E-3</v>
      </c>
      <c r="U88" s="37">
        <f t="shared" si="59"/>
        <v>2.0932190041150545E-2</v>
      </c>
      <c r="V88" s="37">
        <f t="shared" si="60"/>
        <v>7.8684404731036883E-2</v>
      </c>
      <c r="W88" s="37">
        <f t="shared" si="61"/>
        <v>7.6750358299272792E-2</v>
      </c>
      <c r="X88" s="37">
        <f t="shared" si="62"/>
        <v>3.0222457874915287E-2</v>
      </c>
      <c r="Y88" s="24">
        <v>64</v>
      </c>
      <c r="Z88" s="28">
        <f t="shared" si="50"/>
        <v>43496</v>
      </c>
      <c r="AA88" s="21">
        <f t="array" ref="AA88">PRODUCT(1+O77:O88)-1</f>
        <v>1.9968797962719442E-2</v>
      </c>
      <c r="AB88" s="21">
        <f t="array" ref="AB88">PRODUCT(1+P77:P88)-1</f>
        <v>2.1497911214142462E-2</v>
      </c>
      <c r="AC88" s="21">
        <f t="array" ref="AC88">PRODUCT(1+Q77:Q88)-1</f>
        <v>2.2933078635366089E-2</v>
      </c>
      <c r="AD88" s="21">
        <f t="array" ref="AD88">PRODUCT(1+R77:R88)-1</f>
        <v>2.5141935048818009E-2</v>
      </c>
      <c r="AE88" s="21">
        <f t="array" ref="AE88">PRODUCT(1+S77:S88)-1</f>
        <v>2.7046127193124825E-2</v>
      </c>
      <c r="AF88" s="21">
        <f t="array" ref="AF88">PRODUCT(1+T77:T88)-1</f>
        <v>2.5595488443281633E-2</v>
      </c>
      <c r="AG88" s="21">
        <f t="array" ref="AG88">PRODUCT(1+U77:U88)-1</f>
        <v>7.2746559879670603E-3</v>
      </c>
      <c r="AH88" s="21">
        <f t="array" ref="AH88">PRODUCT(1+V77:V88)-1</f>
        <v>-4.2393078854455424E-2</v>
      </c>
      <c r="AI88" s="21">
        <f t="array" ref="AI88">PRODUCT(1+W77:W88)-1</f>
        <v>-8.3474905568306723E-2</v>
      </c>
      <c r="AJ88" s="21">
        <f t="array" ref="AJ88">PRODUCT(1+X77:X88)-1</f>
        <v>-1.7760233135584058E-2</v>
      </c>
    </row>
    <row r="89" spans="1:36">
      <c r="A89" s="50">
        <v>76</v>
      </c>
      <c r="B89" s="47">
        <v>43524</v>
      </c>
      <c r="C89" s="51">
        <v>2.4325999999999999</v>
      </c>
      <c r="D89" s="52">
        <v>1190.049</v>
      </c>
      <c r="E89" s="52">
        <v>1297.5429999999999</v>
      </c>
      <c r="F89" s="52">
        <v>1739.1420000000001</v>
      </c>
      <c r="G89" s="52">
        <v>1611.569</v>
      </c>
      <c r="H89" s="52">
        <v>1534.3610000000001</v>
      </c>
      <c r="I89" s="52">
        <v>2914.16</v>
      </c>
      <c r="J89" s="52">
        <v>2784.49</v>
      </c>
      <c r="K89" s="52">
        <v>2085.84</v>
      </c>
      <c r="L89" s="52">
        <v>1313.32</v>
      </c>
      <c r="M89" s="53"/>
      <c r="N89" s="54">
        <f t="shared" si="52"/>
        <v>43524</v>
      </c>
      <c r="O89" s="37">
        <f t="shared" si="53"/>
        <v>1.9865833333333333E-3</v>
      </c>
      <c r="P89" s="37">
        <f t="shared" si="54"/>
        <v>1.0051696844186608E-3</v>
      </c>
      <c r="Q89" s="37">
        <f t="shared" si="55"/>
        <v>1.2578004850634095E-3</v>
      </c>
      <c r="R89" s="37">
        <f t="shared" si="56"/>
        <v>3.5059253369462695E-3</v>
      </c>
      <c r="S89" s="37">
        <f t="shared" si="57"/>
        <v>-2.7752785488605047E-3</v>
      </c>
      <c r="T89" s="37">
        <f t="shared" si="58"/>
        <v>3.5532293312900975E-4</v>
      </c>
      <c r="U89" s="37">
        <f t="shared" si="59"/>
        <v>3.595733609209395E-3</v>
      </c>
      <c r="V89" s="37">
        <f t="shared" si="60"/>
        <v>2.9728930143116061E-2</v>
      </c>
      <c r="W89" s="37">
        <f t="shared" si="61"/>
        <v>2.8272261633037532E-2</v>
      </c>
      <c r="X89" s="37">
        <f t="shared" si="62"/>
        <v>-6.0018921475875064E-3</v>
      </c>
      <c r="Y89" s="24">
        <v>65</v>
      </c>
      <c r="Z89" s="28">
        <f t="shared" si="50"/>
        <v>43524</v>
      </c>
      <c r="AA89" s="21">
        <f t="array" ref="AA89">PRODUCT(1+O78:O89)-1</f>
        <v>2.075729769071355E-2</v>
      </c>
      <c r="AB89" s="21">
        <f t="array" ref="AB89">PRODUCT(1+P78:P89)-1</f>
        <v>2.2913171140939603E-2</v>
      </c>
      <c r="AC89" s="21">
        <f t="array" ref="AC89">PRODUCT(1+Q78:Q89)-1</f>
        <v>2.4201938302067294E-2</v>
      </c>
      <c r="AD89" s="21">
        <f t="array" ref="AD89">PRODUCT(1+R78:R89)-1</f>
        <v>3.1070085105247447E-2</v>
      </c>
      <c r="AE89" s="21">
        <f t="array" ref="AE89">PRODUCT(1+S78:S89)-1</f>
        <v>3.2326481771874027E-2</v>
      </c>
      <c r="AF89" s="21">
        <f t="array" ref="AF89">PRODUCT(1+T78:T89)-1</f>
        <v>2.9091487109872416E-2</v>
      </c>
      <c r="AG89" s="21">
        <f t="array" ref="AG89">PRODUCT(1+U78:U89)-1</f>
        <v>2.6253966655268357E-2</v>
      </c>
      <c r="AH89" s="21">
        <f t="array" ref="AH89">PRODUCT(1+V78:V89)-1</f>
        <v>2.6037003054723895E-2</v>
      </c>
      <c r="AI89" s="21">
        <f t="array" ref="AI89">PRODUCT(1+W78:W89)-1</f>
        <v>-1.517948621098264E-2</v>
      </c>
      <c r="AJ89" s="21">
        <f t="array" ref="AJ89">PRODUCT(1+X78:X89)-1</f>
        <v>-3.7851491682531213E-3</v>
      </c>
    </row>
    <row r="90" spans="1:36">
      <c r="A90" s="50">
        <v>77</v>
      </c>
      <c r="B90" s="47">
        <v>43553</v>
      </c>
      <c r="C90" s="51">
        <v>2.3809</v>
      </c>
      <c r="D90" s="52">
        <v>1197.325</v>
      </c>
      <c r="E90" s="52">
        <v>1304.81</v>
      </c>
      <c r="F90" s="52">
        <v>1752.7180000000001</v>
      </c>
      <c r="G90" s="52">
        <v>1643.5930000000001</v>
      </c>
      <c r="H90" s="52">
        <v>1556.0260000000001</v>
      </c>
      <c r="I90" s="52">
        <v>2986.7150000000001</v>
      </c>
      <c r="J90" s="52">
        <v>2834.4</v>
      </c>
      <c r="K90" s="52">
        <v>2107.7399999999998</v>
      </c>
      <c r="L90" s="52">
        <v>1292.3800000000001</v>
      </c>
      <c r="M90" s="53"/>
      <c r="N90" s="54">
        <f t="shared" si="52"/>
        <v>43553</v>
      </c>
      <c r="O90" s="37">
        <f t="shared" si="53"/>
        <v>2.0271666666666667E-3</v>
      </c>
      <c r="P90" s="37">
        <f t="shared" si="54"/>
        <v>6.1140339599461413E-3</v>
      </c>
      <c r="Q90" s="37">
        <f t="shared" si="55"/>
        <v>5.6005851058500422E-3</v>
      </c>
      <c r="R90" s="37">
        <f t="shared" si="56"/>
        <v>7.8061480891151724E-3</v>
      </c>
      <c r="S90" s="37">
        <f t="shared" si="57"/>
        <v>1.9871317951636103E-2</v>
      </c>
      <c r="T90" s="37">
        <f t="shared" si="58"/>
        <v>1.4119884433976049E-2</v>
      </c>
      <c r="U90" s="37">
        <f t="shared" si="59"/>
        <v>2.4897397534795696E-2</v>
      </c>
      <c r="V90" s="37">
        <f t="shared" si="60"/>
        <v>1.7924287751078349E-2</v>
      </c>
      <c r="W90" s="37">
        <f t="shared" si="61"/>
        <v>1.0499367161431294E-2</v>
      </c>
      <c r="X90" s="37">
        <f t="shared" si="62"/>
        <v>-1.5944324307860858E-2</v>
      </c>
      <c r="Y90" s="24">
        <v>66</v>
      </c>
      <c r="Z90" s="28">
        <f t="shared" ref="Z90:Z144" si="63">N90</f>
        <v>43553</v>
      </c>
      <c r="AA90" s="21">
        <f t="array" ref="AA90">PRODUCT(1+O79:O90)-1</f>
        <v>2.1420557462002776E-2</v>
      </c>
      <c r="AB90" s="21">
        <f t="array" ref="AB90">PRODUCT(1+P79:P90)-1</f>
        <v>2.715341266375737E-2</v>
      </c>
      <c r="AC90" s="21">
        <f t="array" ref="AC90">PRODUCT(1+Q79:Q90)-1</f>
        <v>2.7876444652412458E-2</v>
      </c>
      <c r="AD90" s="21">
        <f t="array" ref="AD90">PRODUCT(1+R79:R90)-1</f>
        <v>3.8923518658583012E-2</v>
      </c>
      <c r="AE90" s="21">
        <f t="array" ref="AE90">PRODUCT(1+S79:S90)-1</f>
        <v>4.2541004715431319E-2</v>
      </c>
      <c r="AF90" s="21">
        <f t="array" ref="AF90">PRODUCT(1+T79:T90)-1</f>
        <v>3.7746393958229429E-2</v>
      </c>
      <c r="AG90" s="21">
        <f t="array" ref="AG90">PRODUCT(1+U79:U90)-1</f>
        <v>4.9548180334291869E-2</v>
      </c>
      <c r="AH90" s="21">
        <f t="array" ref="AH90">PRODUCT(1+V79:V90)-1</f>
        <v>7.3282668211612556E-2</v>
      </c>
      <c r="AI90" s="21">
        <f t="array" ref="AI90">PRODUCT(1+W79:W90)-1</f>
        <v>1.9788662886338848E-2</v>
      </c>
      <c r="AJ90" s="21">
        <f t="array" ref="AJ90">PRODUCT(1+X79:X90)-1</f>
        <v>-2.4972085584090031E-2</v>
      </c>
    </row>
    <row r="91" spans="1:36">
      <c r="A91" s="50">
        <v>78</v>
      </c>
      <c r="B91" s="47">
        <v>43585</v>
      </c>
      <c r="C91" s="51">
        <v>2.4098999999999999</v>
      </c>
      <c r="D91" s="52">
        <v>1199.758</v>
      </c>
      <c r="E91" s="52">
        <v>1307.51</v>
      </c>
      <c r="F91" s="52">
        <v>1758.424</v>
      </c>
      <c r="G91" s="52">
        <v>1638.2750000000001</v>
      </c>
      <c r="H91" s="52">
        <v>1556.059</v>
      </c>
      <c r="I91" s="52">
        <v>3003.346</v>
      </c>
      <c r="J91" s="52">
        <v>2945.83</v>
      </c>
      <c r="K91" s="52">
        <v>2178.67</v>
      </c>
      <c r="L91" s="52">
        <v>1283.53</v>
      </c>
      <c r="M91" s="53"/>
      <c r="N91" s="54">
        <f t="shared" si="52"/>
        <v>43585</v>
      </c>
      <c r="O91" s="37">
        <f t="shared" si="53"/>
        <v>1.9840833333333334E-3</v>
      </c>
      <c r="P91" s="37">
        <f t="shared" si="54"/>
        <v>2.032029732946361E-3</v>
      </c>
      <c r="Q91" s="37">
        <f t="shared" si="55"/>
        <v>2.0692667898007944E-3</v>
      </c>
      <c r="R91" s="37">
        <f t="shared" si="56"/>
        <v>3.2555151484721101E-3</v>
      </c>
      <c r="S91" s="37">
        <f t="shared" si="57"/>
        <v>-3.235594213409243E-3</v>
      </c>
      <c r="T91" s="37">
        <f t="shared" si="58"/>
        <v>2.1207871847783721E-5</v>
      </c>
      <c r="U91" s="37">
        <f t="shared" si="59"/>
        <v>5.5683250661680006E-3</v>
      </c>
      <c r="V91" s="37">
        <f t="shared" si="60"/>
        <v>3.9313434942139347E-2</v>
      </c>
      <c r="W91" s="37">
        <f t="shared" si="61"/>
        <v>3.3652158235835783E-2</v>
      </c>
      <c r="X91" s="37">
        <f t="shared" si="62"/>
        <v>-6.8478311332581532E-3</v>
      </c>
      <c r="Y91" s="24">
        <v>67</v>
      </c>
      <c r="Z91" s="28">
        <f t="shared" si="63"/>
        <v>43585</v>
      </c>
      <c r="AA91" s="21">
        <f t="array" ref="AA91">PRODUCT(1+O80:O91)-1</f>
        <v>2.1999223566399495E-2</v>
      </c>
      <c r="AB91" s="21">
        <f t="array" ref="AB91">PRODUCT(1+P80:P91)-1</f>
        <v>3.0842144515415448E-2</v>
      </c>
      <c r="AC91" s="21">
        <f t="array" ref="AC91">PRODUCT(1+Q80:Q91)-1</f>
        <v>3.147899940596699E-2</v>
      </c>
      <c r="AD91" s="21">
        <f t="array" ref="AD91">PRODUCT(1+R80:R91)-1</f>
        <v>4.1336047181638191E-2</v>
      </c>
      <c r="AE91" s="21">
        <f t="array" ref="AE91">PRODUCT(1+S80:S91)-1</f>
        <v>4.7791213718004766E-2</v>
      </c>
      <c r="AF91" s="21">
        <f t="array" ref="AF91">PRODUCT(1+T80:T91)-1</f>
        <v>4.3980366399061666E-2</v>
      </c>
      <c r="AG91" s="21">
        <f t="array" ref="AG91">PRODUCT(1+U80:U91)-1</f>
        <v>6.4457660518592919E-2</v>
      </c>
      <c r="AH91" s="21">
        <f t="array" ref="AH91">PRODUCT(1+V80:V91)-1</f>
        <v>0.11245255943052435</v>
      </c>
      <c r="AI91" s="21">
        <f t="array" ref="AI91">PRODUCT(1+W80:W91)-1</f>
        <v>4.4169450421997158E-2</v>
      </c>
      <c r="AJ91" s="21">
        <f t="array" ref="AJ91">PRODUCT(1+X80:X91)-1</f>
        <v>-2.4220953481476681E-2</v>
      </c>
    </row>
    <row r="92" spans="1:36">
      <c r="A92" s="50">
        <v>79</v>
      </c>
      <c r="B92" s="47">
        <v>43616</v>
      </c>
      <c r="C92" s="51">
        <v>2.3399000000000001</v>
      </c>
      <c r="D92" s="52">
        <v>1208.2729999999999</v>
      </c>
      <c r="E92" s="52">
        <v>1316.1990000000001</v>
      </c>
      <c r="F92" s="52">
        <v>1768.2449999999999</v>
      </c>
      <c r="G92" s="52">
        <v>1678.299</v>
      </c>
      <c r="H92" s="52">
        <v>1580.85</v>
      </c>
      <c r="I92" s="52">
        <v>3046.4340000000002</v>
      </c>
      <c r="J92" s="52">
        <v>2752.06</v>
      </c>
      <c r="K92" s="52">
        <v>2046.25</v>
      </c>
      <c r="L92" s="52">
        <v>1305.58</v>
      </c>
      <c r="M92" s="53"/>
      <c r="N92" s="54">
        <f t="shared" si="52"/>
        <v>43616</v>
      </c>
      <c r="O92" s="37">
        <f t="shared" si="53"/>
        <v>2.0082500000000001E-3</v>
      </c>
      <c r="P92" s="37">
        <f t="shared" si="54"/>
        <v>7.0972646150306851E-3</v>
      </c>
      <c r="Q92" s="37">
        <f t="shared" si="55"/>
        <v>6.6454558664943431E-3</v>
      </c>
      <c r="R92" s="37">
        <f t="shared" si="56"/>
        <v>5.5851148528454075E-3</v>
      </c>
      <c r="S92" s="37">
        <f t="shared" si="57"/>
        <v>2.4430574842440933E-2</v>
      </c>
      <c r="T92" s="37">
        <f t="shared" si="58"/>
        <v>1.5931915178023504E-2</v>
      </c>
      <c r="U92" s="37">
        <f t="shared" si="59"/>
        <v>1.4346665352576782E-2</v>
      </c>
      <c r="V92" s="37">
        <f t="shared" si="60"/>
        <v>-6.5777726481161536E-2</v>
      </c>
      <c r="W92" s="37">
        <f t="shared" si="61"/>
        <v>-6.0780200764686709E-2</v>
      </c>
      <c r="X92" s="37">
        <f t="shared" si="62"/>
        <v>1.7179185527412599E-2</v>
      </c>
      <c r="Y92" s="24">
        <v>68</v>
      </c>
      <c r="Z92" s="28">
        <f t="shared" si="63"/>
        <v>43616</v>
      </c>
      <c r="AA92" s="21">
        <f t="array" ref="AA92">PRODUCT(1+O81:O92)-1</f>
        <v>2.2518217021001208E-2</v>
      </c>
      <c r="AB92" s="21">
        <f t="array" ref="AB92">PRODUCT(1+P81:P92)-1</f>
        <v>3.4411229387079079E-2</v>
      </c>
      <c r="AC92" s="21">
        <f t="array" ref="AC92">PRODUCT(1+Q81:Q92)-1</f>
        <v>3.4650846343777575E-2</v>
      </c>
      <c r="AD92" s="21">
        <f t="array" ref="AD92">PRODUCT(1+R81:R92)-1</f>
        <v>4.3211158452910237E-2</v>
      </c>
      <c r="AE92" s="21">
        <f t="array" ref="AE92">PRODUCT(1+S81:S92)-1</f>
        <v>6.372868722631142E-2</v>
      </c>
      <c r="AF92" s="21">
        <f t="array" ref="AF92">PRODUCT(1+T81:T92)-1</f>
        <v>5.4013833494017005E-2</v>
      </c>
      <c r="AG92" s="21">
        <f t="array" ref="AG92">PRODUCT(1+U81:U92)-1</f>
        <v>7.4891176598231635E-2</v>
      </c>
      <c r="AH92" s="21">
        <f t="array" ref="AH92">PRODUCT(1+V81:V92)-1</f>
        <v>1.7295870652467293E-2</v>
      </c>
      <c r="AI92" s="21">
        <f t="array" ref="AI92">PRODUCT(1+W81:W92)-1</f>
        <v>-2.2298988972344391E-2</v>
      </c>
      <c r="AJ92" s="21">
        <f t="array" ref="AJ92">PRODUCT(1+X81:X92)-1</f>
        <v>5.4447020046051176E-3</v>
      </c>
    </row>
    <row r="93" spans="1:36">
      <c r="A93" s="50">
        <v>80</v>
      </c>
      <c r="B93" s="47">
        <v>43644</v>
      </c>
      <c r="C93" s="51">
        <v>2.0868000000000002</v>
      </c>
      <c r="D93" s="52">
        <v>1214.546</v>
      </c>
      <c r="E93" s="52">
        <v>1321.739</v>
      </c>
      <c r="F93" s="52">
        <v>1780.7560000000001</v>
      </c>
      <c r="G93" s="52">
        <v>1693.874</v>
      </c>
      <c r="H93" s="52">
        <v>1592.114</v>
      </c>
      <c r="I93" s="52">
        <v>3116.4969999999998</v>
      </c>
      <c r="J93" s="52">
        <v>2941.76</v>
      </c>
      <c r="K93" s="52">
        <v>2178.35</v>
      </c>
      <c r="L93" s="52">
        <v>1409.55</v>
      </c>
      <c r="M93" s="53"/>
      <c r="N93" s="54">
        <f t="shared" si="52"/>
        <v>43644</v>
      </c>
      <c r="O93" s="37">
        <f t="shared" si="53"/>
        <v>1.9499166666666666E-3</v>
      </c>
      <c r="P93" s="37">
        <f t="shared" si="54"/>
        <v>5.1917075031886473E-3</v>
      </c>
      <c r="Q93" s="37">
        <f t="shared" si="55"/>
        <v>4.2090899628399736E-3</v>
      </c>
      <c r="R93" s="37">
        <f t="shared" si="56"/>
        <v>7.0753769980971271E-3</v>
      </c>
      <c r="S93" s="37">
        <f t="shared" si="57"/>
        <v>9.2802295657687939E-3</v>
      </c>
      <c r="T93" s="37">
        <f t="shared" si="58"/>
        <v>7.1252807034192234E-3</v>
      </c>
      <c r="U93" s="37">
        <f t="shared" si="59"/>
        <v>2.2998364645352432E-2</v>
      </c>
      <c r="V93" s="37">
        <f t="shared" si="60"/>
        <v>6.8930183208214979E-2</v>
      </c>
      <c r="W93" s="37">
        <f t="shared" si="61"/>
        <v>6.4557116676847937E-2</v>
      </c>
      <c r="X93" s="37">
        <f t="shared" si="62"/>
        <v>7.9635104704422588E-2</v>
      </c>
      <c r="Y93" s="24">
        <v>69</v>
      </c>
      <c r="Z93" s="28">
        <f t="shared" si="63"/>
        <v>43644</v>
      </c>
      <c r="AA93" s="21">
        <f t="array" ref="AA93">PRODUCT(1+O82:O93)-1</f>
        <v>2.2897058362029821E-2</v>
      </c>
      <c r="AB93" s="21">
        <f t="array" ref="AB93">PRODUCT(1+P82:P93)-1</f>
        <v>3.9620495112813181E-2</v>
      </c>
      <c r="AC93" s="21">
        <f t="array" ref="AC93">PRODUCT(1+Q82:Q93)-1</f>
        <v>3.8819598741537842E-2</v>
      </c>
      <c r="AD93" s="21">
        <f t="array" ref="AD93">PRODUCT(1+R82:R93)-1</f>
        <v>5.0609006032536819E-2</v>
      </c>
      <c r="AE93" s="21">
        <f t="array" ref="AE93">PRODUCT(1+S82:S93)-1</f>
        <v>7.3290132409753683E-2</v>
      </c>
      <c r="AF93" s="21">
        <f t="array" ref="AF93">PRODUCT(1+T82:T93)-1</f>
        <v>6.2010431237413677E-2</v>
      </c>
      <c r="AG93" s="21">
        <f t="array" ref="AG93">PRODUCT(1+U82:U93)-1</f>
        <v>0.10557673806124956</v>
      </c>
      <c r="AH93" s="21">
        <f t="array" ref="AH93">PRODUCT(1+V82:V93)-1</f>
        <v>8.2177922799324676E-2</v>
      </c>
      <c r="AI93" s="21">
        <f t="array" ref="AI93">PRODUCT(1+W82:W93)-1</f>
        <v>4.2621930790217588E-2</v>
      </c>
      <c r="AJ93" s="21">
        <f t="array" ref="AJ93">PRODUCT(1+X82:X93)-1</f>
        <v>0.12529937729522622</v>
      </c>
    </row>
    <row r="94" spans="1:36">
      <c r="A94" s="50">
        <v>81</v>
      </c>
      <c r="B94" s="47">
        <v>43677</v>
      </c>
      <c r="C94" s="51">
        <v>2.0615999999999999</v>
      </c>
      <c r="D94" s="52">
        <v>1213.114</v>
      </c>
      <c r="E94" s="52">
        <v>1321.12</v>
      </c>
      <c r="F94" s="52">
        <v>1782.903</v>
      </c>
      <c r="G94" s="52">
        <v>1692.09</v>
      </c>
      <c r="H94" s="52">
        <v>1591.9580000000001</v>
      </c>
      <c r="I94" s="52">
        <v>3136.922</v>
      </c>
      <c r="J94" s="52">
        <v>2980.38</v>
      </c>
      <c r="K94" s="52">
        <v>2187.56</v>
      </c>
      <c r="L94" s="52">
        <v>1413.78</v>
      </c>
      <c r="M94" s="53"/>
      <c r="N94" s="54">
        <f t="shared" si="52"/>
        <v>43677</v>
      </c>
      <c r="O94" s="37">
        <f t="shared" si="53"/>
        <v>1.7390000000000001E-3</v>
      </c>
      <c r="P94" s="37">
        <f t="shared" si="54"/>
        <v>-1.1790413866580307E-3</v>
      </c>
      <c r="Q94" s="37">
        <f t="shared" si="55"/>
        <v>-4.6832241463723445E-4</v>
      </c>
      <c r="R94" s="37">
        <f t="shared" si="56"/>
        <v>1.2056677051768272E-3</v>
      </c>
      <c r="S94" s="37">
        <f t="shared" si="57"/>
        <v>-1.0532070272051275E-3</v>
      </c>
      <c r="T94" s="37">
        <f t="shared" si="58"/>
        <v>-9.7982933382922965E-5</v>
      </c>
      <c r="U94" s="37">
        <f t="shared" si="59"/>
        <v>6.5538327166687615E-3</v>
      </c>
      <c r="V94" s="37">
        <f t="shared" si="60"/>
        <v>1.3128195366039375E-2</v>
      </c>
      <c r="W94" s="37">
        <f t="shared" si="61"/>
        <v>4.2279707117773846E-3</v>
      </c>
      <c r="X94" s="37">
        <f t="shared" si="62"/>
        <v>3.0009577524741093E-3</v>
      </c>
      <c r="Y94" s="24">
        <v>70</v>
      </c>
      <c r="Z94" s="28">
        <f t="shared" si="63"/>
        <v>43677</v>
      </c>
      <c r="AA94" s="21">
        <f t="array" ref="AA94">PRODUCT(1+O83:O94)-1</f>
        <v>2.3045567980147563E-2</v>
      </c>
      <c r="AB94" s="21">
        <f t="array" ref="AB94">PRODUCT(1+P83:P94)-1</f>
        <v>3.8442739074049603E-2</v>
      </c>
      <c r="AC94" s="21">
        <f t="array" ref="AC94">PRODUCT(1+Q83:Q94)-1</f>
        <v>3.7892601621353217E-2</v>
      </c>
      <c r="AD94" s="21">
        <f t="array" ref="AD94">PRODUCT(1+R83:R94)-1</f>
        <v>4.9435640137593495E-2</v>
      </c>
      <c r="AE94" s="21">
        <f t="array" ref="AE94">PRODUCT(1+S83:S94)-1</f>
        <v>7.7042644037244035E-2</v>
      </c>
      <c r="AF94" s="21">
        <f t="array" ref="AF94">PRODUCT(1+T83:T94)-1</f>
        <v>6.3689415877453248E-2</v>
      </c>
      <c r="AG94" s="21">
        <f t="array" ref="AG94">PRODUCT(1+U83:U94)-1</f>
        <v>0.1046390712490548</v>
      </c>
      <c r="AH94" s="21">
        <f t="array" ref="AH94">PRODUCT(1+V83:V94)-1</f>
        <v>5.8264596330633411E-2</v>
      </c>
      <c r="AI94" s="21">
        <f t="array" ref="AI94">PRODUCT(1+W83:W94)-1</f>
        <v>1.6004830244763735E-2</v>
      </c>
      <c r="AJ94" s="21">
        <f t="array" ref="AJ94">PRODUCT(1+X83:X94)-1</f>
        <v>0.15490748682759481</v>
      </c>
    </row>
    <row r="95" spans="1:36">
      <c r="A95" s="50">
        <v>82</v>
      </c>
      <c r="B95" s="47">
        <v>43707</v>
      </c>
      <c r="C95" s="51">
        <v>1.9764999999999999</v>
      </c>
      <c r="D95" s="52">
        <v>1222.8979999999999</v>
      </c>
      <c r="E95" s="52">
        <v>1330.6890000000001</v>
      </c>
      <c r="F95" s="52">
        <v>1796.4369999999999</v>
      </c>
      <c r="G95" s="52">
        <v>1752.2190000000001</v>
      </c>
      <c r="H95" s="52">
        <v>1627.6410000000001</v>
      </c>
      <c r="I95" s="52">
        <v>3232.163</v>
      </c>
      <c r="J95" s="52">
        <v>2926.46</v>
      </c>
      <c r="K95" s="52">
        <v>2138.52</v>
      </c>
      <c r="L95" s="52">
        <v>1520.38</v>
      </c>
      <c r="M95" s="53"/>
      <c r="N95" s="54">
        <f t="shared" si="52"/>
        <v>43707</v>
      </c>
      <c r="O95" s="37">
        <f t="shared" si="53"/>
        <v>1.7179999999999999E-3</v>
      </c>
      <c r="P95" s="37">
        <f t="shared" si="54"/>
        <v>8.0651942026881418E-3</v>
      </c>
      <c r="Q95" s="37">
        <f t="shared" si="55"/>
        <v>7.2430967663801304E-3</v>
      </c>
      <c r="R95" s="37">
        <f t="shared" si="56"/>
        <v>7.590990648397522E-3</v>
      </c>
      <c r="S95" s="37">
        <f t="shared" si="57"/>
        <v>3.5535343864688151E-2</v>
      </c>
      <c r="T95" s="37">
        <f t="shared" si="58"/>
        <v>2.2414536061881041E-2</v>
      </c>
      <c r="U95" s="37">
        <f t="shared" si="59"/>
        <v>3.0361290462434187E-2</v>
      </c>
      <c r="V95" s="37">
        <f t="shared" si="60"/>
        <v>-1.8091652742267761E-2</v>
      </c>
      <c r="W95" s="37">
        <f t="shared" si="61"/>
        <v>-2.2417670829600111E-2</v>
      </c>
      <c r="X95" s="37">
        <f t="shared" si="62"/>
        <v>7.5400698835745406E-2</v>
      </c>
      <c r="Y95" s="24">
        <v>71</v>
      </c>
      <c r="Z95" s="28">
        <f t="shared" si="63"/>
        <v>43707</v>
      </c>
      <c r="AA95" s="21">
        <f t="array" ref="AA95">PRODUCT(1+O84:O95)-1</f>
        <v>2.3080718619415519E-2</v>
      </c>
      <c r="AB95" s="21">
        <f t="array" ref="AB95">PRODUCT(1+P84:P95)-1</f>
        <v>4.3497775449219622E-2</v>
      </c>
      <c r="AC95" s="21">
        <f t="array" ref="AC95">PRODUCT(1+Q84:Q95)-1</f>
        <v>4.2053677915279808E-2</v>
      </c>
      <c r="AD95" s="21">
        <f t="array" ref="AD95">PRODUCT(1+R84:R95)-1</f>
        <v>5.3040765508056475E-2</v>
      </c>
      <c r="AE95" s="21">
        <f t="array" ref="AE95">PRODUCT(1+S84:S95)-1</f>
        <v>0.10667255302459089</v>
      </c>
      <c r="AF95" s="21">
        <f t="array" ref="AF95">PRODUCT(1+T84:T95)-1</f>
        <v>8.1415026081271602E-2</v>
      </c>
      <c r="AG95" s="21">
        <f t="array" ref="AG95">PRODUCT(1+U84:U95)-1</f>
        <v>0.132020088140411</v>
      </c>
      <c r="AH95" s="21">
        <f t="array" ref="AH95">PRODUCT(1+V84:V95)-1</f>
        <v>8.5954947751520905E-3</v>
      </c>
      <c r="AI95" s="21">
        <f t="array" ref="AI95">PRODUCT(1+W84:W95)-1</f>
        <v>-1.6998391174442129E-2</v>
      </c>
      <c r="AJ95" s="21">
        <f t="array" ref="AJ95">PRODUCT(1+X84:X95)-1</f>
        <v>0.2657703034591854</v>
      </c>
    </row>
    <row r="96" spans="1:36">
      <c r="A96" s="50">
        <v>83</v>
      </c>
      <c r="B96" s="47">
        <v>43738</v>
      </c>
      <c r="C96" s="51">
        <v>1.8070999999999999</v>
      </c>
      <c r="D96" s="52">
        <v>1221.5419999999999</v>
      </c>
      <c r="E96" s="52">
        <v>1329.982</v>
      </c>
      <c r="F96" s="52">
        <v>1798.5450000000001</v>
      </c>
      <c r="G96" s="52">
        <v>1736.3889999999999</v>
      </c>
      <c r="H96" s="52">
        <v>1619.857</v>
      </c>
      <c r="I96" s="52">
        <v>3212.1709999999998</v>
      </c>
      <c r="J96" s="52">
        <v>2976.74</v>
      </c>
      <c r="K96" s="52">
        <v>2180.02</v>
      </c>
      <c r="L96" s="52">
        <v>1472.49</v>
      </c>
      <c r="M96" s="53"/>
      <c r="N96" s="54">
        <f t="shared" si="52"/>
        <v>43738</v>
      </c>
      <c r="O96" s="37">
        <f t="shared" si="53"/>
        <v>1.6470833333333333E-3</v>
      </c>
      <c r="P96" s="37">
        <f t="shared" si="54"/>
        <v>-1.1088414569325744E-3</v>
      </c>
      <c r="Q96" s="37">
        <f t="shared" si="55"/>
        <v>-5.3130370807907834E-4</v>
      </c>
      <c r="R96" s="37">
        <f t="shared" si="56"/>
        <v>1.1734338582427561E-3</v>
      </c>
      <c r="S96" s="37">
        <f t="shared" si="57"/>
        <v>-9.0342588454982442E-3</v>
      </c>
      <c r="T96" s="37">
        <f t="shared" si="58"/>
        <v>-4.7823813727966291E-3</v>
      </c>
      <c r="U96" s="37">
        <f t="shared" si="59"/>
        <v>-6.1853316184858897E-3</v>
      </c>
      <c r="V96" s="37">
        <f t="shared" si="60"/>
        <v>1.7181167690656807E-2</v>
      </c>
      <c r="W96" s="37">
        <f t="shared" si="61"/>
        <v>1.9405944297925748E-2</v>
      </c>
      <c r="X96" s="37">
        <f t="shared" si="62"/>
        <v>-3.1498704271300637E-2</v>
      </c>
      <c r="Y96" s="24">
        <v>72</v>
      </c>
      <c r="Z96" s="28">
        <f t="shared" si="63"/>
        <v>43738</v>
      </c>
      <c r="AA96" s="21">
        <f t="array" ref="AA96">PRODUCT(1+O85:O96)-1</f>
        <v>2.2980886669285105E-2</v>
      </c>
      <c r="AB96" s="21">
        <f t="array" ref="AB96">PRODUCT(1+P85:P96)-1</f>
        <v>4.3575800809031673E-2</v>
      </c>
      <c r="AC96" s="21">
        <f t="array" ref="AC96">PRODUCT(1+Q85:Q96)-1</f>
        <v>4.1947983372478514E-2</v>
      </c>
      <c r="AD96" s="21">
        <f t="array" ref="AD96">PRODUCT(1+R85:R96)-1</f>
        <v>5.3504506203717828E-2</v>
      </c>
      <c r="AE96" s="21">
        <f t="array" ref="AE96">PRODUCT(1+S85:S96)-1</f>
        <v>0.10750607365434073</v>
      </c>
      <c r="AF96" s="21">
        <f t="array" ref="AF96">PRODUCT(1+T85:T96)-1</f>
        <v>8.0666176098757703E-2</v>
      </c>
      <c r="AG96" s="21">
        <f t="array" ref="AG96">PRODUCT(1+U85:U96)-1</f>
        <v>0.12868780512829869</v>
      </c>
      <c r="AH96" s="21">
        <f t="array" ref="AH96">PRODUCT(1+V85:V96)-1</f>
        <v>2.1537553449234137E-2</v>
      </c>
      <c r="AI96" s="21">
        <f t="array" ref="AI96">PRODUCT(1+W85:W96)-1</f>
        <v>-1.8269147119280849E-3</v>
      </c>
      <c r="AJ96" s="21">
        <f t="array" ref="AJ96">PRODUCT(1+X85:X96)-1</f>
        <v>0.23647218863361541</v>
      </c>
    </row>
    <row r="97" spans="1:36">
      <c r="A97" s="50">
        <v>84</v>
      </c>
      <c r="B97" s="47">
        <v>43769</v>
      </c>
      <c r="C97" s="51">
        <v>1.524</v>
      </c>
      <c r="D97" s="52">
        <v>1225.566</v>
      </c>
      <c r="E97" s="52">
        <v>1333.9670000000001</v>
      </c>
      <c r="F97" s="52">
        <v>1806.4849999999999</v>
      </c>
      <c r="G97" s="52">
        <v>1736.922</v>
      </c>
      <c r="H97" s="52">
        <v>1623.0609999999999</v>
      </c>
      <c r="I97" s="52">
        <v>3231.817</v>
      </c>
      <c r="J97" s="52">
        <v>3037.56</v>
      </c>
      <c r="K97" s="52">
        <v>2233.5300000000002</v>
      </c>
      <c r="L97" s="52">
        <v>1512.99</v>
      </c>
      <c r="M97" s="53"/>
      <c r="N97" s="54">
        <f t="shared" si="52"/>
        <v>43769</v>
      </c>
      <c r="O97" s="37">
        <f t="shared" si="53"/>
        <v>1.5059166666666667E-3</v>
      </c>
      <c r="P97" s="37">
        <f t="shared" si="54"/>
        <v>3.2941970067341675E-3</v>
      </c>
      <c r="Q97" s="37">
        <f t="shared" si="55"/>
        <v>2.9962811526773603E-3</v>
      </c>
      <c r="R97" s="37">
        <f t="shared" si="56"/>
        <v>4.4146796438231384E-3</v>
      </c>
      <c r="S97" s="37">
        <f t="shared" si="57"/>
        <v>3.0695886693599128E-4</v>
      </c>
      <c r="T97" s="37">
        <f t="shared" si="58"/>
        <v>1.9779523748084671E-3</v>
      </c>
      <c r="U97" s="37">
        <f t="shared" si="59"/>
        <v>6.1161127474222976E-3</v>
      </c>
      <c r="V97" s="37">
        <f t="shared" si="60"/>
        <v>2.0431747482144935E-2</v>
      </c>
      <c r="W97" s="37">
        <f t="shared" si="61"/>
        <v>2.4545646370216945E-2</v>
      </c>
      <c r="X97" s="37">
        <f t="shared" si="62"/>
        <v>2.7504431269482321E-2</v>
      </c>
      <c r="Y97" s="24">
        <v>73</v>
      </c>
      <c r="Z97" s="28">
        <f t="shared" si="63"/>
        <v>43769</v>
      </c>
      <c r="AA97" s="21">
        <f t="array" ref="AA97">PRODUCT(1+O86:O97)-1</f>
        <v>2.264962094666223E-2</v>
      </c>
      <c r="AB97" s="21">
        <f t="array" ref="AB97">PRODUCT(1+P86:P97)-1</f>
        <v>4.5428257030990515E-2</v>
      </c>
      <c r="AC97" s="21">
        <f t="array" ref="AC97">PRODUCT(1+Q86:Q97)-1</f>
        <v>4.3779577094496203E-2</v>
      </c>
      <c r="AD97" s="21">
        <f t="array" ref="AD97">PRODUCT(1+R86:R97)-1</f>
        <v>5.7929205706130027E-2</v>
      </c>
      <c r="AE97" s="21">
        <f t="array" ref="AE97">PRODUCT(1+S86:S97)-1</f>
        <v>0.11371638262524453</v>
      </c>
      <c r="AF97" s="21">
        <f t="array" ref="AF97">PRODUCT(1+T86:T97)-1</f>
        <v>8.4185184962522586E-2</v>
      </c>
      <c r="AG97" s="21">
        <f t="array" ref="AG97">PRODUCT(1+U86:U97)-1</f>
        <v>0.15114679519967411</v>
      </c>
      <c r="AH97" s="21">
        <f t="array" ref="AH97">PRODUCT(1+V86:V97)-1</f>
        <v>0.12015163695634512</v>
      </c>
      <c r="AI97" s="21">
        <f t="array" ref="AI97">PRODUCT(1+W86:W97)-1</f>
        <v>0.10462516938842259</v>
      </c>
      <c r="AJ97" s="21">
        <f t="array" ref="AJ97">PRODUCT(1+X86:X97)-1</f>
        <v>0.24550528499456736</v>
      </c>
    </row>
    <row r="98" spans="1:36">
      <c r="A98" s="50">
        <v>85</v>
      </c>
      <c r="B98" s="47">
        <v>43798</v>
      </c>
      <c r="C98" s="51">
        <v>1.5671999999999999</v>
      </c>
      <c r="D98" s="52">
        <v>1225.174</v>
      </c>
      <c r="E98" s="52">
        <v>1334.4480000000001</v>
      </c>
      <c r="F98" s="52">
        <v>1808.1179999999999</v>
      </c>
      <c r="G98" s="52">
        <v>1731.579</v>
      </c>
      <c r="H98" s="52">
        <v>1621.104</v>
      </c>
      <c r="I98" s="52">
        <v>3238.82</v>
      </c>
      <c r="J98" s="52">
        <v>3140.98</v>
      </c>
      <c r="K98" s="52">
        <v>2292.2600000000002</v>
      </c>
      <c r="L98" s="52">
        <v>1463.98</v>
      </c>
      <c r="M98" s="53"/>
      <c r="N98" s="54">
        <f t="shared" si="52"/>
        <v>43798</v>
      </c>
      <c r="O98" s="37">
        <f t="shared" si="53"/>
        <v>1.2700000000000001E-3</v>
      </c>
      <c r="P98" s="37">
        <f t="shared" si="54"/>
        <v>-3.1985221522146112E-4</v>
      </c>
      <c r="Q98" s="37">
        <f t="shared" si="55"/>
        <v>3.6057863500360554E-4</v>
      </c>
      <c r="R98" s="37">
        <f t="shared" si="56"/>
        <v>9.0396543563886489E-4</v>
      </c>
      <c r="S98" s="37">
        <f t="shared" si="57"/>
        <v>-3.0761312252364226E-3</v>
      </c>
      <c r="T98" s="37">
        <f t="shared" si="58"/>
        <v>-1.2057464260430972E-3</v>
      </c>
      <c r="U98" s="37">
        <f t="shared" si="59"/>
        <v>2.1668924942224166E-3</v>
      </c>
      <c r="V98" s="37">
        <f t="shared" si="60"/>
        <v>3.404706409091518E-2</v>
      </c>
      <c r="W98" s="37">
        <f t="shared" si="61"/>
        <v>2.6294699421991252E-2</v>
      </c>
      <c r="X98" s="37">
        <f t="shared" si="62"/>
        <v>-3.2392811585007175E-2</v>
      </c>
      <c r="Y98" s="24">
        <v>74</v>
      </c>
      <c r="Z98" s="28">
        <f t="shared" si="63"/>
        <v>43798</v>
      </c>
      <c r="AA98" s="21">
        <f t="array" ref="AA98">PRODUCT(1+O87:O98)-1</f>
        <v>2.1968237341395858E-2</v>
      </c>
      <c r="AB98" s="21">
        <f t="array" ref="AB98">PRODUCT(1+P87:P98)-1</f>
        <v>4.1485176457787043E-2</v>
      </c>
      <c r="AC98" s="21">
        <f t="array" ref="AC98">PRODUCT(1+Q87:Q98)-1</f>
        <v>4.0419271389654732E-2</v>
      </c>
      <c r="AD98" s="21">
        <f t="array" ref="AD98">PRODUCT(1+R87:R98)-1</f>
        <v>5.7969182807250386E-2</v>
      </c>
      <c r="AE98" s="21">
        <f t="array" ref="AE98">PRODUCT(1+S87:S98)-1</f>
        <v>0.100383575641803</v>
      </c>
      <c r="AF98" s="21">
        <f t="array" ref="AF98">PRODUCT(1+T87:T98)-1</f>
        <v>7.608373133486257E-2</v>
      </c>
      <c r="AG98" s="21">
        <f t="array" ref="AG98">PRODUCT(1+U87:U98)-1</f>
        <v>0.15584587532087313</v>
      </c>
      <c r="AH98" s="21">
        <f t="array" ref="AH98">PRODUCT(1+V87:V98)-1</f>
        <v>0.13796613976675287</v>
      </c>
      <c r="AI98" s="21">
        <f t="array" ref="AI98">PRODUCT(1+W87:W98)-1</f>
        <v>0.12290825724027221</v>
      </c>
      <c r="AJ98" s="21">
        <f t="array" ref="AJ98">PRODUCT(1+X87:X98)-1</f>
        <v>0.19947235604496472</v>
      </c>
    </row>
    <row r="99" spans="1:36">
      <c r="A99" s="50">
        <v>86</v>
      </c>
      <c r="B99" s="47">
        <v>43830</v>
      </c>
      <c r="C99" s="51">
        <v>1.5436000000000001</v>
      </c>
      <c r="D99" s="52">
        <v>1227.7719999999999</v>
      </c>
      <c r="E99" s="52">
        <v>1337.239</v>
      </c>
      <c r="F99" s="52">
        <v>1814.39</v>
      </c>
      <c r="G99" s="52">
        <v>1720.9090000000001</v>
      </c>
      <c r="H99" s="52">
        <v>1617.7750000000001</v>
      </c>
      <c r="I99" s="52">
        <v>3249.0230000000001</v>
      </c>
      <c r="J99" s="52">
        <v>3230.78</v>
      </c>
      <c r="K99" s="52">
        <v>2358.4699999999998</v>
      </c>
      <c r="L99" s="52">
        <v>1517.27</v>
      </c>
      <c r="M99" s="53"/>
      <c r="N99" s="54">
        <f t="shared" si="52"/>
        <v>43830</v>
      </c>
      <c r="O99" s="37">
        <f t="shared" si="53"/>
        <v>1.3059999999999999E-3</v>
      </c>
      <c r="P99" s="37">
        <f t="shared" si="54"/>
        <v>2.1205151268308686E-3</v>
      </c>
      <c r="Q99" s="37">
        <f t="shared" si="55"/>
        <v>2.0915015047420216E-3</v>
      </c>
      <c r="R99" s="37">
        <f t="shared" si="56"/>
        <v>3.4688001557421355E-3</v>
      </c>
      <c r="S99" s="37">
        <f t="shared" si="57"/>
        <v>-6.162005891732214E-3</v>
      </c>
      <c r="T99" s="37">
        <f t="shared" si="58"/>
        <v>-2.0535388229255824E-3</v>
      </c>
      <c r="U99" s="37">
        <f t="shared" si="59"/>
        <v>3.1502213769212251E-3</v>
      </c>
      <c r="V99" s="37">
        <f t="shared" si="60"/>
        <v>2.8589803182446305E-2</v>
      </c>
      <c r="W99" s="37">
        <f t="shared" si="61"/>
        <v>2.8884157992548731E-2</v>
      </c>
      <c r="X99" s="37">
        <f t="shared" si="62"/>
        <v>3.640077050232926E-2</v>
      </c>
      <c r="Y99" s="24">
        <v>75</v>
      </c>
      <c r="Z99" s="28">
        <f t="shared" si="63"/>
        <v>43830</v>
      </c>
      <c r="AA99" s="21">
        <f t="array" ref="AA99">PRODUCT(1+O88:O99)-1</f>
        <v>2.130933204321539E-2</v>
      </c>
      <c r="AB99" s="21">
        <f t="array" ref="AB99">PRODUCT(1+P88:P99)-1</f>
        <v>3.5516897325626795E-2</v>
      </c>
      <c r="AC99" s="21">
        <f t="array" ref="AC99">PRODUCT(1+Q88:Q99)-1</f>
        <v>3.4762422474396093E-2</v>
      </c>
      <c r="AD99" s="21">
        <f t="array" ref="AD99">PRODUCT(1+R88:R99)-1</f>
        <v>5.4282114990830799E-2</v>
      </c>
      <c r="AE99" s="21">
        <f t="array" ref="AE99">PRODUCT(1+S88:S99)-1</f>
        <v>6.9855763880729338E-2</v>
      </c>
      <c r="AF99" s="21">
        <f t="array" ref="AF99">PRODUCT(1+T88:T99)-1</f>
        <v>5.866458830673893E-2</v>
      </c>
      <c r="AG99" s="21">
        <f t="array" ref="AG99">PRODUCT(1+U88:U99)-1</f>
        <v>0.14233924387451746</v>
      </c>
      <c r="AH99" s="21">
        <f t="array" ref="AH99">PRODUCT(1+V88:V99)-1</f>
        <v>0.28878074077028959</v>
      </c>
      <c r="AI99" s="21">
        <f t="array" ref="AI99">PRODUCT(1+W88:W99)-1</f>
        <v>0.25190827538616811</v>
      </c>
      <c r="AJ99" s="21">
        <f t="array" ref="AJ99">PRODUCT(1+X88:X99)-1</f>
        <v>0.1830657548986736</v>
      </c>
    </row>
    <row r="100" spans="1:36">
      <c r="A100" s="50">
        <v>87</v>
      </c>
      <c r="B100" s="47">
        <v>43861</v>
      </c>
      <c r="C100" s="51">
        <v>1.5382</v>
      </c>
      <c r="D100" s="52">
        <v>1234.414</v>
      </c>
      <c r="E100" s="52">
        <v>1342.9680000000001</v>
      </c>
      <c r="F100" s="52">
        <v>1824.752</v>
      </c>
      <c r="G100" s="52">
        <v>1765.039</v>
      </c>
      <c r="H100" s="52">
        <v>1643.105</v>
      </c>
      <c r="I100" s="52">
        <v>3326.2130000000002</v>
      </c>
      <c r="J100" s="52">
        <v>3225.52</v>
      </c>
      <c r="K100" s="52">
        <v>2342.41</v>
      </c>
      <c r="L100" s="52">
        <v>1589.16</v>
      </c>
      <c r="M100" s="53"/>
      <c r="N100" s="54">
        <f t="shared" si="52"/>
        <v>43861</v>
      </c>
      <c r="O100" s="37">
        <f t="shared" si="53"/>
        <v>1.2863333333333333E-3</v>
      </c>
      <c r="P100" s="37">
        <f t="shared" si="54"/>
        <v>5.4097992135349049E-3</v>
      </c>
      <c r="Q100" s="37">
        <f t="shared" si="55"/>
        <v>4.2842005056689114E-3</v>
      </c>
      <c r="R100" s="37">
        <f t="shared" si="56"/>
        <v>5.7110103120057154E-3</v>
      </c>
      <c r="S100" s="37">
        <f t="shared" si="57"/>
        <v>2.5643424492520994E-2</v>
      </c>
      <c r="T100" s="37">
        <f t="shared" si="58"/>
        <v>1.565730710389257E-2</v>
      </c>
      <c r="U100" s="37">
        <f t="shared" si="59"/>
        <v>2.3757911224389527E-2</v>
      </c>
      <c r="V100" s="37">
        <f t="shared" si="60"/>
        <v>-1.6280898111292741E-3</v>
      </c>
      <c r="W100" s="37">
        <f t="shared" si="61"/>
        <v>-6.8094993788345715E-3</v>
      </c>
      <c r="X100" s="37">
        <f t="shared" si="62"/>
        <v>4.7381151673729915E-2</v>
      </c>
      <c r="Y100" s="24">
        <v>76</v>
      </c>
      <c r="Z100" s="28">
        <f t="shared" si="63"/>
        <v>43861</v>
      </c>
      <c r="AA100" s="21">
        <f t="array" ref="AA100">PRODUCT(1+O89:O100)-1</f>
        <v>2.0620194201229847E-2</v>
      </c>
      <c r="AB100" s="21">
        <f t="array" ref="AB100">PRODUCT(1+P89:P100)-1</f>
        <v>3.8322619934828328E-2</v>
      </c>
      <c r="AC100" s="21">
        <f t="array" ref="AC100">PRODUCT(1+Q89:Q100)-1</f>
        <v>3.6310307867889025E-2</v>
      </c>
      <c r="AD100" s="21">
        <f t="array" ref="AD100">PRODUCT(1+R89:R100)-1</f>
        <v>5.2903928644379539E-2</v>
      </c>
      <c r="AE100" s="21">
        <f t="array" ref="AE100">PRODUCT(1+S89:S100)-1</f>
        <v>9.2190607492076859E-2</v>
      </c>
      <c r="AF100" s="21">
        <f t="array" ref="AF100">PRODUCT(1+T89:T100)-1</f>
        <v>7.1253005575635964E-2</v>
      </c>
      <c r="AG100" s="21">
        <f t="array" ref="AG100">PRODUCT(1+U89:U100)-1</f>
        <v>0.14550099372563263</v>
      </c>
      <c r="AH100" s="21">
        <f t="array" ref="AH100">PRODUCT(1+V89:V100)-1</f>
        <v>0.1928257091083907</v>
      </c>
      <c r="AI100" s="21">
        <f t="array" ref="AI100">PRODUCT(1+W89:W100)-1</f>
        <v>0.15475550779151104</v>
      </c>
      <c r="AJ100" s="21">
        <f t="array" ref="AJ100">PRODUCT(1+X89:X100)-1</f>
        <v>0.20277010406811713</v>
      </c>
    </row>
    <row r="101" spans="1:36">
      <c r="A101" s="50">
        <v>88</v>
      </c>
      <c r="B101" s="47">
        <v>43889</v>
      </c>
      <c r="C101" s="51">
        <v>1.2669999999999999</v>
      </c>
      <c r="D101" s="52">
        <v>1245.163</v>
      </c>
      <c r="E101" s="52">
        <v>1352.3510000000001</v>
      </c>
      <c r="F101" s="52">
        <v>1835.27</v>
      </c>
      <c r="G101" s="52">
        <v>1813.192</v>
      </c>
      <c r="H101" s="52">
        <v>1670.354</v>
      </c>
      <c r="I101" s="52">
        <v>3369.134</v>
      </c>
      <c r="J101" s="52">
        <v>2954.22</v>
      </c>
      <c r="K101" s="52">
        <v>2141.12</v>
      </c>
      <c r="L101" s="52">
        <v>1585.69</v>
      </c>
      <c r="M101" s="53"/>
      <c r="N101" s="54">
        <f t="shared" si="52"/>
        <v>43889</v>
      </c>
      <c r="O101" s="37">
        <f t="shared" si="53"/>
        <v>1.2818333333333334E-3</v>
      </c>
      <c r="P101" s="37">
        <f t="shared" si="54"/>
        <v>8.7077755112952016E-3</v>
      </c>
      <c r="Q101" s="37">
        <f t="shared" si="55"/>
        <v>6.9867636458949001E-3</v>
      </c>
      <c r="R101" s="37">
        <f t="shared" si="56"/>
        <v>5.7640709532034151E-3</v>
      </c>
      <c r="S101" s="37">
        <f t="shared" si="57"/>
        <v>2.7281550152716161E-2</v>
      </c>
      <c r="T101" s="37">
        <f t="shared" si="58"/>
        <v>1.6583845828477273E-2</v>
      </c>
      <c r="U101" s="37">
        <f t="shared" si="59"/>
        <v>1.2903863943770189E-2</v>
      </c>
      <c r="V101" s="37">
        <f t="shared" si="60"/>
        <v>-8.4110469009648137E-2</v>
      </c>
      <c r="W101" s="37">
        <f t="shared" si="61"/>
        <v>-8.5932864016120103E-2</v>
      </c>
      <c r="X101" s="37">
        <f t="shared" si="62"/>
        <v>-2.1835435072616871E-3</v>
      </c>
      <c r="Y101" s="24">
        <v>77</v>
      </c>
      <c r="Z101" s="28">
        <f t="shared" si="63"/>
        <v>43889</v>
      </c>
      <c r="AA101" s="21">
        <f t="array" ref="AA101">PRODUCT(1+O90:O101)-1</f>
        <v>1.9902338200134206E-2</v>
      </c>
      <c r="AB101" s="21">
        <f t="array" ref="AB101">PRODUCT(1+P90:P101)-1</f>
        <v>4.6312378733985193E-2</v>
      </c>
      <c r="AC101" s="21">
        <f t="array" ref="AC101">PRODUCT(1+Q90:Q101)-1</f>
        <v>4.2239833284908324E-2</v>
      </c>
      <c r="AD101" s="21">
        <f t="array" ref="AD101">PRODUCT(1+R90:R101)-1</f>
        <v>5.527323243300386E-2</v>
      </c>
      <c r="AE101" s="21">
        <f t="array" ref="AE101">PRODUCT(1+S90:S101)-1</f>
        <v>0.12510975329011709</v>
      </c>
      <c r="AF101" s="21">
        <f t="array" ref="AF101">PRODUCT(1+T90:T101)-1</f>
        <v>8.8631684460175775E-2</v>
      </c>
      <c r="AG101" s="21">
        <f t="array" ref="AG101">PRODUCT(1+U90:U101)-1</f>
        <v>0.1561252642270845</v>
      </c>
      <c r="AH101" s="21">
        <f t="array" ref="AH101">PRODUCT(1+V90:V101)-1</f>
        <v>6.0955507112613327E-2</v>
      </c>
      <c r="AI101" s="21">
        <f t="array" ref="AI101">PRODUCT(1+W90:W101)-1</f>
        <v>2.6502512177349224E-2</v>
      </c>
      <c r="AJ101" s="21">
        <f t="array" ref="AJ101">PRODUCT(1+X90:X101)-1</f>
        <v>0.2073904303596994</v>
      </c>
    </row>
    <row r="102" spans="1:36">
      <c r="A102" s="50">
        <v>89</v>
      </c>
      <c r="B102" s="47">
        <v>43921</v>
      </c>
      <c r="C102" s="51">
        <v>6.0999999999999999E-2</v>
      </c>
      <c r="D102" s="52">
        <v>1262.2449999999999</v>
      </c>
      <c r="E102" s="52">
        <v>1363.318</v>
      </c>
      <c r="F102" s="52">
        <v>1783.9929999999999</v>
      </c>
      <c r="G102" s="52">
        <v>1872.3779999999999</v>
      </c>
      <c r="H102" s="52">
        <v>1686.19</v>
      </c>
      <c r="I102" s="52">
        <v>3117.3240000000001</v>
      </c>
      <c r="J102" s="52">
        <v>2584.59</v>
      </c>
      <c r="K102" s="52">
        <v>1852.73</v>
      </c>
      <c r="L102" s="52">
        <v>1577.18</v>
      </c>
      <c r="M102" s="53"/>
      <c r="N102" s="54">
        <f t="shared" si="52"/>
        <v>43921</v>
      </c>
      <c r="O102" s="37">
        <f t="shared" si="53"/>
        <v>1.0558333333333333E-3</v>
      </c>
      <c r="P102" s="37">
        <f t="shared" si="54"/>
        <v>1.3718685826674903E-2</v>
      </c>
      <c r="Q102" s="37">
        <f t="shared" si="55"/>
        <v>8.1095810185372041E-3</v>
      </c>
      <c r="R102" s="37">
        <f t="shared" si="56"/>
        <v>-2.7939758182719765E-2</v>
      </c>
      <c r="S102" s="37">
        <f t="shared" si="57"/>
        <v>3.2641882382009157E-2</v>
      </c>
      <c r="T102" s="37">
        <f t="shared" si="58"/>
        <v>9.480625065106052E-3</v>
      </c>
      <c r="U102" s="37">
        <f t="shared" si="59"/>
        <v>-7.4740274503774518E-2</v>
      </c>
      <c r="V102" s="37">
        <f t="shared" si="60"/>
        <v>-0.12511932083595656</v>
      </c>
      <c r="W102" s="37">
        <f t="shared" si="61"/>
        <v>-0.13469118965774918</v>
      </c>
      <c r="X102" s="37">
        <f t="shared" si="62"/>
        <v>-5.366748860117676E-3</v>
      </c>
      <c r="Y102" s="24">
        <v>78</v>
      </c>
      <c r="Z102" s="28">
        <f t="shared" si="63"/>
        <v>43921</v>
      </c>
      <c r="AA102" s="21">
        <f t="array" ref="AA102">PRODUCT(1+O91:O102)-1</f>
        <v>1.8913677242832438E-2</v>
      </c>
      <c r="AB102" s="21">
        <f t="array" ref="AB102">PRODUCT(1+P91:P102)-1</f>
        <v>5.4220867350134982E-2</v>
      </c>
      <c r="AC102" s="21">
        <f t="array" ref="AC102">PRODUCT(1+Q91:Q102)-1</f>
        <v>4.4840244939875928E-2</v>
      </c>
      <c r="AD102" s="21">
        <f t="array" ref="AD102">PRODUCT(1+R91:R102)-1</f>
        <v>1.7843714733345672E-2</v>
      </c>
      <c r="AE102" s="21">
        <f t="array" ref="AE102">PRODUCT(1+S91:S102)-1</f>
        <v>0.13919808614419815</v>
      </c>
      <c r="AF102" s="21">
        <f t="array" ref="AF102">PRODUCT(1+T91:T102)-1</f>
        <v>8.3651558521516289E-2</v>
      </c>
      <c r="AG102" s="21">
        <f t="array" ref="AG102">PRODUCT(1+U91:U102)-1</f>
        <v>4.3729984280388656E-2</v>
      </c>
      <c r="AH102" s="21">
        <f t="array" ref="AH102">PRODUCT(1+V91:V102)-1</f>
        <v>-8.8135055038103371E-2</v>
      </c>
      <c r="AI102" s="21">
        <f t="array" ref="AI102">PRODUCT(1+W91:W102)-1</f>
        <v>-0.12098740831411781</v>
      </c>
      <c r="AJ102" s="21">
        <f t="array" ref="AJ102">PRODUCT(1+X91:X102)-1</f>
        <v>0.22036862223185105</v>
      </c>
    </row>
    <row r="103" spans="1:36">
      <c r="A103" s="50">
        <v>90</v>
      </c>
      <c r="B103" s="47">
        <v>43951</v>
      </c>
      <c r="C103" s="51">
        <v>7.8799999999999995E-2</v>
      </c>
      <c r="D103" s="52">
        <v>1262.7729999999999</v>
      </c>
      <c r="E103" s="52">
        <v>1366.4090000000001</v>
      </c>
      <c r="F103" s="52">
        <v>1826.3219999999999</v>
      </c>
      <c r="G103" s="52">
        <v>1879.9670000000001</v>
      </c>
      <c r="H103" s="52">
        <v>1697.5889999999999</v>
      </c>
      <c r="I103" s="52">
        <v>3281.6849999999999</v>
      </c>
      <c r="J103" s="52">
        <v>2912.43</v>
      </c>
      <c r="K103" s="52">
        <v>2052.85</v>
      </c>
      <c r="L103" s="52">
        <v>1686.5</v>
      </c>
      <c r="M103" s="53"/>
      <c r="N103" s="54">
        <f t="shared" si="52"/>
        <v>43951</v>
      </c>
      <c r="O103" s="37">
        <f t="shared" si="53"/>
        <v>5.0833333333333333E-5</v>
      </c>
      <c r="P103" s="37">
        <f t="shared" si="54"/>
        <v>4.1830231056572131E-4</v>
      </c>
      <c r="Q103" s="37">
        <f t="shared" si="55"/>
        <v>2.2672626635900084E-3</v>
      </c>
      <c r="R103" s="37">
        <f t="shared" si="56"/>
        <v>2.3727111036870641E-2</v>
      </c>
      <c r="S103" s="37">
        <f t="shared" si="57"/>
        <v>4.0531345700494104E-3</v>
      </c>
      <c r="T103" s="37">
        <f t="shared" si="58"/>
        <v>6.7602108896387403E-3</v>
      </c>
      <c r="U103" s="37">
        <f t="shared" si="59"/>
        <v>5.2725029544570923E-2</v>
      </c>
      <c r="V103" s="37">
        <f t="shared" si="60"/>
        <v>0.12684410293315374</v>
      </c>
      <c r="W103" s="37">
        <f t="shared" si="61"/>
        <v>0.10801357996038274</v>
      </c>
      <c r="X103" s="37">
        <f t="shared" si="62"/>
        <v>6.9313585006150147E-2</v>
      </c>
      <c r="Y103" s="24">
        <v>79</v>
      </c>
      <c r="Z103" s="28">
        <f t="shared" si="63"/>
        <v>43951</v>
      </c>
      <c r="AA103" s="21">
        <f t="array" ref="AA103">PRODUCT(1+O92:O103)-1</f>
        <v>1.6947762914157671E-2</v>
      </c>
      <c r="AB103" s="21">
        <f t="array" ref="AB103">PRODUCT(1+P92:P103)-1</f>
        <v>5.2523092156918416E-2</v>
      </c>
      <c r="AC103" s="21">
        <f t="array" ref="AC103">PRODUCT(1+Q92:Q103)-1</f>
        <v>4.5046691803504624E-2</v>
      </c>
      <c r="AD103" s="21">
        <f t="array" ref="AD103">PRODUCT(1+R92:R103)-1</f>
        <v>3.861298526407686E-2</v>
      </c>
      <c r="AE103" s="21">
        <f t="array" ref="AE103">PRODUCT(1+S92:S103)-1</f>
        <v>0.14752834536326342</v>
      </c>
      <c r="AF103" s="21">
        <f t="array" ref="AF103">PRODUCT(1+T92:T103)-1</f>
        <v>9.0954134772525119E-2</v>
      </c>
      <c r="AG103" s="21">
        <f t="array" ref="AG103">PRODUCT(1+U92:U103)-1</f>
        <v>9.2676301698172425E-2</v>
      </c>
      <c r="AH103" s="21">
        <f t="array" ref="AH103">PRODUCT(1+V92:V103)-1</f>
        <v>-1.1338060920012327E-2</v>
      </c>
      <c r="AI103" s="21">
        <f t="array" ref="AI103">PRODUCT(1+W92:W103)-1</f>
        <v>-5.7750829634593326E-2</v>
      </c>
      <c r="AJ103" s="21">
        <f t="array" ref="AJ103">PRODUCT(1+X92:X103)-1</f>
        <v>0.31395448489711941</v>
      </c>
    </row>
    <row r="104" spans="1:36">
      <c r="A104" s="50">
        <v>91</v>
      </c>
      <c r="B104" s="47">
        <v>43980</v>
      </c>
      <c r="C104" s="51">
        <v>0.1246</v>
      </c>
      <c r="D104" s="52">
        <v>1263.598</v>
      </c>
      <c r="E104" s="52">
        <v>1367.942</v>
      </c>
      <c r="F104" s="52">
        <v>1847.3440000000001</v>
      </c>
      <c r="G104" s="52">
        <v>1874.175</v>
      </c>
      <c r="H104" s="52">
        <v>1699.7829999999999</v>
      </c>
      <c r="I104" s="52">
        <v>3339.0549999999998</v>
      </c>
      <c r="J104" s="52">
        <v>3044.31</v>
      </c>
      <c r="K104" s="52">
        <v>2147.88</v>
      </c>
      <c r="L104" s="52">
        <v>1730.27</v>
      </c>
      <c r="M104" s="53"/>
      <c r="N104" s="54">
        <f t="shared" si="52"/>
        <v>43980</v>
      </c>
      <c r="O104" s="37">
        <f t="shared" si="53"/>
        <v>6.5666666666666659E-5</v>
      </c>
      <c r="P104" s="37">
        <f t="shared" si="54"/>
        <v>6.5332407328955178E-4</v>
      </c>
      <c r="Q104" s="37">
        <f t="shared" si="55"/>
        <v>1.1219188398201574E-3</v>
      </c>
      <c r="R104" s="37">
        <f t="shared" si="56"/>
        <v>1.1510566044761195E-2</v>
      </c>
      <c r="S104" s="37">
        <f t="shared" si="57"/>
        <v>-3.0809051435478629E-3</v>
      </c>
      <c r="T104" s="37">
        <f t="shared" si="58"/>
        <v>1.2924211926443885E-3</v>
      </c>
      <c r="U104" s="37">
        <f t="shared" si="59"/>
        <v>1.7481872879328675E-2</v>
      </c>
      <c r="V104" s="37">
        <f t="shared" si="60"/>
        <v>4.528177501261843E-2</v>
      </c>
      <c r="W104" s="37">
        <f t="shared" si="61"/>
        <v>4.6291740750663779E-2</v>
      </c>
      <c r="X104" s="37">
        <f t="shared" si="62"/>
        <v>2.5953157426623186E-2</v>
      </c>
      <c r="Y104" s="24">
        <v>80</v>
      </c>
      <c r="Z104" s="28">
        <f t="shared" si="63"/>
        <v>43980</v>
      </c>
      <c r="AA104" s="21">
        <f t="array" ref="AA104">PRODUCT(1+O93:O104)-1</f>
        <v>1.4976216497141648E-2</v>
      </c>
      <c r="AB104" s="21">
        <f t="array" ref="AB104">PRODUCT(1+P93:P104)-1</f>
        <v>4.5788493163382959E-2</v>
      </c>
      <c r="AC104" s="21">
        <f t="array" ref="AC104">PRODUCT(1+Q93:Q104)-1</f>
        <v>3.9312444394806301E-2</v>
      </c>
      <c r="AD104" s="21">
        <f t="array" ref="AD104">PRODUCT(1+R93:R104)-1</f>
        <v>4.473305452581533E-2</v>
      </c>
      <c r="AE104" s="21">
        <f t="array" ref="AE104">PRODUCT(1+S93:S104)-1</f>
        <v>0.11671102705775316</v>
      </c>
      <c r="AF104" s="21">
        <f t="array" ref="AF104">PRODUCT(1+T93:T104)-1</f>
        <v>7.5233576873201313E-2</v>
      </c>
      <c r="AG104" s="21">
        <f t="array" ref="AG104">PRODUCT(1+U93:U104)-1</f>
        <v>9.6053615473041365E-2</v>
      </c>
      <c r="AH104" s="21">
        <f t="array" ref="AH104">PRODUCT(1+V93:V104)-1</f>
        <v>0.10619317892778546</v>
      </c>
      <c r="AI104" s="21">
        <f t="array" ref="AI104">PRODUCT(1+W93:W104)-1</f>
        <v>4.9666463042150166E-2</v>
      </c>
      <c r="AJ104" s="21">
        <f t="array" ref="AJ104">PRODUCT(1+X93:X104)-1</f>
        <v>0.32528837757931339</v>
      </c>
    </row>
    <row r="105" spans="1:36">
      <c r="A105" s="50">
        <v>92</v>
      </c>
      <c r="B105" s="47">
        <v>44012</v>
      </c>
      <c r="C105" s="51">
        <v>0.1293</v>
      </c>
      <c r="D105" s="52">
        <v>1263.923</v>
      </c>
      <c r="E105" s="52">
        <v>1368.42</v>
      </c>
      <c r="F105" s="52">
        <v>1862.251</v>
      </c>
      <c r="G105" s="52">
        <v>1876.212</v>
      </c>
      <c r="H105" s="52">
        <v>1703.2729999999999</v>
      </c>
      <c r="I105" s="52">
        <v>3406.346</v>
      </c>
      <c r="J105" s="52">
        <v>3100.29</v>
      </c>
      <c r="K105" s="52">
        <v>2201.79</v>
      </c>
      <c r="L105" s="52">
        <v>1780.96</v>
      </c>
      <c r="M105" s="53"/>
      <c r="N105" s="54">
        <f t="shared" si="52"/>
        <v>44012</v>
      </c>
      <c r="O105" s="37">
        <f t="shared" si="53"/>
        <v>1.0383333333333334E-4</v>
      </c>
      <c r="P105" s="37">
        <f t="shared" si="54"/>
        <v>2.5720205318457978E-4</v>
      </c>
      <c r="Q105" s="37">
        <f t="shared" si="55"/>
        <v>3.4943001969378606E-4</v>
      </c>
      <c r="R105" s="37">
        <f t="shared" si="56"/>
        <v>8.0694229120292782E-3</v>
      </c>
      <c r="S105" s="37">
        <f t="shared" si="57"/>
        <v>1.0868782264197296E-3</v>
      </c>
      <c r="T105" s="37">
        <f t="shared" si="58"/>
        <v>2.0532032618281182E-3</v>
      </c>
      <c r="U105" s="37">
        <f t="shared" si="59"/>
        <v>2.0152707876929243E-2</v>
      </c>
      <c r="V105" s="37">
        <f t="shared" si="60"/>
        <v>1.8388403283502663E-2</v>
      </c>
      <c r="W105" s="37">
        <f t="shared" si="61"/>
        <v>2.5099167551259738E-2</v>
      </c>
      <c r="X105" s="37">
        <f t="shared" si="62"/>
        <v>2.9296005825680371E-2</v>
      </c>
      <c r="Y105" s="24">
        <v>81</v>
      </c>
      <c r="Z105" s="28">
        <f t="shared" si="63"/>
        <v>44012</v>
      </c>
      <c r="AA105" s="21">
        <f t="array" ref="AA105">PRODUCT(1+O94:O105)-1</f>
        <v>1.3106132328425169E-2</v>
      </c>
      <c r="AB105" s="21">
        <f t="array" ref="AB105">PRODUCT(1+P94:P105)-1</f>
        <v>4.0654697310764876E-2</v>
      </c>
      <c r="AC105" s="21">
        <f t="array" ref="AC105">PRODUCT(1+Q94:Q105)-1</f>
        <v>3.5317865327420872E-2</v>
      </c>
      <c r="AD105" s="21">
        <f t="array" ref="AD105">PRODUCT(1+R94:R105)-1</f>
        <v>4.5764270905166216E-2</v>
      </c>
      <c r="AE105" s="21">
        <f t="array" ref="AE105">PRODUCT(1+S94:S105)-1</f>
        <v>0.10764555096778139</v>
      </c>
      <c r="AF105" s="21">
        <f t="array" ref="AF105">PRODUCT(1+T94:T105)-1</f>
        <v>6.9818492896865259E-2</v>
      </c>
      <c r="AG105" s="21">
        <f t="array" ref="AG105">PRODUCT(1+U94:U105)-1</f>
        <v>9.3004742183290912E-2</v>
      </c>
      <c r="AH105" s="21">
        <f t="array" ref="AH105">PRODUCT(1+V94:V105)-1</f>
        <v>5.3889508321549151E-2</v>
      </c>
      <c r="AI105" s="21">
        <f t="array" ref="AI105">PRODUCT(1+W94:W105)-1</f>
        <v>1.0760437946152335E-2</v>
      </c>
      <c r="AJ105" s="21">
        <f t="array" ref="AJ105">PRODUCT(1+X94:X105)-1</f>
        <v>0.26349544180766959</v>
      </c>
    </row>
    <row r="106" spans="1:36">
      <c r="A106" s="50">
        <v>93</v>
      </c>
      <c r="B106" s="47">
        <v>44043</v>
      </c>
      <c r="C106" s="51">
        <v>8.3699999999999997E-2</v>
      </c>
      <c r="D106" s="52">
        <v>1265.2</v>
      </c>
      <c r="E106" s="52">
        <v>1370.3530000000001</v>
      </c>
      <c r="F106" s="52">
        <v>1871.549</v>
      </c>
      <c r="G106" s="52">
        <v>1898.944</v>
      </c>
      <c r="H106" s="52">
        <v>1710.2449999999999</v>
      </c>
      <c r="I106" s="52">
        <v>3513.6709999999998</v>
      </c>
      <c r="J106" s="52">
        <v>3271.12</v>
      </c>
      <c r="K106" s="52">
        <v>2304.98</v>
      </c>
      <c r="L106" s="52">
        <v>1975.86</v>
      </c>
      <c r="M106" s="53"/>
      <c r="N106" s="54">
        <f t="shared" si="52"/>
        <v>44043</v>
      </c>
      <c r="O106" s="37">
        <f t="shared" si="53"/>
        <v>1.0775E-4</v>
      </c>
      <c r="P106" s="37">
        <f t="shared" si="54"/>
        <v>1.0103463581248029E-3</v>
      </c>
      <c r="Q106" s="37">
        <f t="shared" si="55"/>
        <v>1.4125780096754248E-3</v>
      </c>
      <c r="R106" s="37">
        <f t="shared" si="56"/>
        <v>4.9928822698981357E-3</v>
      </c>
      <c r="S106" s="37">
        <f t="shared" si="57"/>
        <v>1.2115901614529578E-2</v>
      </c>
      <c r="T106" s="37">
        <f t="shared" si="58"/>
        <v>4.0932956725081571E-3</v>
      </c>
      <c r="U106" s="37">
        <f t="shared" si="59"/>
        <v>3.1507368893236354E-2</v>
      </c>
      <c r="V106" s="37">
        <f t="shared" si="60"/>
        <v>5.5101296975444303E-2</v>
      </c>
      <c r="W106" s="37">
        <f t="shared" si="61"/>
        <v>4.6866413236503091E-2</v>
      </c>
      <c r="X106" s="37">
        <f t="shared" si="62"/>
        <v>0.10943536070433924</v>
      </c>
      <c r="Y106" s="24">
        <v>82</v>
      </c>
      <c r="Z106" s="28">
        <f t="shared" si="63"/>
        <v>44043</v>
      </c>
      <c r="AA106" s="21">
        <f t="array" ref="AA106">PRODUCT(1+O95:O106)-1</f>
        <v>1.1456371883477923E-2</v>
      </c>
      <c r="AB106" s="21">
        <f t="array" ref="AB106">PRODUCT(1+P95:P106)-1</f>
        <v>4.2935783446567788E-2</v>
      </c>
      <c r="AC106" s="21">
        <f t="array" ref="AC106">PRODUCT(1+Q95:Q106)-1</f>
        <v>3.7266107545113725E-2</v>
      </c>
      <c r="AD106" s="21">
        <f t="array" ref="AD106">PRODUCT(1+R95:R106)-1</f>
        <v>4.9720035245888194E-2</v>
      </c>
      <c r="AE106" s="21">
        <f t="array" ref="AE106">PRODUCT(1+S95:S106)-1</f>
        <v>0.12224763458208465</v>
      </c>
      <c r="AF106" s="21">
        <f t="array" ref="AF106">PRODUCT(1+T95:T106)-1</f>
        <v>7.4302839647779839E-2</v>
      </c>
      <c r="AG106" s="21">
        <f t="array" ref="AG106">PRODUCT(1+U95:U106)-1</f>
        <v>0.12010148801914733</v>
      </c>
      <c r="AH106" s="21">
        <f t="array" ref="AH106">PRODUCT(1+V95:V106)-1</f>
        <v>9.755131895932756E-2</v>
      </c>
      <c r="AI106" s="21">
        <f t="array" ref="AI106">PRODUCT(1+W95:W106)-1</f>
        <v>5.3676242023076082E-2</v>
      </c>
      <c r="AJ106" s="21">
        <f t="array" ref="AJ106">PRODUCT(1+X95:X106)-1</f>
        <v>0.39757246530577639</v>
      </c>
    </row>
    <row r="107" spans="1:36">
      <c r="A107" s="50">
        <v>94</v>
      </c>
      <c r="B107" s="47">
        <v>44074</v>
      </c>
      <c r="C107" s="51">
        <v>9.3799999999999994E-2</v>
      </c>
      <c r="D107" s="52">
        <v>1264.893</v>
      </c>
      <c r="E107" s="52">
        <v>1370.7529999999999</v>
      </c>
      <c r="F107" s="52">
        <v>1876.261</v>
      </c>
      <c r="G107" s="52">
        <v>1876.126</v>
      </c>
      <c r="H107" s="52">
        <v>1707.2829999999999</v>
      </c>
      <c r="I107" s="52">
        <v>3473.12</v>
      </c>
      <c r="J107" s="52">
        <v>3500.31</v>
      </c>
      <c r="K107" s="52">
        <v>2455.5100000000002</v>
      </c>
      <c r="L107" s="52">
        <v>1967.8</v>
      </c>
      <c r="M107" s="53"/>
      <c r="N107" s="54">
        <f t="shared" si="52"/>
        <v>44074</v>
      </c>
      <c r="O107" s="37">
        <f t="shared" si="53"/>
        <v>6.9750000000000001E-5</v>
      </c>
      <c r="P107" s="37">
        <f t="shared" si="54"/>
        <v>-2.4264938349671805E-4</v>
      </c>
      <c r="Q107" s="37">
        <f t="shared" si="55"/>
        <v>2.9189559186559855E-4</v>
      </c>
      <c r="R107" s="37">
        <f t="shared" si="56"/>
        <v>2.5177005785046447E-3</v>
      </c>
      <c r="S107" s="37">
        <f t="shared" si="57"/>
        <v>-1.2016152135081337E-2</v>
      </c>
      <c r="T107" s="37">
        <f t="shared" si="58"/>
        <v>-1.7319156027352234E-3</v>
      </c>
      <c r="U107" s="37">
        <f t="shared" si="59"/>
        <v>-1.1540921161941387E-2</v>
      </c>
      <c r="V107" s="37">
        <f t="shared" si="60"/>
        <v>7.0064687324219221E-2</v>
      </c>
      <c r="W107" s="37">
        <f t="shared" si="61"/>
        <v>6.5306423483067144E-2</v>
      </c>
      <c r="X107" s="37">
        <f t="shared" si="62"/>
        <v>-4.0792363831445577E-3</v>
      </c>
      <c r="Y107" s="24">
        <v>83</v>
      </c>
      <c r="Z107" s="28">
        <f t="shared" si="63"/>
        <v>44074</v>
      </c>
      <c r="AA107" s="21">
        <f t="array" ref="AA107">PRODUCT(1+O96:O107)-1</f>
        <v>9.7920981408108343E-3</v>
      </c>
      <c r="AB107" s="21">
        <f t="array" ref="AB107">PRODUCT(1+P96:P107)-1</f>
        <v>3.4340558247703212E-2</v>
      </c>
      <c r="AC107" s="21">
        <f t="array" ref="AC107">PRODUCT(1+Q96:Q107)-1</f>
        <v>3.0107711118074976E-2</v>
      </c>
      <c r="AD107" s="21">
        <f t="array" ref="AD107">PRODUCT(1+R96:R107)-1</f>
        <v>4.4434622533381374E-2</v>
      </c>
      <c r="AE107" s="21">
        <f t="array" ref="AE107">PRODUCT(1+S96:S107)-1</f>
        <v>7.0714334224203146E-2</v>
      </c>
      <c r="AF107" s="21">
        <f t="array" ref="AF107">PRODUCT(1+T96:T107)-1</f>
        <v>4.8930937473312897E-2</v>
      </c>
      <c r="AG107" s="21">
        <f t="array" ref="AG107">PRODUCT(1+U96:U107)-1</f>
        <v>7.4549767446753235E-2</v>
      </c>
      <c r="AH107" s="21">
        <f t="array" ref="AH107">PRODUCT(1+V96:V107)-1</f>
        <v>0.19609015670810459</v>
      </c>
      <c r="AI107" s="21">
        <f t="array" ref="AI107">PRODUCT(1+W96:W107)-1</f>
        <v>0.14822868151805935</v>
      </c>
      <c r="AJ107" s="21">
        <f t="array" ref="AJ107">PRODUCT(1+X96:X107)-1</f>
        <v>0.29428169273471094</v>
      </c>
    </row>
    <row r="108" spans="1:36">
      <c r="A108" s="50">
        <v>95</v>
      </c>
      <c r="B108" s="47">
        <v>44104</v>
      </c>
      <c r="C108" s="51">
        <v>9.1499999999999998E-2</v>
      </c>
      <c r="D108" s="52">
        <v>1265.2349999999999</v>
      </c>
      <c r="E108" s="52">
        <v>1371.1769999999999</v>
      </c>
      <c r="F108" s="52">
        <v>1876.038</v>
      </c>
      <c r="G108" s="52">
        <v>1879.597</v>
      </c>
      <c r="H108" s="52">
        <v>1710.107</v>
      </c>
      <c r="I108" s="52">
        <v>3463.9450000000002</v>
      </c>
      <c r="J108" s="52">
        <v>3363</v>
      </c>
      <c r="K108" s="52">
        <v>2367.27</v>
      </c>
      <c r="L108" s="52">
        <v>1885.82</v>
      </c>
      <c r="M108" s="53"/>
      <c r="N108" s="54">
        <f t="shared" si="52"/>
        <v>44104</v>
      </c>
      <c r="O108" s="37">
        <f t="shared" si="53"/>
        <v>7.8166666666666665E-5</v>
      </c>
      <c r="P108" s="37">
        <f t="shared" si="54"/>
        <v>2.7037860119394352E-4</v>
      </c>
      <c r="Q108" s="37">
        <f t="shared" si="55"/>
        <v>3.0931903851394438E-4</v>
      </c>
      <c r="R108" s="37">
        <f t="shared" si="56"/>
        <v>-1.1885340045969528E-4</v>
      </c>
      <c r="S108" s="37">
        <f t="shared" si="57"/>
        <v>1.8500889599100123E-3</v>
      </c>
      <c r="T108" s="37">
        <f t="shared" si="58"/>
        <v>1.6540901537707153E-3</v>
      </c>
      <c r="U108" s="37">
        <f t="shared" si="59"/>
        <v>-2.6417169576633537E-3</v>
      </c>
      <c r="V108" s="37">
        <f t="shared" si="60"/>
        <v>-3.9227954095494399E-2</v>
      </c>
      <c r="W108" s="37">
        <f t="shared" si="61"/>
        <v>-3.5935508305810271E-2</v>
      </c>
      <c r="X108" s="37">
        <f t="shared" si="62"/>
        <v>-4.1660737879865906E-2</v>
      </c>
      <c r="Y108" s="24">
        <v>84</v>
      </c>
      <c r="Z108" s="28">
        <f t="shared" si="63"/>
        <v>44104</v>
      </c>
      <c r="AA108" s="21">
        <f t="array" ref="AA108">PRODUCT(1+O97:O108)-1</f>
        <v>8.2104236378821582E-3</v>
      </c>
      <c r="AB108" s="21">
        <f t="array" ref="AB108">PRODUCT(1+P97:P108)-1</f>
        <v>3.5768725103189514E-2</v>
      </c>
      <c r="AC108" s="21">
        <f t="array" ref="AC108">PRODUCT(1+Q97:Q108)-1</f>
        <v>3.0974103408918374E-2</v>
      </c>
      <c r="AD108" s="21">
        <f t="array" ref="AD108">PRODUCT(1+R97:R108)-1</f>
        <v>4.3086494916724227E-2</v>
      </c>
      <c r="AE108" s="21">
        <f t="array" ref="AE108">PRODUCT(1+S97:S108)-1</f>
        <v>8.2474606784539439E-2</v>
      </c>
      <c r="AF108" s="21">
        <f t="array" ref="AF108">PRODUCT(1+T97:T108)-1</f>
        <v>5.5714794577546467E-2</v>
      </c>
      <c r="AG108" s="21">
        <f t="array" ref="AG108">PRODUCT(1+U97:U108)-1</f>
        <v>7.8381256788633058E-2</v>
      </c>
      <c r="AH108" s="21">
        <f t="array" ref="AH108">PRODUCT(1+V97:V108)-1</f>
        <v>0.1297594012241583</v>
      </c>
      <c r="AI108" s="21">
        <f t="array" ref="AI108">PRODUCT(1+W97:W108)-1</f>
        <v>8.5893707397180163E-2</v>
      </c>
      <c r="AJ108" s="21">
        <f t="array" ref="AJ108">PRODUCT(1+X97:X108)-1</f>
        <v>0.28070139695345975</v>
      </c>
    </row>
    <row r="109" spans="1:36">
      <c r="A109" s="50">
        <v>96</v>
      </c>
      <c r="B109" s="47">
        <v>44134</v>
      </c>
      <c r="C109" s="51">
        <v>8.6400000000000005E-2</v>
      </c>
      <c r="D109" s="52">
        <v>1264.702</v>
      </c>
      <c r="E109" s="52">
        <v>1371.085</v>
      </c>
      <c r="F109" s="52">
        <v>1879.443</v>
      </c>
      <c r="G109" s="52">
        <v>1860.62</v>
      </c>
      <c r="H109" s="52">
        <v>1704.001</v>
      </c>
      <c r="I109" s="52">
        <v>3458.0030000000002</v>
      </c>
      <c r="J109" s="52">
        <v>3269.96</v>
      </c>
      <c r="K109" s="52">
        <v>2292.9299999999998</v>
      </c>
      <c r="L109" s="52">
        <v>1878.81</v>
      </c>
      <c r="M109" s="53"/>
      <c r="N109" s="54">
        <f t="shared" si="52"/>
        <v>44134</v>
      </c>
      <c r="O109" s="37">
        <f t="shared" si="53"/>
        <v>7.6249999999999997E-5</v>
      </c>
      <c r="P109" s="37">
        <f t="shared" si="54"/>
        <v>-4.2126561468813772E-4</v>
      </c>
      <c r="Q109" s="37">
        <f t="shared" si="55"/>
        <v>-6.7095641189895971E-5</v>
      </c>
      <c r="R109" s="37">
        <f t="shared" si="56"/>
        <v>1.8149952186470308E-3</v>
      </c>
      <c r="S109" s="37">
        <f t="shared" si="57"/>
        <v>-1.0096313199052798E-2</v>
      </c>
      <c r="T109" s="37">
        <f t="shared" si="58"/>
        <v>-3.5705368143630345E-3</v>
      </c>
      <c r="U109" s="37">
        <f t="shared" si="59"/>
        <v>-1.7153852038643835E-3</v>
      </c>
      <c r="V109" s="37">
        <f t="shared" si="60"/>
        <v>-2.7665774606006499E-2</v>
      </c>
      <c r="W109" s="37">
        <f t="shared" si="61"/>
        <v>-3.1403261985324948E-2</v>
      </c>
      <c r="X109" s="37">
        <f t="shared" si="62"/>
        <v>-3.7172158530506261E-3</v>
      </c>
      <c r="Y109" s="24">
        <v>85</v>
      </c>
      <c r="Z109" s="28">
        <f t="shared" si="63"/>
        <v>44134</v>
      </c>
      <c r="AA109" s="21">
        <f t="array" ref="AA109">PRODUCT(1+O98:O109)-1</f>
        <v>6.7711861739059298E-3</v>
      </c>
      <c r="AB109" s="21">
        <f t="array" ref="AB109">PRODUCT(1+P98:P109)-1</f>
        <v>3.1933000752305096E-2</v>
      </c>
      <c r="AC109" s="21">
        <f t="array" ref="AC109">PRODUCT(1+Q98:Q109)-1</f>
        <v>2.7825276037563462E-2</v>
      </c>
      <c r="AD109" s="21">
        <f t="array" ref="AD109">PRODUCT(1+R98:R109)-1</f>
        <v>4.038671785262582E-2</v>
      </c>
      <c r="AE109" s="21">
        <f t="array" ref="AE109">PRODUCT(1+S98:S109)-1</f>
        <v>7.1216784633966856E-2</v>
      </c>
      <c r="AF109" s="21">
        <f t="array" ref="AF109">PRODUCT(1+T98:T109)-1</f>
        <v>4.986873567906569E-2</v>
      </c>
      <c r="AG109" s="21">
        <f t="array" ref="AG109">PRODUCT(1+U98:U109)-1</f>
        <v>6.9987254847660108E-2</v>
      </c>
      <c r="AH109" s="21">
        <f t="array" ref="AH109">PRODUCT(1+V98:V109)-1</f>
        <v>7.6508776781364363E-2</v>
      </c>
      <c r="AI109" s="21">
        <f t="array" ref="AI109">PRODUCT(1+W98:W109)-1</f>
        <v>2.6594673006406611E-2</v>
      </c>
      <c r="AJ109" s="21">
        <f t="array" ref="AJ109">PRODUCT(1+X98:X109)-1</f>
        <v>0.24178613209604838</v>
      </c>
    </row>
    <row r="110" spans="1:36">
      <c r="A110" s="50">
        <v>97</v>
      </c>
      <c r="B110" s="47">
        <v>44165</v>
      </c>
      <c r="C110" s="51">
        <v>7.1199999999999999E-2</v>
      </c>
      <c r="D110" s="52">
        <v>1265.2840000000001</v>
      </c>
      <c r="E110" s="52">
        <v>1371.787</v>
      </c>
      <c r="F110" s="52">
        <v>1885.8409999999999</v>
      </c>
      <c r="G110" s="52">
        <v>1867.7070000000001</v>
      </c>
      <c r="H110" s="52">
        <v>1708.5509999999999</v>
      </c>
      <c r="I110" s="52">
        <v>3550.1860000000001</v>
      </c>
      <c r="J110" s="52">
        <v>3621.63</v>
      </c>
      <c r="K110" s="52">
        <v>2583.14</v>
      </c>
      <c r="L110" s="52">
        <v>1776.95</v>
      </c>
      <c r="M110" s="53"/>
      <c r="N110" s="54">
        <f t="shared" si="52"/>
        <v>44165</v>
      </c>
      <c r="O110" s="37">
        <f t="shared" si="53"/>
        <v>7.2000000000000002E-5</v>
      </c>
      <c r="P110" s="37">
        <f t="shared" si="54"/>
        <v>4.6018745918008364E-4</v>
      </c>
      <c r="Q110" s="37">
        <f t="shared" si="55"/>
        <v>5.1200326748523928E-4</v>
      </c>
      <c r="R110" s="37">
        <f t="shared" si="56"/>
        <v>3.404200074170971E-3</v>
      </c>
      <c r="S110" s="37">
        <f t="shared" si="57"/>
        <v>3.8089454052951943E-3</v>
      </c>
      <c r="T110" s="37">
        <f t="shared" si="58"/>
        <v>2.67018622641646E-3</v>
      </c>
      <c r="U110" s="37">
        <f t="shared" si="59"/>
        <v>2.6657871609712336E-2</v>
      </c>
      <c r="V110" s="37">
        <f t="shared" si="60"/>
        <v>0.10754565805086314</v>
      </c>
      <c r="W110" s="37">
        <f t="shared" si="61"/>
        <v>0.1265673177986244</v>
      </c>
      <c r="X110" s="37">
        <f t="shared" si="62"/>
        <v>-5.4215168111730216E-2</v>
      </c>
      <c r="Y110" s="24">
        <v>86</v>
      </c>
      <c r="Z110" s="28">
        <f t="shared" si="63"/>
        <v>44165</v>
      </c>
      <c r="AA110" s="21">
        <f t="array" ref="AA110">PRODUCT(1+O99:O110)-1</f>
        <v>5.5666041120880916E-3</v>
      </c>
      <c r="AB110" s="21">
        <f t="array" ref="AB110">PRODUCT(1+P99:P110)-1</f>
        <v>3.2738206981212992E-2</v>
      </c>
      <c r="AC110" s="21">
        <f t="array" ref="AC110">PRODUCT(1+Q99:Q110)-1</f>
        <v>2.7980858002710329E-2</v>
      </c>
      <c r="AD110" s="21">
        <f t="array" ref="AD110">PRODUCT(1+R99:R110)-1</f>
        <v>4.2985579480985026E-2</v>
      </c>
      <c r="AE110" s="21">
        <f t="array" ref="AE110">PRODUCT(1+S99:S110)-1</f>
        <v>7.8614952017782569E-2</v>
      </c>
      <c r="AF110" s="21">
        <f t="array" ref="AF110">PRODUCT(1+T99:T110)-1</f>
        <v>5.3942868563645829E-2</v>
      </c>
      <c r="AG110" s="21">
        <f t="array" ref="AG110">PRODUCT(1+U99:U110)-1</f>
        <v>9.6135629642894793E-2</v>
      </c>
      <c r="AH110" s="21">
        <f t="array" ref="AH110">PRODUCT(1+V99:V110)-1</f>
        <v>0.15302548886016476</v>
      </c>
      <c r="AI110" s="21">
        <f t="array" ref="AI110">PRODUCT(1+W99:W110)-1</f>
        <v>0.12689659986214474</v>
      </c>
      <c r="AJ110" s="21">
        <f t="array" ref="AJ110">PRODUCT(1+X99:X110)-1</f>
        <v>0.21378024289949327</v>
      </c>
    </row>
    <row r="111" spans="1:36">
      <c r="A111" s="50">
        <v>98</v>
      </c>
      <c r="B111" s="47">
        <v>44196</v>
      </c>
      <c r="C111" s="51">
        <v>5.8299999999999998E-2</v>
      </c>
      <c r="D111" s="52">
        <v>1265.8710000000001</v>
      </c>
      <c r="E111" s="52">
        <v>1372.9880000000001</v>
      </c>
      <c r="F111" s="52">
        <v>1889.9</v>
      </c>
      <c r="G111" s="52">
        <v>1862.4269999999999</v>
      </c>
      <c r="H111" s="52">
        <v>1710.732</v>
      </c>
      <c r="I111" s="52">
        <v>3567.627</v>
      </c>
      <c r="J111" s="52">
        <v>3756.07</v>
      </c>
      <c r="K111" s="52">
        <v>2690.04</v>
      </c>
      <c r="L111" s="52">
        <v>1898.36</v>
      </c>
      <c r="M111" s="53"/>
      <c r="N111" s="54">
        <f t="shared" si="52"/>
        <v>44196</v>
      </c>
      <c r="O111" s="37">
        <f t="shared" si="53"/>
        <v>5.933333333333333E-5</v>
      </c>
      <c r="P111" s="37">
        <f t="shared" si="54"/>
        <v>4.6392746608669988E-4</v>
      </c>
      <c r="Q111" s="37">
        <f t="shared" si="55"/>
        <v>8.7550035100192325E-4</v>
      </c>
      <c r="R111" s="37">
        <f t="shared" si="56"/>
        <v>2.1523553682416541E-3</v>
      </c>
      <c r="S111" s="37">
        <f t="shared" si="57"/>
        <v>-2.8269958831873554E-3</v>
      </c>
      <c r="T111" s="37">
        <f t="shared" si="58"/>
        <v>1.2765202794648989E-3</v>
      </c>
      <c r="U111" s="37">
        <f t="shared" si="59"/>
        <v>4.9127003486577614E-3</v>
      </c>
      <c r="V111" s="37">
        <f t="shared" si="60"/>
        <v>3.712140665943231E-2</v>
      </c>
      <c r="W111" s="37">
        <f t="shared" si="61"/>
        <v>4.1383742267163237E-2</v>
      </c>
      <c r="X111" s="37">
        <f t="shared" si="62"/>
        <v>6.8324938799628532E-2</v>
      </c>
      <c r="Y111" s="24">
        <v>87</v>
      </c>
      <c r="Z111" s="28">
        <f t="shared" si="63"/>
        <v>44196</v>
      </c>
      <c r="AA111" s="21">
        <f t="array" ref="AA111">PRODUCT(1+O100:O111)-1</f>
        <v>4.3146328201351114E-3</v>
      </c>
      <c r="AB111" s="21">
        <f t="array" ref="AB111">PRODUCT(1+P100:P111)-1</f>
        <v>3.1031005756769758E-2</v>
      </c>
      <c r="AC111" s="21">
        <f t="array" ref="AC111">PRODUCT(1+Q100:Q111)-1</f>
        <v>2.6733441067752217E-2</v>
      </c>
      <c r="AD111" s="21">
        <f t="array" ref="AD111">PRODUCT(1+R100:R111)-1</f>
        <v>4.1617292864268851E-2</v>
      </c>
      <c r="AE111" s="21">
        <f t="array" ref="AE111">PRODUCT(1+S100:S111)-1</f>
        <v>8.2234447027704549E-2</v>
      </c>
      <c r="AF111" s="21">
        <f t="array" ref="AF111">PRODUCT(1+T100:T111)-1</f>
        <v>5.7459782726275499E-2</v>
      </c>
      <c r="AG111" s="21">
        <f t="array" ref="AG111">PRODUCT(1+U100:U111)-1</f>
        <v>9.8061478789162493E-2</v>
      </c>
      <c r="AH111" s="21">
        <f t="array" ref="AH111">PRODUCT(1+V100:V111)-1</f>
        <v>0.16258921994069597</v>
      </c>
      <c r="AI111" s="21">
        <f t="array" ref="AI111">PRODUCT(1+W100:W111)-1</f>
        <v>0.14058690591781975</v>
      </c>
      <c r="AJ111" s="21">
        <f t="array" ref="AJ111">PRODUCT(1+X100:X111)-1</f>
        <v>0.2511682165995508</v>
      </c>
    </row>
    <row r="112" spans="1:36">
      <c r="A112" s="50">
        <v>99</v>
      </c>
      <c r="B112" s="47">
        <v>44225</v>
      </c>
      <c r="C112" s="51">
        <v>4.82E-2</v>
      </c>
      <c r="D112" s="52">
        <v>1266.0609999999999</v>
      </c>
      <c r="E112" s="52">
        <v>1373.5619999999999</v>
      </c>
      <c r="F112" s="52">
        <v>1890.981</v>
      </c>
      <c r="G112" s="52">
        <v>1841.5139999999999</v>
      </c>
      <c r="H112" s="52">
        <v>1706.0930000000001</v>
      </c>
      <c r="I112" s="52">
        <v>3524.1060000000002</v>
      </c>
      <c r="J112" s="52">
        <v>3714.24</v>
      </c>
      <c r="K112" s="52">
        <v>2661.69</v>
      </c>
      <c r="L112" s="52">
        <v>1847.65</v>
      </c>
      <c r="M112" s="53"/>
      <c r="N112" s="54">
        <f t="shared" si="52"/>
        <v>44225</v>
      </c>
      <c r="O112" s="37">
        <f t="shared" si="53"/>
        <v>4.8583333333333333E-5</v>
      </c>
      <c r="P112" s="37">
        <f t="shared" si="54"/>
        <v>1.5009428290868598E-4</v>
      </c>
      <c r="Q112" s="37">
        <f t="shared" si="55"/>
        <v>4.1806629045537669E-4</v>
      </c>
      <c r="R112" s="37">
        <f t="shared" si="56"/>
        <v>5.7198793586965557E-4</v>
      </c>
      <c r="S112" s="37">
        <f t="shared" si="57"/>
        <v>-1.1228896488291951E-2</v>
      </c>
      <c r="T112" s="37">
        <f t="shared" si="58"/>
        <v>-2.711704697170525E-3</v>
      </c>
      <c r="U112" s="37">
        <f t="shared" si="59"/>
        <v>-1.2198864959817701E-2</v>
      </c>
      <c r="V112" s="37">
        <f t="shared" si="60"/>
        <v>-1.1136640158463607E-2</v>
      </c>
      <c r="W112" s="37">
        <f t="shared" si="61"/>
        <v>-1.0538876745327164E-2</v>
      </c>
      <c r="X112" s="37">
        <f t="shared" si="62"/>
        <v>-2.6712530816072722E-2</v>
      </c>
      <c r="Y112" s="24">
        <v>88</v>
      </c>
      <c r="Z112" s="28">
        <f t="shared" si="63"/>
        <v>44225</v>
      </c>
      <c r="AA112" s="21">
        <f t="array" ref="AA112">PRODUCT(1+O101:O112)-1</f>
        <v>3.073139357785859E-3</v>
      </c>
      <c r="AB112" s="21">
        <f t="array" ref="AB112">PRODUCT(1+P101:P112)-1</f>
        <v>2.5637265941572451E-2</v>
      </c>
      <c r="AC112" s="21">
        <f t="array" ref="AC112">PRODUCT(1+Q101:Q112)-1</f>
        <v>2.2780885322658539E-2</v>
      </c>
      <c r="AD112" s="21">
        <f t="array" ref="AD112">PRODUCT(1+R101:R112)-1</f>
        <v>3.6294795128324342E-2</v>
      </c>
      <c r="AE112" s="21">
        <f t="array" ref="AE112">PRODUCT(1+S101:S112)-1</f>
        <v>4.3327654516415404E-2</v>
      </c>
      <c r="AF112" s="21">
        <f t="array" ref="AF112">PRODUCT(1+T101:T112)-1</f>
        <v>3.8334738193846363E-2</v>
      </c>
      <c r="AG112" s="21">
        <f t="array" ref="AG112">PRODUCT(1+U101:U112)-1</f>
        <v>5.9494987242248332E-2</v>
      </c>
      <c r="AH112" s="21">
        <f t="array" ref="AH112">PRODUCT(1+V101:V112)-1</f>
        <v>0.15151665467893594</v>
      </c>
      <c r="AI112" s="21">
        <f t="array" ref="AI112">PRODUCT(1+W101:W112)-1</f>
        <v>0.13630406290956754</v>
      </c>
      <c r="AJ112" s="21">
        <f t="array" ref="AJ112">PRODUCT(1+X101:X112)-1</f>
        <v>0.16265825970953252</v>
      </c>
    </row>
    <row r="113" spans="1:36">
      <c r="A113" s="50">
        <v>100</v>
      </c>
      <c r="B113" s="47">
        <v>44253</v>
      </c>
      <c r="C113" s="51">
        <v>3.3000000000000002E-2</v>
      </c>
      <c r="D113" s="52">
        <v>1265.0440000000001</v>
      </c>
      <c r="E113" s="52">
        <v>1372.6420000000001</v>
      </c>
      <c r="F113" s="52">
        <v>1891.731</v>
      </c>
      <c r="G113" s="52">
        <v>1799.413</v>
      </c>
      <c r="H113" s="52">
        <v>1690.183</v>
      </c>
      <c r="I113" s="52">
        <v>3455.192</v>
      </c>
      <c r="J113" s="52">
        <v>3811.15</v>
      </c>
      <c r="K113" s="52">
        <v>2726.91</v>
      </c>
      <c r="L113" s="52">
        <v>1734.04</v>
      </c>
      <c r="M113" s="53"/>
      <c r="N113" s="54">
        <f t="shared" si="52"/>
        <v>44253</v>
      </c>
      <c r="O113" s="37">
        <f t="shared" si="53"/>
        <v>4.0166666666666669E-5</v>
      </c>
      <c r="P113" s="37">
        <f t="shared" si="54"/>
        <v>-8.032788309566552E-4</v>
      </c>
      <c r="Q113" s="37">
        <f t="shared" si="55"/>
        <v>-6.6979138910350233E-4</v>
      </c>
      <c r="R113" s="37">
        <f t="shared" si="56"/>
        <v>3.9661953240144321E-4</v>
      </c>
      <c r="S113" s="37">
        <f t="shared" si="57"/>
        <v>-2.2862166673725981E-2</v>
      </c>
      <c r="T113" s="37">
        <f t="shared" si="58"/>
        <v>-9.3254001979963252E-3</v>
      </c>
      <c r="U113" s="37">
        <f t="shared" si="59"/>
        <v>-1.9555030410549623E-2</v>
      </c>
      <c r="V113" s="37">
        <f t="shared" si="60"/>
        <v>2.6091474971999817E-2</v>
      </c>
      <c r="W113" s="37">
        <f t="shared" si="61"/>
        <v>2.4503229151403794E-2</v>
      </c>
      <c r="X113" s="37">
        <f t="shared" si="62"/>
        <v>-6.1488918355749211E-2</v>
      </c>
      <c r="Y113" s="24">
        <v>89</v>
      </c>
      <c r="Z113" s="28">
        <f t="shared" si="63"/>
        <v>44253</v>
      </c>
      <c r="AA113" s="21">
        <f t="array" ref="AA113">PRODUCT(1+O102:O113)-1</f>
        <v>1.8292513335496086E-3</v>
      </c>
      <c r="AB113" s="21">
        <f t="array" ref="AB113">PRODUCT(1+P102:P113)-1</f>
        <v>1.5966584294586639E-2</v>
      </c>
      <c r="AC113" s="21">
        <f t="array" ref="AC113">PRODUCT(1+Q102:Q113)-1</f>
        <v>1.5004240762937604E-2</v>
      </c>
      <c r="AD113" s="21">
        <f t="array" ref="AD113">PRODUCT(1+R102:R113)-1</f>
        <v>3.0764410686166199E-2</v>
      </c>
      <c r="AE113" s="21">
        <f t="array" ref="AE113">PRODUCT(1+S102:S113)-1</f>
        <v>-7.5993055341079252E-3</v>
      </c>
      <c r="AF113" s="21">
        <f t="array" ref="AF113">PRODUCT(1+T102:T113)-1</f>
        <v>1.1871136298054363E-2</v>
      </c>
      <c r="AG113" s="21">
        <f t="array" ref="AG113">PRODUCT(1+U102:U113)-1</f>
        <v>2.5543062401198746E-2</v>
      </c>
      <c r="AH113" s="21">
        <f t="array" ref="AH113">PRODUCT(1+V102:V113)-1</f>
        <v>0.29006979845780001</v>
      </c>
      <c r="AI113" s="21">
        <f t="array" ref="AI113">PRODUCT(1+W102:W113)-1</f>
        <v>0.27359045733074239</v>
      </c>
      <c r="AJ113" s="21">
        <f t="array" ref="AJ113">PRODUCT(1+X102:X113)-1</f>
        <v>9.355548688583526E-2</v>
      </c>
    </row>
    <row r="114" spans="1:36">
      <c r="A114" s="50">
        <v>101</v>
      </c>
      <c r="B114" s="47">
        <v>44286</v>
      </c>
      <c r="C114" s="51">
        <v>1.52E-2</v>
      </c>
      <c r="D114" s="52">
        <v>1265.28</v>
      </c>
      <c r="E114" s="52">
        <v>1372.6780000000001</v>
      </c>
      <c r="F114" s="52">
        <v>1890.191</v>
      </c>
      <c r="G114" s="52">
        <v>1776.644</v>
      </c>
      <c r="H114" s="52">
        <v>1680.471</v>
      </c>
      <c r="I114" s="52">
        <v>3407.268</v>
      </c>
      <c r="J114" s="52">
        <v>3972.89</v>
      </c>
      <c r="K114" s="52">
        <v>2811.7</v>
      </c>
      <c r="L114" s="52">
        <v>1707.71</v>
      </c>
      <c r="M114" s="53"/>
      <c r="N114" s="54">
        <f t="shared" si="52"/>
        <v>44286</v>
      </c>
      <c r="O114" s="37">
        <f t="shared" si="53"/>
        <v>2.7500000000000001E-5</v>
      </c>
      <c r="P114" s="37">
        <f t="shared" si="54"/>
        <v>1.8655477596030146E-4</v>
      </c>
      <c r="Q114" s="37">
        <f t="shared" si="55"/>
        <v>2.6226794750616733E-5</v>
      </c>
      <c r="R114" s="37">
        <f t="shared" si="56"/>
        <v>-8.1406923077331772E-4</v>
      </c>
      <c r="S114" s="37">
        <f t="shared" si="57"/>
        <v>-1.2653570914514911E-2</v>
      </c>
      <c r="T114" s="37">
        <f t="shared" si="58"/>
        <v>-5.7461233487734464E-3</v>
      </c>
      <c r="U114" s="37">
        <f t="shared" si="59"/>
        <v>-1.3870140935728026E-2</v>
      </c>
      <c r="V114" s="37">
        <f t="shared" si="60"/>
        <v>4.2438634008107767E-2</v>
      </c>
      <c r="W114" s="37">
        <f t="shared" si="61"/>
        <v>3.109380214235169E-2</v>
      </c>
      <c r="X114" s="37">
        <f t="shared" si="62"/>
        <v>-1.5184194136236728E-2</v>
      </c>
      <c r="Y114" s="24">
        <v>90</v>
      </c>
      <c r="Z114" s="28">
        <f t="shared" si="63"/>
        <v>44286</v>
      </c>
      <c r="AA114" s="21">
        <f t="array" ref="AA114">PRODUCT(1+O103:O114)-1</f>
        <v>8.0012350755764849E-4</v>
      </c>
      <c r="AB114" s="21">
        <f t="array" ref="AB114">PRODUCT(1+P103:P114)-1</f>
        <v>2.4044460465286743E-3</v>
      </c>
      <c r="AC114" s="21">
        <f t="array" ref="AC114">PRODUCT(1+Q103:Q114)-1</f>
        <v>6.865602889421174E-3</v>
      </c>
      <c r="AD114" s="21">
        <f t="array" ref="AD114">PRODUCT(1+R103:R114)-1</f>
        <v>5.9528260480843143E-2</v>
      </c>
      <c r="AE114" s="21">
        <f t="array" ref="AE114">PRODUCT(1+S103:S114)-1</f>
        <v>-5.1129633012137243E-2</v>
      </c>
      <c r="AF114" s="21">
        <f t="array" ref="AF114">PRODUCT(1+T103:T114)-1</f>
        <v>-3.3916699778794301E-3</v>
      </c>
      <c r="AG114" s="21">
        <f t="array" ref="AG114">PRODUCT(1+U103:U114)-1</f>
        <v>9.3010543658599731E-2</v>
      </c>
      <c r="AH114" s="21">
        <f t="array" ref="AH114">PRODUCT(1+V103:V114)-1</f>
        <v>0.53714515648516836</v>
      </c>
      <c r="AI114" s="21">
        <f t="array" ref="AI114">PRODUCT(1+W103:W114)-1</f>
        <v>0.51759835486012507</v>
      </c>
      <c r="AJ114" s="21">
        <f t="array" ref="AJ114">PRODUCT(1+X103:X114)-1</f>
        <v>8.2761637859978254E-2</v>
      </c>
    </row>
    <row r="115" spans="1:36">
      <c r="A115" s="50">
        <v>102</v>
      </c>
      <c r="B115" s="47">
        <v>44316</v>
      </c>
      <c r="C115" s="51">
        <v>2.5000000000000001E-3</v>
      </c>
      <c r="D115" s="52">
        <v>1265.8499999999999</v>
      </c>
      <c r="E115" s="52">
        <v>1373.2360000000001</v>
      </c>
      <c r="F115" s="52">
        <v>1894.1089999999999</v>
      </c>
      <c r="G115" s="52">
        <v>1791.576</v>
      </c>
      <c r="H115" s="52">
        <v>1687.73</v>
      </c>
      <c r="I115" s="52">
        <v>3447.8110000000001</v>
      </c>
      <c r="J115" s="52">
        <v>4181.17</v>
      </c>
      <c r="K115" s="52">
        <v>2938.76</v>
      </c>
      <c r="L115" s="52">
        <v>1769.13</v>
      </c>
      <c r="M115" s="53"/>
      <c r="N115" s="54">
        <f t="shared" si="52"/>
        <v>44316</v>
      </c>
      <c r="O115" s="37">
        <f t="shared" si="53"/>
        <v>1.2666666666666667E-5</v>
      </c>
      <c r="P115" s="37">
        <f t="shared" si="54"/>
        <v>4.5049317147194401E-4</v>
      </c>
      <c r="Q115" s="37">
        <f t="shared" si="55"/>
        <v>4.0650465731939533E-4</v>
      </c>
      <c r="R115" s="37">
        <f t="shared" si="56"/>
        <v>2.0728063989299272E-3</v>
      </c>
      <c r="S115" s="37">
        <f t="shared" si="57"/>
        <v>8.4046100400529955E-3</v>
      </c>
      <c r="T115" s="37">
        <f t="shared" si="58"/>
        <v>4.3196222963681752E-3</v>
      </c>
      <c r="U115" s="37">
        <f t="shared" si="59"/>
        <v>1.1898975953755331E-2</v>
      </c>
      <c r="V115" s="37">
        <f t="shared" si="60"/>
        <v>5.242531255584737E-2</v>
      </c>
      <c r="W115" s="37">
        <f t="shared" si="61"/>
        <v>4.5189742860191506E-2</v>
      </c>
      <c r="X115" s="37">
        <f t="shared" si="62"/>
        <v>3.5966294042899527E-2</v>
      </c>
      <c r="Y115" s="24">
        <v>91</v>
      </c>
      <c r="Z115" s="28">
        <f t="shared" si="63"/>
        <v>44316</v>
      </c>
      <c r="AA115" s="21">
        <f t="array" ref="AA115">PRODUCT(1+O104:O115)-1</f>
        <v>7.6192824443599427E-4</v>
      </c>
      <c r="AB115" s="21">
        <f t="array" ref="AB115">PRODUCT(1+P104:P115)-1</f>
        <v>2.4367008163781456E-3</v>
      </c>
      <c r="AC115" s="21">
        <f t="array" ref="AC115">PRODUCT(1+Q104:Q115)-1</f>
        <v>4.9963078404779981E-3</v>
      </c>
      <c r="AD115" s="21">
        <f t="array" ref="AD115">PRODUCT(1+R104:R115)-1</f>
        <v>3.7116674934650096E-2</v>
      </c>
      <c r="AE115" s="21">
        <f t="array" ref="AE115">PRODUCT(1+S104:S115)-1</f>
        <v>-4.7017314665629861E-2</v>
      </c>
      <c r="AF115" s="21">
        <f t="array" ref="AF115">PRODUCT(1+T104:T115)-1</f>
        <v>-5.807648376609742E-3</v>
      </c>
      <c r="AG115" s="21">
        <f t="array" ref="AG115">PRODUCT(1+U104:U115)-1</f>
        <v>5.0622165137726549E-2</v>
      </c>
      <c r="AH115" s="21">
        <f t="array" ref="AH115">PRODUCT(1+V104:V115)-1</f>
        <v>0.43562935418190363</v>
      </c>
      <c r="AI115" s="21">
        <f t="array" ref="AI115">PRODUCT(1+W104:W115)-1</f>
        <v>0.43155125800716143</v>
      </c>
      <c r="AJ115" s="21">
        <f t="array" ref="AJ115">PRODUCT(1+X104:X115)-1</f>
        <v>4.8994959976282004E-2</v>
      </c>
    </row>
    <row r="116" spans="1:36">
      <c r="A116" s="50">
        <v>103</v>
      </c>
      <c r="B116" s="47">
        <v>44347</v>
      </c>
      <c r="C116" s="51">
        <v>2.5000000000000001E-3</v>
      </c>
      <c r="D116" s="52">
        <v>1266.807</v>
      </c>
      <c r="E116" s="52">
        <v>1374.2950000000001</v>
      </c>
      <c r="F116" s="52">
        <v>1898.1469999999999</v>
      </c>
      <c r="G116" s="52">
        <v>1796.9090000000001</v>
      </c>
      <c r="H116" s="52">
        <v>1692.6949999999999</v>
      </c>
      <c r="I116" s="52">
        <v>3472.0169999999998</v>
      </c>
      <c r="J116" s="52">
        <v>4204.1099999999997</v>
      </c>
      <c r="K116" s="52">
        <v>2975.7</v>
      </c>
      <c r="L116" s="52">
        <v>1906.87</v>
      </c>
      <c r="M116" s="53"/>
      <c r="N116" s="54">
        <f t="shared" si="52"/>
        <v>44347</v>
      </c>
      <c r="O116" s="37">
        <f t="shared" si="53"/>
        <v>2.0833333333333334E-6</v>
      </c>
      <c r="P116" s="37">
        <f t="shared" si="54"/>
        <v>7.5601374570455349E-4</v>
      </c>
      <c r="Q116" s="37">
        <f t="shared" si="55"/>
        <v>7.7117116067437763E-4</v>
      </c>
      <c r="R116" s="37">
        <f t="shared" si="56"/>
        <v>2.1318730865014235E-3</v>
      </c>
      <c r="S116" s="37">
        <f t="shared" si="57"/>
        <v>2.9767087748440169E-3</v>
      </c>
      <c r="T116" s="37">
        <f t="shared" si="58"/>
        <v>2.9418212628797846E-3</v>
      </c>
      <c r="U116" s="37">
        <f t="shared" si="59"/>
        <v>7.0206864587414319E-3</v>
      </c>
      <c r="V116" s="37">
        <f t="shared" si="60"/>
        <v>5.4865025818131574E-3</v>
      </c>
      <c r="W116" s="37">
        <f t="shared" si="61"/>
        <v>1.2569927452394714E-2</v>
      </c>
      <c r="X116" s="37">
        <f t="shared" si="62"/>
        <v>7.7857477969397237E-2</v>
      </c>
      <c r="Y116" s="24">
        <v>92</v>
      </c>
      <c r="Z116" s="28">
        <f t="shared" si="63"/>
        <v>44347</v>
      </c>
      <c r="AA116" s="21">
        <f t="array" ref="AA116">PRODUCT(1+O105:O116)-1</f>
        <v>6.9830064337761399E-4</v>
      </c>
      <c r="AB116" s="21">
        <f t="array" ref="AB116">PRODUCT(1+P105:P116)-1</f>
        <v>2.5395735035984579E-3</v>
      </c>
      <c r="AC116" s="21">
        <f t="array" ref="AC116">PRODUCT(1+Q105:Q116)-1</f>
        <v>4.6442027512862971E-3</v>
      </c>
      <c r="AD116" s="21">
        <f t="array" ref="AD116">PRODUCT(1+R105:R116)-1</f>
        <v>2.7500562970405484E-2</v>
      </c>
      <c r="AE116" s="21">
        <f t="array" ref="AE116">PRODUCT(1+S105:S116)-1</f>
        <v>-4.122667306948391E-2</v>
      </c>
      <c r="AF116" s="21">
        <f t="array" ref="AF116">PRODUCT(1+T105:T116)-1</f>
        <v>-4.1699440457982906E-3</v>
      </c>
      <c r="AG116" s="21">
        <f t="array" ref="AG116">PRODUCT(1+U105:U116)-1</f>
        <v>3.9820248543375625E-2</v>
      </c>
      <c r="AH116" s="21">
        <f t="array" ref="AH116">PRODUCT(1+V105:V116)-1</f>
        <v>0.38097302837096114</v>
      </c>
      <c r="AI116" s="21">
        <f t="array" ref="AI116">PRODUCT(1+W105:W116)-1</f>
        <v>0.38541259288228402</v>
      </c>
      <c r="AJ116" s="21">
        <f t="array" ref="AJ116">PRODUCT(1+X105:X116)-1</f>
        <v>0.10206499563651916</v>
      </c>
    </row>
    <row r="117" spans="1:36">
      <c r="A117" s="50">
        <v>104</v>
      </c>
      <c r="B117" s="47">
        <v>44377</v>
      </c>
      <c r="C117" s="51">
        <v>4.0599999999999997E-2</v>
      </c>
      <c r="D117" s="52">
        <v>1264.8499999999999</v>
      </c>
      <c r="E117" s="52">
        <v>1372.7560000000001</v>
      </c>
      <c r="F117" s="52">
        <v>1896.63</v>
      </c>
      <c r="G117" s="52">
        <v>1812.521</v>
      </c>
      <c r="H117" s="52">
        <v>1697.232</v>
      </c>
      <c r="I117" s="52">
        <v>3529.8159999999998</v>
      </c>
      <c r="J117" s="52">
        <v>4297.5</v>
      </c>
      <c r="K117" s="52">
        <v>3017.23</v>
      </c>
      <c r="L117" s="52">
        <v>1770.11</v>
      </c>
      <c r="M117" s="53"/>
      <c r="N117" s="54">
        <f t="shared" si="52"/>
        <v>44377</v>
      </c>
      <c r="O117" s="37">
        <f t="shared" si="53"/>
        <v>2.0833333333333334E-6</v>
      </c>
      <c r="P117" s="37">
        <f t="shared" si="54"/>
        <v>-1.5448288492249107E-3</v>
      </c>
      <c r="Q117" s="37">
        <f t="shared" si="55"/>
        <v>-1.1198469033213421E-3</v>
      </c>
      <c r="R117" s="37">
        <f t="shared" si="56"/>
        <v>-7.9920048341874939E-4</v>
      </c>
      <c r="S117" s="37">
        <f t="shared" si="57"/>
        <v>8.6882529944476428E-3</v>
      </c>
      <c r="T117" s="37">
        <f t="shared" si="58"/>
        <v>2.6803411128408783E-3</v>
      </c>
      <c r="U117" s="37">
        <f t="shared" si="59"/>
        <v>1.6647095909956722E-2</v>
      </c>
      <c r="V117" s="37">
        <f t="shared" si="60"/>
        <v>2.221397632316946E-2</v>
      </c>
      <c r="W117" s="37">
        <f t="shared" si="61"/>
        <v>1.3956380011425962E-2</v>
      </c>
      <c r="X117" s="37">
        <f t="shared" si="62"/>
        <v>-7.171962430579959E-2</v>
      </c>
      <c r="Y117" s="24">
        <v>93</v>
      </c>
      <c r="Z117" s="28">
        <f t="shared" si="63"/>
        <v>44377</v>
      </c>
      <c r="AA117" s="21">
        <f t="array" ref="AA117">PRODUCT(1+O106:O117)-1</f>
        <v>5.9649016260876486E-4</v>
      </c>
      <c r="AB117" s="21">
        <f t="array" ref="AB117">PRODUCT(1+P106:P117)-1</f>
        <v>7.3343075488030429E-4</v>
      </c>
      <c r="AC117" s="21">
        <f t="array" ref="AC117">PRODUCT(1+Q106:Q117)-1</f>
        <v>3.1686178220133865E-3</v>
      </c>
      <c r="AD117" s="21">
        <f t="array" ref="AD117">PRODUCT(1+R106:R117)-1</f>
        <v>1.8460991563435725E-2</v>
      </c>
      <c r="AE117" s="21">
        <f t="array" ref="AE117">PRODUCT(1+S106:S117)-1</f>
        <v>-3.3946590257390996E-2</v>
      </c>
      <c r="AF117" s="21">
        <f t="array" ref="AF117">PRODUCT(1+T106:T117)-1</f>
        <v>-3.5467009692514706E-3</v>
      </c>
      <c r="AG117" s="21">
        <f t="array" ref="AG117">PRODUCT(1+U106:U117)-1</f>
        <v>3.6247051826209242E-2</v>
      </c>
      <c r="AH117" s="21">
        <f t="array" ref="AH117">PRODUCT(1+V106:V117)-1</f>
        <v>0.38616064948762929</v>
      </c>
      <c r="AI117" s="21">
        <f t="array" ref="AI117">PRODUCT(1+W106:W117)-1</f>
        <v>0.37035321261337373</v>
      </c>
      <c r="AJ117" s="21">
        <f t="array" ref="AJ117">PRODUCT(1+X106:X117)-1</f>
        <v>-6.0922199263321319E-3</v>
      </c>
    </row>
    <row r="118" spans="1:36">
      <c r="A118" s="50">
        <v>105</v>
      </c>
      <c r="B118" s="47">
        <v>44407</v>
      </c>
      <c r="C118" s="51">
        <v>4.0599999999999997E-2</v>
      </c>
      <c r="D118" s="52">
        <v>1266.953</v>
      </c>
      <c r="E118" s="52">
        <v>1375.018</v>
      </c>
      <c r="F118" s="52">
        <v>1899.83</v>
      </c>
      <c r="G118" s="52">
        <v>1836.8</v>
      </c>
      <c r="H118" s="52">
        <v>1709.153</v>
      </c>
      <c r="I118" s="52">
        <v>3572.5129999999999</v>
      </c>
      <c r="J118" s="52">
        <v>4395.26</v>
      </c>
      <c r="K118" s="52">
        <v>3069.25</v>
      </c>
      <c r="L118" s="52">
        <v>1814.19</v>
      </c>
      <c r="M118" s="53"/>
      <c r="N118" s="54">
        <f t="shared" si="52"/>
        <v>44407</v>
      </c>
      <c r="O118" s="37">
        <f t="shared" si="53"/>
        <v>3.3833333333333334E-5</v>
      </c>
      <c r="P118" s="37">
        <f t="shared" si="54"/>
        <v>1.6626477447918564E-3</v>
      </c>
      <c r="Q118" s="37">
        <f t="shared" si="55"/>
        <v>1.647780086191597E-3</v>
      </c>
      <c r="R118" s="37">
        <f t="shared" si="56"/>
        <v>1.6872030917995939E-3</v>
      </c>
      <c r="S118" s="37">
        <f t="shared" si="57"/>
        <v>1.3395155145788706E-2</v>
      </c>
      <c r="T118" s="37">
        <f t="shared" si="58"/>
        <v>7.0237893228504156E-3</v>
      </c>
      <c r="U118" s="37">
        <f t="shared" si="59"/>
        <v>1.2096097926917571E-2</v>
      </c>
      <c r="V118" s="37">
        <f t="shared" si="60"/>
        <v>2.274810936591054E-2</v>
      </c>
      <c r="W118" s="37">
        <f t="shared" si="61"/>
        <v>1.7240979308836168E-2</v>
      </c>
      <c r="X118" s="37">
        <f t="shared" si="62"/>
        <v>2.4902407195033227E-2</v>
      </c>
      <c r="Y118" s="24">
        <v>94</v>
      </c>
      <c r="Z118" s="28">
        <f t="shared" si="63"/>
        <v>44407</v>
      </c>
      <c r="AA118" s="21">
        <f t="array" ref="AA118">PRODUCT(1+O107:O118)-1</f>
        <v>5.2253737379071019E-4</v>
      </c>
      <c r="AB118" s="21">
        <f t="array" ref="AB118">PRODUCT(1+P107:P118)-1</f>
        <v>1.3855516914322852E-3</v>
      </c>
      <c r="AC118" s="21">
        <f t="array" ref="AC118">PRODUCT(1+Q107:Q118)-1</f>
        <v>3.4042323401337615E-3</v>
      </c>
      <c r="AD118" s="21">
        <f t="array" ref="AD118">PRODUCT(1+R107:R118)-1</f>
        <v>1.5111012321878725E-2</v>
      </c>
      <c r="AE118" s="21">
        <f t="array" ref="AE118">PRODUCT(1+S107:S118)-1</f>
        <v>-3.2725556941120892E-2</v>
      </c>
      <c r="AF118" s="21">
        <f t="array" ref="AF118">PRODUCT(1+T107:T118)-1</f>
        <v>-6.3850500951578848E-4</v>
      </c>
      <c r="AG118" s="21">
        <f t="array" ref="AG118">PRODUCT(1+U107:U118)-1</f>
        <v>1.6746587827944026E-2</v>
      </c>
      <c r="AH118" s="21">
        <f t="array" ref="AH118">PRODUCT(1+V107:V118)-1</f>
        <v>0.34365599550001247</v>
      </c>
      <c r="AI118" s="21">
        <f t="array" ref="AI118">PRODUCT(1+W107:W118)-1</f>
        <v>0.33157337590781744</v>
      </c>
      <c r="AJ118" s="21">
        <f t="array" ref="AJ118">PRODUCT(1+X107:X118)-1</f>
        <v>-8.182259876711917E-2</v>
      </c>
    </row>
    <row r="119" spans="1:36">
      <c r="A119" s="50">
        <v>106</v>
      </c>
      <c r="B119" s="47">
        <v>44439</v>
      </c>
      <c r="C119" s="51">
        <v>3.5499999999999997E-2</v>
      </c>
      <c r="D119" s="52">
        <v>1266.854</v>
      </c>
      <c r="E119" s="52">
        <v>1374.9839999999999</v>
      </c>
      <c r="F119" s="52">
        <v>1900.636</v>
      </c>
      <c r="G119" s="52">
        <v>1833.933</v>
      </c>
      <c r="H119" s="52">
        <v>1707.606</v>
      </c>
      <c r="I119" s="52">
        <v>3565.4369999999999</v>
      </c>
      <c r="J119" s="52">
        <v>4522.68</v>
      </c>
      <c r="K119" s="52">
        <v>3141.35</v>
      </c>
      <c r="L119" s="52">
        <v>1813.62</v>
      </c>
      <c r="M119" s="53"/>
      <c r="N119" s="54">
        <f t="shared" si="52"/>
        <v>44439</v>
      </c>
      <c r="O119" s="37">
        <f t="shared" si="53"/>
        <v>3.3833333333333334E-5</v>
      </c>
      <c r="P119" s="37">
        <f t="shared" si="54"/>
        <v>-7.8140230932000065E-5</v>
      </c>
      <c r="Q119" s="37">
        <f t="shared" si="55"/>
        <v>-2.4726949029107992E-5</v>
      </c>
      <c r="R119" s="37">
        <f t="shared" si="56"/>
        <v>4.2424848539091009E-4</v>
      </c>
      <c r="S119" s="37">
        <f t="shared" si="57"/>
        <v>-1.5608667247386521E-3</v>
      </c>
      <c r="T119" s="37">
        <f t="shared" si="58"/>
        <v>-9.0512669140796476E-4</v>
      </c>
      <c r="U119" s="37">
        <f t="shared" si="59"/>
        <v>-1.9806785867538812E-3</v>
      </c>
      <c r="V119" s="37">
        <f t="shared" si="60"/>
        <v>2.8990321391681118E-2</v>
      </c>
      <c r="W119" s="37">
        <f t="shared" si="61"/>
        <v>2.349108088295182E-2</v>
      </c>
      <c r="X119" s="37">
        <f t="shared" si="62"/>
        <v>-3.1418980371411553E-4</v>
      </c>
      <c r="Y119" s="24">
        <v>95</v>
      </c>
      <c r="Z119" s="28">
        <f t="shared" si="63"/>
        <v>44439</v>
      </c>
      <c r="AA119" s="21">
        <f t="array" ref="AA119">PRODUCT(1+O108:O119)-1</f>
        <v>4.8660444564574412E-4</v>
      </c>
      <c r="AB119" s="21">
        <f t="array" ref="AB119">PRODUCT(1+P108:P119)-1</f>
        <v>1.5503287629863305E-3</v>
      </c>
      <c r="AC119" s="21">
        <f t="array" ref="AC119">PRODUCT(1+Q108:Q119)-1</f>
        <v>3.0866246508303163E-3</v>
      </c>
      <c r="AD119" s="21">
        <f t="array" ref="AD119">PRODUCT(1+R108:R119)-1</f>
        <v>1.29912629426292E-2</v>
      </c>
      <c r="AE119" s="21">
        <f t="array" ref="AE119">PRODUCT(1+S108:S119)-1</f>
        <v>-2.2489427682362395E-2</v>
      </c>
      <c r="AF119" s="21">
        <f t="array" ref="AF119">PRODUCT(1+T108:T119)-1</f>
        <v>1.8918948996771157E-4</v>
      </c>
      <c r="AG119" s="21">
        <f t="array" ref="AG119">PRODUCT(1+U108:U119)-1</f>
        <v>2.658042336573474E-2</v>
      </c>
      <c r="AH119" s="21">
        <f t="array" ref="AH119">PRODUCT(1+V108:V119)-1</f>
        <v>0.29207984435664303</v>
      </c>
      <c r="AI119" s="21">
        <f t="array" ref="AI119">PRODUCT(1+W108:W119)-1</f>
        <v>0.27930653917108805</v>
      </c>
      <c r="AJ119" s="21">
        <f t="array" ref="AJ119">PRODUCT(1+X108:X119)-1</f>
        <v>-7.8351458481553116E-2</v>
      </c>
    </row>
    <row r="120" spans="1:36">
      <c r="A120" s="50">
        <v>107</v>
      </c>
      <c r="B120" s="47">
        <v>44469</v>
      </c>
      <c r="C120" s="51">
        <v>3.3000000000000002E-2</v>
      </c>
      <c r="D120" s="52">
        <v>1265.5809999999999</v>
      </c>
      <c r="E120" s="52">
        <v>1373.933</v>
      </c>
      <c r="F120" s="52">
        <v>1900.0889999999999</v>
      </c>
      <c r="G120" s="52">
        <v>1811.8989999999999</v>
      </c>
      <c r="H120" s="52">
        <v>1697.356</v>
      </c>
      <c r="I120" s="52">
        <v>3527.7530000000002</v>
      </c>
      <c r="J120" s="52">
        <v>4307.54</v>
      </c>
      <c r="K120" s="52">
        <v>3006.6</v>
      </c>
      <c r="L120" s="52">
        <v>1756.95</v>
      </c>
      <c r="M120" s="53"/>
      <c r="N120" s="54">
        <f t="shared" si="52"/>
        <v>44469</v>
      </c>
      <c r="O120" s="37">
        <f t="shared" si="53"/>
        <v>2.9583333333333332E-5</v>
      </c>
      <c r="P120" s="37">
        <f t="shared" si="54"/>
        <v>-1.0048513877685128E-3</v>
      </c>
      <c r="Q120" s="37">
        <f t="shared" si="55"/>
        <v>-7.6437253088035284E-4</v>
      </c>
      <c r="R120" s="37">
        <f t="shared" si="56"/>
        <v>-2.8779840011450286E-4</v>
      </c>
      <c r="S120" s="37">
        <f t="shared" si="57"/>
        <v>-1.2014615583012089E-2</v>
      </c>
      <c r="T120" s="37">
        <f t="shared" si="58"/>
        <v>-6.0025556246581235E-3</v>
      </c>
      <c r="U120" s="37">
        <f t="shared" si="59"/>
        <v>-1.0569251398916846E-2</v>
      </c>
      <c r="V120" s="37">
        <f t="shared" si="60"/>
        <v>-4.7569140421166334E-2</v>
      </c>
      <c r="W120" s="37">
        <f t="shared" si="61"/>
        <v>-4.2895570375793834E-2</v>
      </c>
      <c r="X120" s="37">
        <f t="shared" si="62"/>
        <v>-3.124689846825679E-2</v>
      </c>
      <c r="Y120" s="24">
        <v>96</v>
      </c>
      <c r="Z120" s="28">
        <f t="shared" si="63"/>
        <v>44469</v>
      </c>
      <c r="AA120" s="21">
        <f t="array" ref="AA120">PRODUCT(1+O109:O120)-1</f>
        <v>4.3800127059445693E-4</v>
      </c>
      <c r="AB120" s="21">
        <f t="array" ref="AB120">PRODUCT(1+P109:P120)-1</f>
        <v>2.7346698439423278E-4</v>
      </c>
      <c r="AC120" s="21">
        <f t="array" ref="AC120">PRODUCT(1+Q109:Q120)-1</f>
        <v>2.0099520339087462E-3</v>
      </c>
      <c r="AD120" s="21">
        <f t="array" ref="AD120">PRODUCT(1+R109:R120)-1</f>
        <v>1.2820102791095245E-2</v>
      </c>
      <c r="AE120" s="21">
        <f t="array" ref="AE120">PRODUCT(1+S109:S120)-1</f>
        <v>-3.6017295196789756E-2</v>
      </c>
      <c r="AF120" s="21">
        <f t="array" ref="AF120">PRODUCT(1+T109:T120)-1</f>
        <v>-7.456258584988662E-3</v>
      </c>
      <c r="AG120" s="21">
        <f t="array" ref="AG120">PRODUCT(1+U109:U120)-1</f>
        <v>1.8420615800770701E-2</v>
      </c>
      <c r="AH120" s="21">
        <f t="array" ref="AH120">PRODUCT(1+V109:V120)-1</f>
        <v>0.2808623253047875</v>
      </c>
      <c r="AI120" s="21">
        <f t="array" ref="AI120">PRODUCT(1+W109:W120)-1</f>
        <v>0.27007058763892577</v>
      </c>
      <c r="AJ120" s="21">
        <f t="array" ref="AJ120">PRODUCT(1+X109:X120)-1</f>
        <v>-6.8336320539605921E-2</v>
      </c>
    </row>
    <row r="121" spans="1:36">
      <c r="A121" s="50">
        <v>108</v>
      </c>
      <c r="B121" s="47">
        <v>44498</v>
      </c>
      <c r="C121" s="51">
        <v>4.82E-2</v>
      </c>
      <c r="D121" s="52">
        <v>1261.7339999999999</v>
      </c>
      <c r="E121" s="52">
        <v>1370.171</v>
      </c>
      <c r="F121" s="52">
        <v>1893.8820000000001</v>
      </c>
      <c r="G121" s="52">
        <v>1812.463</v>
      </c>
      <c r="H121" s="52">
        <v>1691.8920000000001</v>
      </c>
      <c r="I121" s="52">
        <v>3536.5549999999998</v>
      </c>
      <c r="J121" s="52">
        <v>4605.38</v>
      </c>
      <c r="K121" s="52">
        <v>3174.73</v>
      </c>
      <c r="L121" s="52">
        <v>1783.38</v>
      </c>
      <c r="M121" s="53"/>
      <c r="N121" s="54">
        <f t="shared" si="52"/>
        <v>44498</v>
      </c>
      <c r="O121" s="37">
        <f t="shared" si="53"/>
        <v>2.7500000000000001E-5</v>
      </c>
      <c r="P121" s="37">
        <f t="shared" si="54"/>
        <v>-3.0397106151245357E-3</v>
      </c>
      <c r="Q121" s="37">
        <f t="shared" si="55"/>
        <v>-2.7381247848330403E-3</v>
      </c>
      <c r="R121" s="37">
        <f t="shared" si="56"/>
        <v>-3.2666890866690501E-3</v>
      </c>
      <c r="S121" s="37">
        <f t="shared" si="57"/>
        <v>3.1127562849819768E-4</v>
      </c>
      <c r="T121" s="37">
        <f t="shared" si="58"/>
        <v>-3.2191243321966212E-3</v>
      </c>
      <c r="U121" s="37">
        <f t="shared" si="59"/>
        <v>2.4950726425574388E-3</v>
      </c>
      <c r="V121" s="37">
        <f t="shared" si="60"/>
        <v>6.9143873301234615E-2</v>
      </c>
      <c r="W121" s="37">
        <f t="shared" si="61"/>
        <v>5.5920308654293871E-2</v>
      </c>
      <c r="X121" s="37">
        <f t="shared" si="62"/>
        <v>1.5043114488175524E-2</v>
      </c>
      <c r="Y121" s="24">
        <v>97</v>
      </c>
      <c r="Z121" s="28">
        <f t="shared" si="63"/>
        <v>44498</v>
      </c>
      <c r="AA121" s="21">
        <f t="array" ref="AA121">PRODUCT(1+O110:O121)-1</f>
        <v>3.8923363656429011E-4</v>
      </c>
      <c r="AB121" s="21">
        <f t="array" ref="AB121">PRODUCT(1+P110:P121)-1</f>
        <v>-2.3467979017981477E-3</v>
      </c>
      <c r="AC121" s="21">
        <f t="array" ref="AC121">PRODUCT(1+Q110:Q121)-1</f>
        <v>-6.6662533686889791E-4</v>
      </c>
      <c r="AD121" s="21">
        <f t="array" ref="AD121">PRODUCT(1+R110:R121)-1</f>
        <v>7.6825953221248966E-3</v>
      </c>
      <c r="AE121" s="21">
        <f t="array" ref="AE121">PRODUCT(1+S110:S121)-1</f>
        <v>-2.5882232804118943E-2</v>
      </c>
      <c r="AF121" s="21">
        <f t="array" ref="AF121">PRODUCT(1+T110:T121)-1</f>
        <v>-7.1062164869619693E-3</v>
      </c>
      <c r="AG121" s="21">
        <f t="array" ref="AG121">PRODUCT(1+U110:U121)-1</f>
        <v>2.2716001113938011E-2</v>
      </c>
      <c r="AH121" s="21">
        <f t="array" ref="AH121">PRODUCT(1+V110:V121)-1</f>
        <v>0.40839031670112225</v>
      </c>
      <c r="AI121" s="21">
        <f t="array" ref="AI121">PRODUCT(1+W110:W121)-1</f>
        <v>0.38457344969100671</v>
      </c>
      <c r="AJ121" s="21">
        <f t="array" ref="AJ121">PRODUCT(1+X110:X121)-1</f>
        <v>-5.079278905264506E-2</v>
      </c>
    </row>
    <row r="122" spans="1:36">
      <c r="A122" s="50">
        <v>109</v>
      </c>
      <c r="B122" s="47">
        <v>44530</v>
      </c>
      <c r="C122" s="51">
        <v>4.5600000000000002E-2</v>
      </c>
      <c r="D122" s="52">
        <v>1261.9760000000001</v>
      </c>
      <c r="E122" s="52">
        <v>1369.5350000000001</v>
      </c>
      <c r="F122" s="52">
        <v>1890.96</v>
      </c>
      <c r="G122" s="52">
        <v>1828.6030000000001</v>
      </c>
      <c r="H122" s="52">
        <v>1694.8510000000001</v>
      </c>
      <c r="I122" s="52">
        <v>3539.8020000000001</v>
      </c>
      <c r="J122" s="52">
        <v>4567</v>
      </c>
      <c r="K122" s="52">
        <v>3101.8</v>
      </c>
      <c r="L122" s="52">
        <v>1774.52</v>
      </c>
      <c r="M122" s="53"/>
      <c r="N122" s="54">
        <f t="shared" si="52"/>
        <v>44530</v>
      </c>
      <c r="O122" s="37">
        <f t="shared" si="53"/>
        <v>4.0166666666666669E-5</v>
      </c>
      <c r="P122" s="37">
        <f t="shared" si="54"/>
        <v>1.9179953936432348E-4</v>
      </c>
      <c r="Q122" s="37">
        <f t="shared" si="55"/>
        <v>-4.641756393909402E-4</v>
      </c>
      <c r="R122" s="37">
        <f t="shared" si="56"/>
        <v>-1.5428627549128882E-3</v>
      </c>
      <c r="S122" s="37">
        <f t="shared" si="57"/>
        <v>8.9050093712257361E-3</v>
      </c>
      <c r="T122" s="37">
        <f t="shared" si="58"/>
        <v>1.7489296007073829E-3</v>
      </c>
      <c r="U122" s="37">
        <f t="shared" si="59"/>
        <v>9.181251245917732E-4</v>
      </c>
      <c r="V122" s="37">
        <f t="shared" si="60"/>
        <v>-8.3337314184714906E-3</v>
      </c>
      <c r="W122" s="37">
        <f t="shared" si="61"/>
        <v>-2.2972032267310816E-2</v>
      </c>
      <c r="X122" s="37">
        <f t="shared" si="62"/>
        <v>-4.9680942928597149E-3</v>
      </c>
      <c r="Y122" s="24">
        <v>98</v>
      </c>
      <c r="Z122" s="28">
        <f t="shared" si="63"/>
        <v>44530</v>
      </c>
      <c r="AA122" s="21">
        <f t="array" ref="AA122">PRODUCT(1+O111:O122)-1</f>
        <v>3.5739020535396904E-4</v>
      </c>
      <c r="AB122" s="21">
        <f t="array" ref="AB122">PRODUCT(1+P111:P122)-1</f>
        <v>-2.6144328071795453E-3</v>
      </c>
      <c r="AC122" s="21">
        <f t="array" ref="AC122">PRODUCT(1+Q111:Q122)-1</f>
        <v>-1.6416542801471756E-3</v>
      </c>
      <c r="AD122" s="21">
        <f t="array" ref="AD122">PRODUCT(1+R111:R122)-1</f>
        <v>2.714438810058839E-3</v>
      </c>
      <c r="AE122" s="21">
        <f t="array" ref="AE122">PRODUCT(1+S111:S122)-1</f>
        <v>-2.0936902843968652E-2</v>
      </c>
      <c r="AF122" s="21">
        <f t="array" ref="AF122">PRODUCT(1+T111:T122)-1</f>
        <v>-8.0184905220854752E-3</v>
      </c>
      <c r="AG122" s="21">
        <f t="array" ref="AG122">PRODUCT(1+U111:U122)-1</f>
        <v>-2.924917173353303E-3</v>
      </c>
      <c r="AH122" s="21">
        <f t="array" ref="AH122">PRODUCT(1+V111:V122)-1</f>
        <v>0.261034396114457</v>
      </c>
      <c r="AI122" s="21">
        <f t="array" ref="AI122">PRODUCT(1+W111:W122)-1</f>
        <v>0.20078663951624787</v>
      </c>
      <c r="AJ122" s="21">
        <f t="array" ref="AJ122">PRODUCT(1+X111:X122)-1</f>
        <v>-1.3675117476577014E-3</v>
      </c>
    </row>
    <row r="123" spans="1:36">
      <c r="A123" s="50">
        <v>110</v>
      </c>
      <c r="B123" s="47">
        <v>44561</v>
      </c>
      <c r="C123" s="51">
        <v>3.04E-2</v>
      </c>
      <c r="D123" s="52">
        <v>1258.846</v>
      </c>
      <c r="E123" s="52">
        <v>1367.1379999999999</v>
      </c>
      <c r="F123" s="52">
        <v>1889.704</v>
      </c>
      <c r="G123" s="52">
        <v>1818.1790000000001</v>
      </c>
      <c r="H123" s="52">
        <v>1691.0609999999999</v>
      </c>
      <c r="I123" s="52">
        <v>3533.7339999999999</v>
      </c>
      <c r="J123" s="52">
        <v>4766.18</v>
      </c>
      <c r="K123" s="52">
        <v>3231.73</v>
      </c>
      <c r="L123" s="52">
        <v>1829.2</v>
      </c>
      <c r="M123" s="53"/>
      <c r="N123" s="54">
        <f t="shared" si="52"/>
        <v>44561</v>
      </c>
      <c r="O123" s="37">
        <f t="shared" si="53"/>
        <v>3.8000000000000002E-5</v>
      </c>
      <c r="P123" s="37">
        <f t="shared" si="54"/>
        <v>-2.4802373420731438E-3</v>
      </c>
      <c r="Q123" s="37">
        <f t="shared" si="55"/>
        <v>-1.7502290923563368E-3</v>
      </c>
      <c r="R123" s="37">
        <f t="shared" si="56"/>
        <v>-6.6421288657614319E-4</v>
      </c>
      <c r="S123" s="37">
        <f t="shared" si="57"/>
        <v>-5.7005265768458324E-3</v>
      </c>
      <c r="T123" s="37">
        <f t="shared" si="58"/>
        <v>-2.2361847737648599E-3</v>
      </c>
      <c r="U123" s="37">
        <f t="shared" si="59"/>
        <v>-1.7142201738967744E-3</v>
      </c>
      <c r="V123" s="37">
        <f t="shared" si="60"/>
        <v>4.3612874972629889E-2</v>
      </c>
      <c r="W123" s="37">
        <f t="shared" si="61"/>
        <v>4.188858082403768E-2</v>
      </c>
      <c r="X123" s="37">
        <f t="shared" si="62"/>
        <v>3.0813966593783215E-2</v>
      </c>
      <c r="Y123" s="24">
        <v>99</v>
      </c>
      <c r="Z123" s="28">
        <f t="shared" si="63"/>
        <v>44561</v>
      </c>
      <c r="AA123" s="21">
        <f t="array" ref="AA123">PRODUCT(1+O112:O123)-1</f>
        <v>3.3605051385121598E-4</v>
      </c>
      <c r="AB123" s="21">
        <f t="array" ref="AB123">PRODUCT(1+P112:P123)-1</f>
        <v>-5.5495386180736128E-3</v>
      </c>
      <c r="AC123" s="21">
        <f t="array" ref="AC123">PRODUCT(1+Q112:Q123)-1</f>
        <v>-4.2607801379186405E-3</v>
      </c>
      <c r="AD123" s="21">
        <f t="array" ref="AD123">PRODUCT(1+R112:R123)-1</f>
        <v>-1.0370919096236442E-4</v>
      </c>
      <c r="AE123" s="21">
        <f t="array" ref="AE123">PRODUCT(1+S112:S123)-1</f>
        <v>-2.3758246631948476E-2</v>
      </c>
      <c r="AF123" s="21">
        <f t="array" ref="AF123">PRODUCT(1+T112:T123)-1</f>
        <v>-1.149858656995939E-2</v>
      </c>
      <c r="AG123" s="21">
        <f t="array" ref="AG123">PRODUCT(1+U112:U123)-1</f>
        <v>-9.5001523421586187E-3</v>
      </c>
      <c r="AH123" s="21">
        <f t="array" ref="AH123">PRODUCT(1+V112:V123)-1</f>
        <v>0.26892736290857222</v>
      </c>
      <c r="AI123" s="21">
        <f t="array" ref="AI123">PRODUCT(1+W112:W123)-1</f>
        <v>0.20136875288099843</v>
      </c>
      <c r="AJ123" s="21">
        <f t="array" ref="AJ123">PRODUCT(1+X112:X123)-1</f>
        <v>-3.6431446090309572E-2</v>
      </c>
    </row>
    <row r="124" spans="1:36">
      <c r="A124" s="50">
        <v>111</v>
      </c>
      <c r="B124" s="47">
        <v>44592</v>
      </c>
      <c r="C124" s="51">
        <v>0.18</v>
      </c>
      <c r="D124" s="52">
        <v>1250.604</v>
      </c>
      <c r="E124" s="52">
        <v>1357.963</v>
      </c>
      <c r="F124" s="52">
        <v>1875.539</v>
      </c>
      <c r="G124" s="52">
        <v>1783.88</v>
      </c>
      <c r="H124" s="52">
        <v>1669.9190000000001</v>
      </c>
      <c r="I124" s="52">
        <v>3423.3130000000001</v>
      </c>
      <c r="J124" s="52">
        <v>4515.55</v>
      </c>
      <c r="K124" s="52">
        <v>3059.05</v>
      </c>
      <c r="L124" s="52">
        <v>1797.17</v>
      </c>
      <c r="M124" s="53"/>
      <c r="N124" s="54">
        <f t="shared" si="52"/>
        <v>44592</v>
      </c>
      <c r="O124" s="37">
        <f t="shared" si="53"/>
        <v>2.5333333333333334E-5</v>
      </c>
      <c r="P124" s="37">
        <f t="shared" si="54"/>
        <v>-6.5472663058070424E-3</v>
      </c>
      <c r="Q124" s="37">
        <f t="shared" si="55"/>
        <v>-6.7111001230306666E-3</v>
      </c>
      <c r="R124" s="37">
        <f t="shared" si="56"/>
        <v>-7.4958829530974436E-3</v>
      </c>
      <c r="S124" s="37">
        <f t="shared" si="57"/>
        <v>-1.8864479239942833E-2</v>
      </c>
      <c r="T124" s="37">
        <f t="shared" si="58"/>
        <v>-1.2502210150905135E-2</v>
      </c>
      <c r="U124" s="37">
        <f t="shared" si="59"/>
        <v>-3.124768304575265E-2</v>
      </c>
      <c r="V124" s="37">
        <f t="shared" si="60"/>
        <v>-5.2585089106999772E-2</v>
      </c>
      <c r="W124" s="37">
        <f t="shared" si="61"/>
        <v>-5.343268156683878E-2</v>
      </c>
      <c r="X124" s="37">
        <f t="shared" si="62"/>
        <v>-1.7510387054450072E-2</v>
      </c>
      <c r="Y124" s="24">
        <v>100</v>
      </c>
      <c r="Z124" s="28">
        <f t="shared" si="63"/>
        <v>44592</v>
      </c>
      <c r="AA124" s="21">
        <f t="array" ref="AA124">PRODUCT(1+O113:O124)-1</f>
        <v>3.1279383056381782E-4</v>
      </c>
      <c r="AB124" s="21">
        <f t="array" ref="AB124">PRODUCT(1+P113:P124)-1</f>
        <v>-1.2208732438641845E-2</v>
      </c>
      <c r="AC124" s="21">
        <f t="array" ref="AC124">PRODUCT(1+Q113:Q124)-1</f>
        <v>-1.1356604215899901E-2</v>
      </c>
      <c r="AD124" s="21">
        <f t="array" ref="AD124">PRODUCT(1+R113:R124)-1</f>
        <v>-8.1661317591238403E-3</v>
      </c>
      <c r="AE124" s="21">
        <f t="array" ref="AE124">PRODUCT(1+S113:S124)-1</f>
        <v>-3.1297074037992312E-2</v>
      </c>
      <c r="AF124" s="21">
        <f t="array" ref="AF124">PRODUCT(1+T113:T124)-1</f>
        <v>-2.1202830091911484E-2</v>
      </c>
      <c r="AG124" s="21">
        <f t="array" ref="AG124">PRODUCT(1+U113:U124)-1</f>
        <v>-2.8601012568861273E-2</v>
      </c>
      <c r="AH124" s="21">
        <f t="array" ref="AH124">PRODUCT(1+V113:V124)-1</f>
        <v>0.21573996295339071</v>
      </c>
      <c r="AI124" s="21">
        <f t="array" ref="AI124">PRODUCT(1+W113:W124)-1</f>
        <v>0.14928860986816672</v>
      </c>
      <c r="AJ124" s="21">
        <f t="array" ref="AJ124">PRODUCT(1+X113:X124)-1</f>
        <v>-2.7321191784158372E-2</v>
      </c>
    </row>
    <row r="125" spans="1:36">
      <c r="A125" s="50">
        <v>112</v>
      </c>
      <c r="B125" s="47">
        <v>44620</v>
      </c>
      <c r="C125" s="51">
        <v>0.29170000000000001</v>
      </c>
      <c r="D125" s="52">
        <v>1245.923</v>
      </c>
      <c r="E125" s="52">
        <v>1352.8530000000001</v>
      </c>
      <c r="F125" s="52">
        <v>1861.087</v>
      </c>
      <c r="G125" s="52">
        <v>1770.336</v>
      </c>
      <c r="H125" s="52">
        <v>1658.8040000000001</v>
      </c>
      <c r="I125" s="52">
        <v>3348.654</v>
      </c>
      <c r="J125" s="52">
        <v>4373.9399999999996</v>
      </c>
      <c r="K125" s="52">
        <v>2977.95</v>
      </c>
      <c r="L125" s="52">
        <v>1908.99</v>
      </c>
      <c r="M125" s="53"/>
      <c r="N125" s="54">
        <f t="shared" si="52"/>
        <v>44620</v>
      </c>
      <c r="O125" s="37">
        <f t="shared" si="53"/>
        <v>1.4999999999999999E-4</v>
      </c>
      <c r="P125" s="37">
        <f t="shared" si="54"/>
        <v>-3.742991386562089E-3</v>
      </c>
      <c r="Q125" s="37">
        <f t="shared" si="55"/>
        <v>-3.7629891241512947E-3</v>
      </c>
      <c r="R125" s="37">
        <f t="shared" si="56"/>
        <v>-7.7055182536860389E-3</v>
      </c>
      <c r="S125" s="37">
        <f t="shared" si="57"/>
        <v>-7.5924389532928682E-3</v>
      </c>
      <c r="T125" s="37">
        <f t="shared" si="58"/>
        <v>-6.6560114592384423E-3</v>
      </c>
      <c r="U125" s="37">
        <f t="shared" si="59"/>
        <v>-2.180899029682648E-2</v>
      </c>
      <c r="V125" s="37">
        <f t="shared" si="60"/>
        <v>-3.1360520866782648E-2</v>
      </c>
      <c r="W125" s="37">
        <f t="shared" si="61"/>
        <v>-2.6511498667887157E-2</v>
      </c>
      <c r="X125" s="37">
        <f t="shared" si="62"/>
        <v>6.2220045961149939E-2</v>
      </c>
      <c r="Y125" s="24">
        <v>101</v>
      </c>
      <c r="Z125" s="28">
        <f t="shared" si="63"/>
        <v>44620</v>
      </c>
      <c r="AA125" s="21">
        <f t="array" ref="AA125">PRODUCT(1+O114:O125)-1</f>
        <v>4.2265710624511676E-4</v>
      </c>
      <c r="AB125" s="21">
        <f t="array" ref="AB125">PRODUCT(1+P114:P125)-1</f>
        <v>-1.5114889284483124E-2</v>
      </c>
      <c r="AC125" s="21">
        <f t="array" ref="AC125">PRODUCT(1+Q114:Q125)-1</f>
        <v>-1.4416723369968465E-2</v>
      </c>
      <c r="AD125" s="21">
        <f t="array" ref="AD125">PRODUCT(1+R114:R125)-1</f>
        <v>-1.6198920459621124E-2</v>
      </c>
      <c r="AE125" s="21">
        <f t="array" ref="AE125">PRODUCT(1+S114:S125)-1</f>
        <v>-1.6159158570044907E-2</v>
      </c>
      <c r="AF125" s="21">
        <f t="array" ref="AF125">PRODUCT(1+T114:T125)-1</f>
        <v>-1.8565445280185555E-2</v>
      </c>
      <c r="AG125" s="21">
        <f t="array" ref="AG125">PRODUCT(1+U114:U125)-1</f>
        <v>-3.0834176508859223E-2</v>
      </c>
      <c r="AH125" s="21">
        <f t="array" ref="AH125">PRODUCT(1+V114:V125)-1</f>
        <v>0.14766933865106324</v>
      </c>
      <c r="AI125" s="21">
        <f t="array" ref="AI125">PRODUCT(1+W114:W125)-1</f>
        <v>9.2060244012453829E-2</v>
      </c>
      <c r="AJ125" s="21">
        <f t="array" ref="AJ125">PRODUCT(1+X114:X125)-1</f>
        <v>0.10089155959493423</v>
      </c>
    </row>
    <row r="126" spans="1:36">
      <c r="A126" s="50">
        <v>113</v>
      </c>
      <c r="B126" s="47">
        <v>44651</v>
      </c>
      <c r="C126" s="51">
        <v>0.48220000000000002</v>
      </c>
      <c r="D126" s="52">
        <v>1229.3340000000001</v>
      </c>
      <c r="E126" s="52">
        <v>1335.925</v>
      </c>
      <c r="F126" s="52">
        <v>1830.069</v>
      </c>
      <c r="G126" s="52">
        <v>1717.1289999999999</v>
      </c>
      <c r="H126" s="52">
        <v>1619.1759999999999</v>
      </c>
      <c r="I126" s="52">
        <v>3260.28</v>
      </c>
      <c r="J126" s="52">
        <v>4530.41</v>
      </c>
      <c r="K126" s="52">
        <v>3053.07</v>
      </c>
      <c r="L126" s="52">
        <v>1937.44</v>
      </c>
      <c r="M126" s="53"/>
      <c r="N126" s="54">
        <f t="shared" si="52"/>
        <v>44651</v>
      </c>
      <c r="O126" s="37">
        <f t="shared" si="53"/>
        <v>2.4308333333333335E-4</v>
      </c>
      <c r="P126" s="37">
        <f t="shared" si="54"/>
        <v>-1.331462698738195E-2</v>
      </c>
      <c r="Q126" s="37">
        <f t="shared" si="55"/>
        <v>-1.2512815509149955E-2</v>
      </c>
      <c r="R126" s="37">
        <f t="shared" si="56"/>
        <v>-1.6666603979287431E-2</v>
      </c>
      <c r="S126" s="37">
        <f t="shared" si="57"/>
        <v>-3.0054746669558874E-2</v>
      </c>
      <c r="T126" s="37">
        <f t="shared" si="58"/>
        <v>-2.3889501110438749E-2</v>
      </c>
      <c r="U126" s="37">
        <f t="shared" si="59"/>
        <v>-2.6390902135604244E-2</v>
      </c>
      <c r="V126" s="37">
        <f t="shared" si="60"/>
        <v>3.5773238773280092E-2</v>
      </c>
      <c r="W126" s="37">
        <f t="shared" si="61"/>
        <v>2.5225406739535661E-2</v>
      </c>
      <c r="X126" s="37">
        <f t="shared" si="62"/>
        <v>1.4903168691297486E-2</v>
      </c>
      <c r="Y126" s="24">
        <v>102</v>
      </c>
      <c r="Z126" s="28">
        <f t="shared" si="63"/>
        <v>44651</v>
      </c>
      <c r="AA126" s="21">
        <f t="array" ref="AA126">PRODUCT(1+O115:O126)-1</f>
        <v>6.3832562652166303E-4</v>
      </c>
      <c r="AB126" s="21">
        <f t="array" ref="AB126">PRODUCT(1+P115:P126)-1</f>
        <v>-2.8409522003034704E-2</v>
      </c>
      <c r="AC126" s="21">
        <f t="array" ref="AC126">PRODUCT(1+Q115:Q126)-1</f>
        <v>-2.6774669660328487E-2</v>
      </c>
      <c r="AD126" s="21">
        <f t="array" ref="AD126">PRODUCT(1+R115:R126)-1</f>
        <v>-3.1807367615230175E-2</v>
      </c>
      <c r="AE126" s="21">
        <f t="array" ref="AE126">PRODUCT(1+S115:S126)-1</f>
        <v>-3.3498551201028626E-2</v>
      </c>
      <c r="AF126" s="21">
        <f t="array" ref="AF126">PRODUCT(1+T115:T126)-1</f>
        <v>-3.6474893050817081E-2</v>
      </c>
      <c r="AG126" s="21">
        <f t="array" ref="AG126">PRODUCT(1+U115:U126)-1</f>
        <v>-4.3139547578880943E-2</v>
      </c>
      <c r="AH126" s="21">
        <f t="array" ref="AH126">PRODUCT(1+V115:V126)-1</f>
        <v>0.14033109398951416</v>
      </c>
      <c r="AI126" s="21">
        <f t="array" ref="AI126">PRODUCT(1+W115:W126)-1</f>
        <v>8.5844862538677624E-2</v>
      </c>
      <c r="AJ126" s="21">
        <f t="array" ref="AJ126">PRODUCT(1+X115:X126)-1</f>
        <v>0.13452518284720472</v>
      </c>
    </row>
    <row r="127" spans="1:36">
      <c r="A127" s="50">
        <v>114</v>
      </c>
      <c r="B127" s="47">
        <v>44680</v>
      </c>
      <c r="C127" s="51">
        <v>0.82289999999999996</v>
      </c>
      <c r="D127" s="52">
        <v>1223.4939999999999</v>
      </c>
      <c r="E127" s="52">
        <v>1329.1489999999999</v>
      </c>
      <c r="F127" s="52">
        <v>1816.7280000000001</v>
      </c>
      <c r="G127" s="52">
        <v>1662.0409999999999</v>
      </c>
      <c r="H127" s="52">
        <v>1591.914</v>
      </c>
      <c r="I127" s="52">
        <v>3098.1909999999998</v>
      </c>
      <c r="J127" s="52">
        <v>4131.93</v>
      </c>
      <c r="K127" s="52">
        <v>2795.62</v>
      </c>
      <c r="L127" s="52">
        <v>1896.93</v>
      </c>
      <c r="M127" s="53"/>
      <c r="N127" s="54">
        <f t="shared" si="52"/>
        <v>44680</v>
      </c>
      <c r="O127" s="37">
        <f t="shared" si="53"/>
        <v>4.0183333333333336E-4</v>
      </c>
      <c r="P127" s="37">
        <f t="shared" si="54"/>
        <v>-4.7505397231347724E-3</v>
      </c>
      <c r="Q127" s="37">
        <f t="shared" si="55"/>
        <v>-5.0721410258810495E-3</v>
      </c>
      <c r="R127" s="37">
        <f t="shared" si="56"/>
        <v>-7.2898890697563612E-3</v>
      </c>
      <c r="S127" s="37">
        <f t="shared" si="57"/>
        <v>-3.2081456896948302E-2</v>
      </c>
      <c r="T127" s="37">
        <f t="shared" si="58"/>
        <v>-1.6836959045835598E-2</v>
      </c>
      <c r="U127" s="37">
        <f t="shared" si="59"/>
        <v>-4.9716282037125747E-2</v>
      </c>
      <c r="V127" s="37">
        <f t="shared" si="60"/>
        <v>-8.7956719149039353E-2</v>
      </c>
      <c r="W127" s="37">
        <f t="shared" si="61"/>
        <v>-8.4324958156871688E-2</v>
      </c>
      <c r="X127" s="37">
        <f t="shared" si="62"/>
        <v>-2.090903460236182E-2</v>
      </c>
      <c r="Y127" s="24">
        <v>103</v>
      </c>
      <c r="Z127" s="28">
        <f t="shared" si="63"/>
        <v>44680</v>
      </c>
      <c r="AA127" s="21">
        <f t="array" ref="AA127">PRODUCT(1+O116:O127)-1</f>
        <v>1.027735775716021E-3</v>
      </c>
      <c r="AB127" s="21">
        <f t="array" ref="AB127">PRODUCT(1+P116:P127)-1</f>
        <v>-3.3460520598807109E-2</v>
      </c>
      <c r="AC127" s="21">
        <f t="array" ref="AC127">PRODUCT(1+Q116:Q127)-1</f>
        <v>-3.2104459830648358E-2</v>
      </c>
      <c r="AD127" s="21">
        <f t="array" ref="AD127">PRODUCT(1+R116:R127)-1</f>
        <v>-4.0853509486518114E-2</v>
      </c>
      <c r="AE127" s="21">
        <f t="array" ref="AE127">PRODUCT(1+S116:S127)-1</f>
        <v>-7.2302263481984874E-2</v>
      </c>
      <c r="AF127" s="21">
        <f t="array" ref="AF127">PRODUCT(1+T116:T127)-1</f>
        <v>-5.6772114022977327E-2</v>
      </c>
      <c r="AG127" s="21">
        <f t="array" ref="AG127">PRODUCT(1+U116:U127)-1</f>
        <v>-0.10140347020181761</v>
      </c>
      <c r="AH127" s="21">
        <f t="array" ref="AH127">PRODUCT(1+V116:V127)-1</f>
        <v>-1.1776607982932563E-2</v>
      </c>
      <c r="AI127" s="21">
        <f t="array" ref="AI127">PRODUCT(1+W116:W127)-1</f>
        <v>-4.8707618179095746E-2</v>
      </c>
      <c r="AJ127" s="21">
        <f t="array" ref="AJ127">PRODUCT(1+X116:X127)-1</f>
        <v>7.2238897085007636E-2</v>
      </c>
    </row>
    <row r="128" spans="1:36">
      <c r="A128" s="50">
        <v>115</v>
      </c>
      <c r="B128" s="47">
        <v>44712</v>
      </c>
      <c r="C128" s="51">
        <v>1.0391999999999999</v>
      </c>
      <c r="D128" s="52">
        <v>1230.26</v>
      </c>
      <c r="E128" s="52">
        <v>1335.537</v>
      </c>
      <c r="F128" s="52">
        <v>1827.2159999999999</v>
      </c>
      <c r="G128" s="52">
        <v>1663.075</v>
      </c>
      <c r="H128" s="52">
        <v>1597.6</v>
      </c>
      <c r="I128" s="52">
        <v>3114.7739999999999</v>
      </c>
      <c r="J128" s="52">
        <v>4132.1499999999996</v>
      </c>
      <c r="K128" s="52">
        <v>2791.01</v>
      </c>
      <c r="L128" s="52">
        <v>1837.35</v>
      </c>
      <c r="M128" s="53"/>
      <c r="N128" s="54">
        <f t="shared" si="52"/>
        <v>44712</v>
      </c>
      <c r="O128" s="37">
        <f t="shared" si="53"/>
        <v>6.8574999999999994E-4</v>
      </c>
      <c r="P128" s="37">
        <f t="shared" si="54"/>
        <v>5.530063898964821E-3</v>
      </c>
      <c r="Q128" s="37">
        <f t="shared" si="55"/>
        <v>4.8060826889988473E-3</v>
      </c>
      <c r="R128" s="37">
        <f t="shared" si="56"/>
        <v>5.7730161036764205E-3</v>
      </c>
      <c r="S128" s="37">
        <f t="shared" si="57"/>
        <v>6.2212665030525471E-4</v>
      </c>
      <c r="T128" s="37">
        <f t="shared" si="58"/>
        <v>3.571800989249363E-3</v>
      </c>
      <c r="U128" s="37">
        <f t="shared" si="59"/>
        <v>5.3524782687703887E-3</v>
      </c>
      <c r="V128" s="37">
        <f t="shared" si="60"/>
        <v>5.3243883608722342E-5</v>
      </c>
      <c r="W128" s="37">
        <f t="shared" si="61"/>
        <v>-1.6490080912282545E-3</v>
      </c>
      <c r="X128" s="37">
        <f t="shared" si="62"/>
        <v>-3.1408644493998272E-2</v>
      </c>
      <c r="Y128" s="24">
        <v>104</v>
      </c>
      <c r="Z128" s="28">
        <f t="shared" si="63"/>
        <v>44712</v>
      </c>
      <c r="AA128" s="21">
        <f t="array" ref="AA128">PRODUCT(1+O117:O128)-1</f>
        <v>1.7121036453082716E-3</v>
      </c>
      <c r="AB128" s="21">
        <f t="array" ref="AB128">PRODUCT(1+P117:P128)-1</f>
        <v>-2.8849698493929821E-2</v>
      </c>
      <c r="AC128" s="21">
        <f t="array" ref="AC128">PRODUCT(1+Q117:Q128)-1</f>
        <v>-2.820209634758164E-2</v>
      </c>
      <c r="AD128" s="21">
        <f t="array" ref="AD128">PRODUCT(1+R117:R128)-1</f>
        <v>-3.7368549432683751E-2</v>
      </c>
      <c r="AE128" s="21">
        <f t="array" ref="AE128">PRODUCT(1+S117:S128)-1</f>
        <v>-7.4480121141360156E-2</v>
      </c>
      <c r="AF128" s="21">
        <f t="array" ref="AF128">PRODUCT(1+T117:T128)-1</f>
        <v>-5.6179642522722562E-2</v>
      </c>
      <c r="AG128" s="21">
        <f t="array" ref="AG128">PRODUCT(1+U117:U128)-1</f>
        <v>-0.10289206533262907</v>
      </c>
      <c r="AH128" s="21">
        <f t="array" ref="AH128">PRODUCT(1+V117:V128)-1</f>
        <v>-1.7116583533732466E-2</v>
      </c>
      <c r="AI128" s="21">
        <f t="array" ref="AI128">PRODUCT(1+W117:W128)-1</f>
        <v>-6.2066068488086601E-2</v>
      </c>
      <c r="AJ128" s="21">
        <f t="array" ref="AJ128">PRODUCT(1+X117:X128)-1</f>
        <v>-3.6457650495314242E-2</v>
      </c>
    </row>
    <row r="129" spans="1:36">
      <c r="A129" s="50">
        <v>116</v>
      </c>
      <c r="B129" s="47">
        <v>44742</v>
      </c>
      <c r="C129" s="51">
        <v>1.6262000000000001</v>
      </c>
      <c r="D129" s="52">
        <v>1223.146</v>
      </c>
      <c r="E129" s="52">
        <v>1328.1489999999999</v>
      </c>
      <c r="F129" s="52">
        <v>1811.57</v>
      </c>
      <c r="G129" s="52">
        <v>1651.0350000000001</v>
      </c>
      <c r="H129" s="52">
        <v>1587.047</v>
      </c>
      <c r="I129" s="52">
        <v>3041.5680000000002</v>
      </c>
      <c r="J129" s="52">
        <v>3785.38</v>
      </c>
      <c r="K129" s="52">
        <v>2546.19</v>
      </c>
      <c r="L129" s="52">
        <v>1807.27</v>
      </c>
      <c r="M129" s="53"/>
      <c r="N129" s="54">
        <f t="shared" si="52"/>
        <v>44742</v>
      </c>
      <c r="O129" s="37">
        <f t="shared" si="53"/>
        <v>8.6599999999999991E-4</v>
      </c>
      <c r="P129" s="37">
        <f t="shared" si="54"/>
        <v>-5.7825175166225096E-3</v>
      </c>
      <c r="Q129" s="37">
        <f t="shared" si="55"/>
        <v>-5.5318572229748897E-3</v>
      </c>
      <c r="R129" s="37">
        <f t="shared" si="56"/>
        <v>-8.5627533909510278E-3</v>
      </c>
      <c r="S129" s="37">
        <f t="shared" si="57"/>
        <v>-7.2396013408896343E-3</v>
      </c>
      <c r="T129" s="37">
        <f t="shared" si="58"/>
        <v>-6.6055332999498395E-3</v>
      </c>
      <c r="U129" s="37">
        <f t="shared" si="59"/>
        <v>-2.3502828776662321E-2</v>
      </c>
      <c r="V129" s="37">
        <f t="shared" si="60"/>
        <v>-8.3919993223866451E-2</v>
      </c>
      <c r="W129" s="37">
        <f t="shared" si="61"/>
        <v>-8.7717349633286923E-2</v>
      </c>
      <c r="X129" s="37">
        <f t="shared" si="62"/>
        <v>-1.6371404468391915E-2</v>
      </c>
      <c r="Y129" s="24">
        <v>105</v>
      </c>
      <c r="Z129" s="28">
        <f t="shared" si="63"/>
        <v>44742</v>
      </c>
      <c r="AA129" s="21">
        <f t="array" ref="AA129">PRODUCT(1+O118:O129)-1</f>
        <v>2.5774976239445468E-3</v>
      </c>
      <c r="AB129" s="21">
        <f t="array" ref="AB129">PRODUCT(1+P118:P129)-1</f>
        <v>-3.2971498596671367E-2</v>
      </c>
      <c r="AC129" s="21">
        <f t="array" ref="AC129">PRODUCT(1+Q118:Q129)-1</f>
        <v>-3.2494485545865648E-2</v>
      </c>
      <c r="AD129" s="21">
        <f t="array" ref="AD129">PRODUCT(1+R118:R129)-1</f>
        <v>-4.484796718390005E-2</v>
      </c>
      <c r="AE129" s="21">
        <f t="array" ref="AE129">PRODUCT(1+S118:S129)-1</f>
        <v>-8.9094691868397802E-2</v>
      </c>
      <c r="AF129" s="21">
        <f t="array" ref="AF129">PRODUCT(1+T118:T129)-1</f>
        <v>-6.4920411587808702E-2</v>
      </c>
      <c r="AG129" s="21">
        <f t="array" ref="AG129">PRODUCT(1+U118:U129)-1</f>
        <v>-0.13832109095771528</v>
      </c>
      <c r="AH129" s="21">
        <f t="array" ref="AH129">PRODUCT(1+V118:V129)-1</f>
        <v>-0.1191669575334493</v>
      </c>
      <c r="AI129" s="21">
        <f t="array" ref="AI129">PRODUCT(1+W118:W129)-1</f>
        <v>-0.15611670306870851</v>
      </c>
      <c r="AJ129" s="21">
        <f t="array" ref="AJ129">PRODUCT(1+X118:X129)-1</f>
        <v>2.0993045629932761E-2</v>
      </c>
    </row>
    <row r="130" spans="1:36">
      <c r="A130" s="50">
        <v>117</v>
      </c>
      <c r="B130" s="47">
        <v>44771</v>
      </c>
      <c r="C130" s="51">
        <v>2.3168000000000002</v>
      </c>
      <c r="D130" s="52">
        <v>1227.2470000000001</v>
      </c>
      <c r="E130" s="52">
        <v>1331.6489999999999</v>
      </c>
      <c r="F130" s="52">
        <v>1825.095</v>
      </c>
      <c r="G130" s="52">
        <v>1678.42</v>
      </c>
      <c r="H130" s="52">
        <v>1603.7460000000001</v>
      </c>
      <c r="I130" s="52">
        <v>3131.2570000000001</v>
      </c>
      <c r="J130" s="52">
        <v>4130.29</v>
      </c>
      <c r="K130" s="52">
        <v>2746.37</v>
      </c>
      <c r="L130" s="52">
        <v>1765.94</v>
      </c>
      <c r="M130" s="53"/>
      <c r="N130" s="54">
        <f t="shared" si="52"/>
        <v>44771</v>
      </c>
      <c r="O130" s="37">
        <f t="shared" si="53"/>
        <v>1.3551666666666668E-3</v>
      </c>
      <c r="P130" s="37">
        <f t="shared" si="54"/>
        <v>3.3528295068618874E-3</v>
      </c>
      <c r="Q130" s="37">
        <f t="shared" si="55"/>
        <v>2.6352464971926004E-3</v>
      </c>
      <c r="R130" s="37">
        <f t="shared" si="56"/>
        <v>7.4658997444205788E-3</v>
      </c>
      <c r="S130" s="37">
        <f t="shared" si="57"/>
        <v>1.65865653968571E-2</v>
      </c>
      <c r="T130" s="37">
        <f t="shared" si="58"/>
        <v>1.0522057632823767E-2</v>
      </c>
      <c r="U130" s="37">
        <f t="shared" si="59"/>
        <v>2.9487751054719125E-2</v>
      </c>
      <c r="V130" s="37">
        <f t="shared" si="60"/>
        <v>9.1116347632205885E-2</v>
      </c>
      <c r="W130" s="37">
        <f t="shared" si="61"/>
        <v>7.8619427458280766E-2</v>
      </c>
      <c r="X130" s="37">
        <f t="shared" si="62"/>
        <v>-2.2868746783823113E-2</v>
      </c>
      <c r="Y130" s="24">
        <v>106</v>
      </c>
      <c r="Z130" s="28">
        <f t="shared" si="63"/>
        <v>44771</v>
      </c>
      <c r="AA130" s="21">
        <f t="array" ref="AA130">PRODUCT(1+O119:O130)-1</f>
        <v>3.9021918719828186E-3</v>
      </c>
      <c r="AB130" s="21">
        <f t="array" ref="AB130">PRODUCT(1+P119:P130)-1</f>
        <v>-3.1339757670568513E-2</v>
      </c>
      <c r="AC130" s="21">
        <f t="array" ref="AC130">PRODUCT(1+Q119:Q130)-1</f>
        <v>-3.1540678012942691E-2</v>
      </c>
      <c r="AD130" s="21">
        <f t="array" ref="AD130">PRODUCT(1+R119:R130)-1</f>
        <v>-3.9337730217967048E-2</v>
      </c>
      <c r="AE130" s="21">
        <f t="array" ref="AE130">PRODUCT(1+S119:S130)-1</f>
        <v>-8.6226045296167286E-2</v>
      </c>
      <c r="AF130" s="21">
        <f t="array" ref="AF130">PRODUCT(1+T119:T130)-1</f>
        <v>-6.1672067977530332E-2</v>
      </c>
      <c r="AG130" s="21">
        <f t="array" ref="AG130">PRODUCT(1+U119:U130)-1</f>
        <v>-0.12351417615555171</v>
      </c>
      <c r="AH130" s="21">
        <f t="array" ref="AH130">PRODUCT(1+V119:V130)-1</f>
        <v>-6.0285398360961584E-2</v>
      </c>
      <c r="AI130" s="21">
        <f t="array" ref="AI130">PRODUCT(1+W119:W130)-1</f>
        <v>-0.10519833835627579</v>
      </c>
      <c r="AJ130" s="21">
        <f t="array" ref="AJ130">PRODUCT(1+X119:X130)-1</f>
        <v>-2.659589127930384E-2</v>
      </c>
    </row>
    <row r="131" spans="1:36">
      <c r="A131" s="50">
        <v>118</v>
      </c>
      <c r="B131" s="47">
        <v>44804</v>
      </c>
      <c r="C131" s="51">
        <v>2.9003000000000001</v>
      </c>
      <c r="D131" s="52">
        <v>1218.4059999999999</v>
      </c>
      <c r="E131" s="52">
        <v>1321.0440000000001</v>
      </c>
      <c r="F131" s="52">
        <v>1814.6</v>
      </c>
      <c r="G131" s="52">
        <v>1634.4870000000001</v>
      </c>
      <c r="H131" s="52">
        <v>1575.691</v>
      </c>
      <c r="I131" s="52">
        <v>3047.9290000000001</v>
      </c>
      <c r="J131" s="52">
        <v>3955</v>
      </c>
      <c r="K131" s="52">
        <v>2627.32</v>
      </c>
      <c r="L131" s="52">
        <v>1711.04</v>
      </c>
      <c r="M131" s="53"/>
      <c r="N131" s="54">
        <f t="shared" si="52"/>
        <v>44804</v>
      </c>
      <c r="O131" s="37">
        <f t="shared" si="53"/>
        <v>1.9306666666666669E-3</v>
      </c>
      <c r="P131" s="37">
        <f t="shared" si="54"/>
        <v>-7.2039287934703156E-3</v>
      </c>
      <c r="Q131" s="37">
        <f t="shared" si="55"/>
        <v>-7.9638102833402558E-3</v>
      </c>
      <c r="R131" s="37">
        <f t="shared" si="56"/>
        <v>-5.7503855963663142E-3</v>
      </c>
      <c r="S131" s="37">
        <f t="shared" si="57"/>
        <v>-2.6175212402140158E-2</v>
      </c>
      <c r="T131" s="37">
        <f t="shared" si="58"/>
        <v>-1.7493418533857663E-2</v>
      </c>
      <c r="U131" s="37">
        <f t="shared" si="59"/>
        <v>-2.6611677035771941E-2</v>
      </c>
      <c r="V131" s="37">
        <f t="shared" si="60"/>
        <v>-4.2440119216810457E-2</v>
      </c>
      <c r="W131" s="37">
        <f t="shared" si="61"/>
        <v>-4.3348128620688264E-2</v>
      </c>
      <c r="X131" s="37">
        <f t="shared" si="62"/>
        <v>-3.1088258944245051E-2</v>
      </c>
      <c r="Y131" s="24">
        <v>107</v>
      </c>
      <c r="Z131" s="28">
        <f t="shared" si="63"/>
        <v>44804</v>
      </c>
      <c r="AA131" s="21">
        <f t="array" ref="AA131">PRODUCT(1+O120:O131)-1</f>
        <v>5.8063625884898773E-3</v>
      </c>
      <c r="AB131" s="21">
        <f t="array" ref="AB131">PRODUCT(1+P120:P131)-1</f>
        <v>-3.8242765148943758E-2</v>
      </c>
      <c r="AC131" s="21">
        <f t="array" ref="AC131">PRODUCT(1+Q120:Q131)-1</f>
        <v>-3.9229547398369924E-2</v>
      </c>
      <c r="AD131" s="21">
        <f t="array" ref="AD131">PRODUCT(1+R120:R131)-1</f>
        <v>-4.5266952746344069E-2</v>
      </c>
      <c r="AE131" s="21">
        <f t="array" ref="AE131">PRODUCT(1+S120:S131)-1</f>
        <v>-0.10875315510435779</v>
      </c>
      <c r="AF131" s="21">
        <f t="array" ref="AF131">PRODUCT(1+T120:T131)-1</f>
        <v>-7.7251426851392968E-2</v>
      </c>
      <c r="AG131" s="21">
        <f t="array" ref="AG131">PRODUCT(1+U120:U131)-1</f>
        <v>-0.14514574230311716</v>
      </c>
      <c r="AH131" s="21">
        <f t="array" ref="AH131">PRODUCT(1+V120:V131)-1</f>
        <v>-0.12551849788178693</v>
      </c>
      <c r="AI131" s="21">
        <f t="array" ref="AI131">PRODUCT(1+W120:W131)-1</f>
        <v>-0.16363346968659953</v>
      </c>
      <c r="AJ131" s="21">
        <f t="array" ref="AJ131">PRODUCT(1+X120:X131)-1</f>
        <v>-5.6560911326518415E-2</v>
      </c>
    </row>
    <row r="132" spans="1:36">
      <c r="A132" s="50">
        <v>119</v>
      </c>
      <c r="B132" s="47">
        <v>44834</v>
      </c>
      <c r="C132" s="51">
        <v>3.2465999999999999</v>
      </c>
      <c r="D132" s="52">
        <v>1204.0509999999999</v>
      </c>
      <c r="E132" s="52">
        <v>1306.48</v>
      </c>
      <c r="F132" s="52">
        <v>1788.231</v>
      </c>
      <c r="G132" s="52">
        <v>1573.1759999999999</v>
      </c>
      <c r="H132" s="52">
        <v>1538.3230000000001</v>
      </c>
      <c r="I132" s="52">
        <v>2886.143</v>
      </c>
      <c r="J132" s="52">
        <v>3585.62</v>
      </c>
      <c r="K132" s="52">
        <v>2378.65</v>
      </c>
      <c r="L132" s="52">
        <v>1660.61</v>
      </c>
      <c r="M132" s="53"/>
      <c r="N132" s="54">
        <f t="shared" si="52"/>
        <v>44834</v>
      </c>
      <c r="O132" s="37">
        <f t="shared" si="53"/>
        <v>2.4169166666666666E-3</v>
      </c>
      <c r="P132" s="37">
        <f t="shared" si="54"/>
        <v>-1.178178702337318E-2</v>
      </c>
      <c r="Q132" s="37">
        <f t="shared" si="55"/>
        <v>-1.1024613866002952E-2</v>
      </c>
      <c r="R132" s="37">
        <f t="shared" si="56"/>
        <v>-1.4531577207097968E-2</v>
      </c>
      <c r="S132" s="37">
        <f t="shared" si="57"/>
        <v>-3.7510852028801778E-2</v>
      </c>
      <c r="T132" s="37">
        <f t="shared" si="58"/>
        <v>-2.3715309664140927E-2</v>
      </c>
      <c r="U132" s="37">
        <f t="shared" si="59"/>
        <v>-5.3080632783768955E-2</v>
      </c>
      <c r="V132" s="37">
        <f t="shared" si="60"/>
        <v>-9.3395701643489315E-2</v>
      </c>
      <c r="W132" s="37">
        <f t="shared" si="61"/>
        <v>-9.4647777963856705E-2</v>
      </c>
      <c r="X132" s="37">
        <f t="shared" si="62"/>
        <v>-2.9473302786609312E-2</v>
      </c>
      <c r="Y132" s="24">
        <v>108</v>
      </c>
      <c r="Z132" s="28">
        <f t="shared" si="63"/>
        <v>44834</v>
      </c>
      <c r="AA132" s="21">
        <f t="array" ref="AA132">PRODUCT(1+O121:O132)-1</f>
        <v>8.2074866115235956E-3</v>
      </c>
      <c r="AB132" s="21">
        <f t="array" ref="AB132">PRODUCT(1+P121:P132)-1</f>
        <v>-4.8617986521605205E-2</v>
      </c>
      <c r="AC132" s="21">
        <f t="array" ref="AC132">PRODUCT(1+Q121:Q132)-1</f>
        <v>-4.9094824856816488E-2</v>
      </c>
      <c r="AD132" s="21">
        <f t="array" ref="AD132">PRODUCT(1+R121:R132)-1</f>
        <v>-5.8869873990113231E-2</v>
      </c>
      <c r="AE132" s="21">
        <f t="array" ref="AE132">PRODUCT(1+S121:S132)-1</f>
        <v>-0.13175292883322975</v>
      </c>
      <c r="AF132" s="21">
        <f t="array" ref="AF132">PRODUCT(1+T121:T132)-1</f>
        <v>-9.3694546105825727E-2</v>
      </c>
      <c r="AG132" s="21">
        <f t="array" ref="AG132">PRODUCT(1+U121:U132)-1</f>
        <v>-0.1818749782085084</v>
      </c>
      <c r="AH132" s="21">
        <f t="array" ref="AH132">PRODUCT(1+V121:V132)-1</f>
        <v>-0.16759449709114715</v>
      </c>
      <c r="AI132" s="21">
        <f t="array" ref="AI132">PRODUCT(1+W121:W132)-1</f>
        <v>-0.20885718086875504</v>
      </c>
      <c r="AJ132" s="21">
        <f t="array" ref="AJ132">PRODUCT(1+X121:X132)-1</f>
        <v>-5.4833660605025702E-2</v>
      </c>
    </row>
    <row r="133" spans="1:36">
      <c r="A133" s="50">
        <v>120</v>
      </c>
      <c r="B133" s="47">
        <v>44865</v>
      </c>
      <c r="C133" s="51">
        <v>4.0559000000000003</v>
      </c>
      <c r="D133" s="52">
        <v>1202.8620000000001</v>
      </c>
      <c r="E133" s="52">
        <v>1304.3599999999999</v>
      </c>
      <c r="F133" s="52">
        <v>1784.1679999999999</v>
      </c>
      <c r="G133" s="52">
        <v>1549.2329999999999</v>
      </c>
      <c r="H133" s="52">
        <v>1527.0550000000001</v>
      </c>
      <c r="I133" s="52">
        <v>2853.9650000000001</v>
      </c>
      <c r="J133" s="52">
        <v>3871.98</v>
      </c>
      <c r="K133" s="52">
        <v>2547.7199999999998</v>
      </c>
      <c r="L133" s="52">
        <v>1633.56</v>
      </c>
      <c r="M133" s="53"/>
      <c r="N133" s="54">
        <f t="shared" si="52"/>
        <v>44865</v>
      </c>
      <c r="O133" s="37">
        <f t="shared" si="53"/>
        <v>2.7055E-3</v>
      </c>
      <c r="P133" s="37">
        <f t="shared" si="54"/>
        <v>-9.8749969893285883E-4</v>
      </c>
      <c r="Q133" s="37">
        <f t="shared" si="55"/>
        <v>-1.6226807911334795E-3</v>
      </c>
      <c r="R133" s="37">
        <f t="shared" si="56"/>
        <v>-2.2720778243974227E-3</v>
      </c>
      <c r="S133" s="37">
        <f t="shared" si="57"/>
        <v>-1.5219530427619032E-2</v>
      </c>
      <c r="T133" s="37">
        <f t="shared" si="58"/>
        <v>-7.3248596036072922E-3</v>
      </c>
      <c r="U133" s="37">
        <f t="shared" si="59"/>
        <v>-1.1149135715035507E-2</v>
      </c>
      <c r="V133" s="37">
        <f t="shared" si="60"/>
        <v>7.9863454576893256E-2</v>
      </c>
      <c r="W133" s="37">
        <f t="shared" si="61"/>
        <v>7.1078132554179829E-2</v>
      </c>
      <c r="X133" s="37">
        <f t="shared" si="62"/>
        <v>-1.6289194934391515E-2</v>
      </c>
      <c r="Y133" s="24">
        <v>109</v>
      </c>
      <c r="Z133" s="28">
        <f t="shared" si="63"/>
        <v>44865</v>
      </c>
      <c r="AA133" s="21">
        <f t="array" ref="AA133">PRODUCT(1+O122:O133)-1</f>
        <v>1.0907392013270956E-2</v>
      </c>
      <c r="AB133" s="21">
        <f t="array" ref="AB133">PRODUCT(1+P122:P133)-1</f>
        <v>-4.665959703075262E-2</v>
      </c>
      <c r="AC133" s="21">
        <f t="array" ref="AC133">PRODUCT(1+Q122:Q133)-1</f>
        <v>-4.8031231138303432E-2</v>
      </c>
      <c r="AD133" s="21">
        <f t="array" ref="AD133">PRODUCT(1+R122:R133)-1</f>
        <v>-5.7930747533373461E-2</v>
      </c>
      <c r="AE133" s="21">
        <f t="array" ref="AE133">PRODUCT(1+S122:S133)-1</f>
        <v>-0.14523330959032033</v>
      </c>
      <c r="AF133" s="21">
        <f t="array" ref="AF133">PRODUCT(1+T122:T133)-1</f>
        <v>-9.7427613582899975E-2</v>
      </c>
      <c r="AG133" s="21">
        <f t="array" ref="AG133">PRODUCT(1+U122:U133)-1</f>
        <v>-0.19300986411917787</v>
      </c>
      <c r="AH133" s="21">
        <f t="array" ref="AH133">PRODUCT(1+V122:V133)-1</f>
        <v>-0.15924853106584047</v>
      </c>
      <c r="AI133" s="21">
        <f t="array" ref="AI133">PRODUCT(1+W122:W133)-1</f>
        <v>-0.19750025986461817</v>
      </c>
      <c r="AJ133" s="21">
        <f t="array" ref="AJ133">PRODUCT(1+X122:X133)-1</f>
        <v>-8.4009016586482077E-2</v>
      </c>
    </row>
    <row r="134" spans="1:36">
      <c r="A134" s="50">
        <v>121</v>
      </c>
      <c r="B134" s="47">
        <v>44895</v>
      </c>
      <c r="C134" s="51">
        <v>4.3196000000000003</v>
      </c>
      <c r="D134" s="52">
        <v>1210.425</v>
      </c>
      <c r="E134" s="52">
        <v>1312.5129999999999</v>
      </c>
      <c r="F134" s="52">
        <v>1807.683</v>
      </c>
      <c r="G134" s="52">
        <v>1592.807</v>
      </c>
      <c r="H134" s="52">
        <v>1550.2660000000001</v>
      </c>
      <c r="I134" s="52">
        <v>2994.31</v>
      </c>
      <c r="J134" s="52">
        <v>4080.11</v>
      </c>
      <c r="K134" s="52">
        <v>2720.89</v>
      </c>
      <c r="L134" s="52">
        <v>1768.52</v>
      </c>
      <c r="M134" s="53"/>
      <c r="N134" s="54">
        <f t="shared" si="52"/>
        <v>44895</v>
      </c>
      <c r="O134" s="37">
        <f t="shared" si="53"/>
        <v>3.3799166666666669E-3</v>
      </c>
      <c r="P134" s="37">
        <f t="shared" si="54"/>
        <v>6.2875043022390109E-3</v>
      </c>
      <c r="Q134" s="37">
        <f t="shared" si="55"/>
        <v>6.2505749946333289E-3</v>
      </c>
      <c r="R134" s="37">
        <f t="shared" si="56"/>
        <v>1.3179812663381529E-2</v>
      </c>
      <c r="S134" s="37">
        <f t="shared" si="57"/>
        <v>2.8126175985148771E-2</v>
      </c>
      <c r="T134" s="37">
        <f t="shared" si="58"/>
        <v>1.5199845454158423E-2</v>
      </c>
      <c r="U134" s="37">
        <f t="shared" si="59"/>
        <v>4.9175445389133987E-2</v>
      </c>
      <c r="V134" s="37">
        <f t="shared" si="60"/>
        <v>5.3752860293699856E-2</v>
      </c>
      <c r="W134" s="37">
        <f t="shared" si="61"/>
        <v>6.7970577614494543E-2</v>
      </c>
      <c r="X134" s="37">
        <f t="shared" si="62"/>
        <v>8.2617106197507395E-2</v>
      </c>
      <c r="Y134" s="24">
        <v>110</v>
      </c>
      <c r="Z134" s="28">
        <f t="shared" si="63"/>
        <v>44895</v>
      </c>
      <c r="AA134" s="21">
        <f t="array" ref="AA134">PRODUCT(1+O123:O134)-1</f>
        <v>1.4283434371379355E-2</v>
      </c>
      <c r="AB134" s="21">
        <f t="array" ref="AB134">PRODUCT(1+P123:P134)-1</f>
        <v>-4.0849429783133884E-2</v>
      </c>
      <c r="AC134" s="21">
        <f t="array" ref="AC134">PRODUCT(1+Q123:Q134)-1</f>
        <v>-4.1636029747323278E-2</v>
      </c>
      <c r="AD134" s="21">
        <f t="array" ref="AD134">PRODUCT(1+R123:R134)-1</f>
        <v>-4.4039535474045044E-2</v>
      </c>
      <c r="AE134" s="21">
        <f t="array" ref="AE134">PRODUCT(1+S123:S134)-1</f>
        <v>-0.1289487111199098</v>
      </c>
      <c r="AF134" s="21">
        <f t="array" ref="AF134">PRODUCT(1+T123:T134)-1</f>
        <v>-8.5308384040838958E-2</v>
      </c>
      <c r="AG134" s="21">
        <f t="array" ref="AG134">PRODUCT(1+U123:U134)-1</f>
        <v>-0.15410240459777136</v>
      </c>
      <c r="AH134" s="21">
        <f t="array" ref="AH134">PRODUCT(1+V123:V134)-1</f>
        <v>-0.10661046638931471</v>
      </c>
      <c r="AI134" s="21">
        <f t="array" ref="AI134">PRODUCT(1+W123:W134)-1</f>
        <v>-0.12280288864530253</v>
      </c>
      <c r="AJ134" s="21">
        <f t="array" ref="AJ134">PRODUCT(1+X123:X134)-1</f>
        <v>-3.3811960417462483E-3</v>
      </c>
    </row>
    <row r="135" spans="1:36">
      <c r="A135" s="50">
        <v>122</v>
      </c>
      <c r="B135" s="47">
        <v>44925</v>
      </c>
      <c r="C135" s="51">
        <v>4.3429000000000002</v>
      </c>
      <c r="D135" s="52">
        <v>1212.9010000000001</v>
      </c>
      <c r="E135" s="52">
        <v>1315.8630000000001</v>
      </c>
      <c r="F135" s="52">
        <v>1813.1759999999999</v>
      </c>
      <c r="G135" s="52">
        <v>1584.4570000000001</v>
      </c>
      <c r="H135" s="52">
        <v>1552.4760000000001</v>
      </c>
      <c r="I135" s="52">
        <v>2987.9670000000001</v>
      </c>
      <c r="J135" s="52">
        <v>3839.5</v>
      </c>
      <c r="K135" s="52">
        <v>2602.69</v>
      </c>
      <c r="L135" s="52">
        <v>1824.02</v>
      </c>
      <c r="M135" s="53"/>
      <c r="N135" s="54">
        <f t="shared" si="52"/>
        <v>44925</v>
      </c>
      <c r="O135" s="37">
        <f t="shared" si="53"/>
        <v>3.5996666666666668E-3</v>
      </c>
      <c r="P135" s="37">
        <f t="shared" si="54"/>
        <v>2.0455625090360918E-3</v>
      </c>
      <c r="Q135" s="37">
        <f t="shared" si="55"/>
        <v>2.5523556719058149E-3</v>
      </c>
      <c r="R135" s="37">
        <f t="shared" si="56"/>
        <v>3.0386964971180763E-3</v>
      </c>
      <c r="S135" s="37">
        <f t="shared" si="57"/>
        <v>-5.2423174935820605E-3</v>
      </c>
      <c r="T135" s="37">
        <f t="shared" si="58"/>
        <v>1.4255618068126363E-3</v>
      </c>
      <c r="U135" s="37">
        <f t="shared" si="59"/>
        <v>-2.1183511393275678E-3</v>
      </c>
      <c r="V135" s="37">
        <f t="shared" si="60"/>
        <v>-5.8971449299161094E-2</v>
      </c>
      <c r="W135" s="37">
        <f t="shared" si="61"/>
        <v>-4.3441667983637688E-2</v>
      </c>
      <c r="X135" s="37">
        <f t="shared" si="62"/>
        <v>3.1382172664148555E-2</v>
      </c>
      <c r="Y135" s="24">
        <v>111</v>
      </c>
      <c r="Z135" s="28">
        <f t="shared" si="63"/>
        <v>44925</v>
      </c>
      <c r="AA135" s="21">
        <f t="array" ref="AA135">PRODUCT(1+O124:O135)-1</f>
        <v>1.7895836598847303E-2</v>
      </c>
      <c r="AB135" s="21">
        <f t="array" ref="AB135">PRODUCT(1+P124:P135)-1</f>
        <v>-3.6497712984749575E-2</v>
      </c>
      <c r="AC135" s="21">
        <f t="array" ref="AC135">PRODUCT(1+Q124:Q135)-1</f>
        <v>-3.7505357908272696E-2</v>
      </c>
      <c r="AD135" s="21">
        <f t="array" ref="AD135">PRODUCT(1+R124:R135)-1</f>
        <v>-4.0497347732766809E-2</v>
      </c>
      <c r="AE135" s="21">
        <f t="array" ref="AE135">PRODUCT(1+S124:S135)-1</f>
        <v>-0.12854729924831398</v>
      </c>
      <c r="AF135" s="21">
        <f t="array" ref="AF135">PRODUCT(1+T124:T135)-1</f>
        <v>-8.1951508549957475E-2</v>
      </c>
      <c r="AG135" s="21">
        <f t="array" ref="AG135">PRODUCT(1+U124:U135)-1</f>
        <v>-0.15444484502795042</v>
      </c>
      <c r="AH135" s="21">
        <f t="array" ref="AH135">PRODUCT(1+V124:V135)-1</f>
        <v>-0.19442824232404188</v>
      </c>
      <c r="AI135" s="21">
        <f t="array" ref="AI135">PRODUCT(1+W124:W135)-1</f>
        <v>-0.19464497343528053</v>
      </c>
      <c r="AJ135" s="21">
        <f t="array" ref="AJ135">PRODUCT(1+X124:X135)-1</f>
        <v>-2.8318390553245809E-3</v>
      </c>
    </row>
    <row r="136" spans="1:36">
      <c r="A136" s="50">
        <v>123</v>
      </c>
      <c r="B136" s="47">
        <v>44957</v>
      </c>
      <c r="C136" s="51">
        <v>4.6414999999999997</v>
      </c>
      <c r="D136" s="52">
        <v>1221.213</v>
      </c>
      <c r="E136" s="52">
        <v>1325.73</v>
      </c>
      <c r="F136" s="52">
        <v>1832.0920000000001</v>
      </c>
      <c r="G136" s="52">
        <v>1625.5609999999999</v>
      </c>
      <c r="H136" s="52">
        <v>1575.1949999999999</v>
      </c>
      <c r="I136" s="52">
        <v>3104.1729999999998</v>
      </c>
      <c r="J136" s="52">
        <v>4076.6</v>
      </c>
      <c r="K136" s="52">
        <v>2785</v>
      </c>
      <c r="L136" s="52">
        <v>1928.36</v>
      </c>
      <c r="M136" s="53"/>
      <c r="N136" s="54">
        <f t="shared" si="52"/>
        <v>44957</v>
      </c>
      <c r="O136" s="37">
        <f t="shared" si="53"/>
        <v>3.6190833333333335E-3</v>
      </c>
      <c r="P136" s="37">
        <f t="shared" si="54"/>
        <v>6.8529912993722242E-3</v>
      </c>
      <c r="Q136" s="37">
        <f t="shared" si="55"/>
        <v>7.4985009837649219E-3</v>
      </c>
      <c r="R136" s="37">
        <f t="shared" si="56"/>
        <v>1.0432522821833157E-2</v>
      </c>
      <c r="S136" s="37">
        <f t="shared" si="57"/>
        <v>2.5942010417448813E-2</v>
      </c>
      <c r="T136" s="37">
        <f t="shared" si="58"/>
        <v>1.4634042651866963E-2</v>
      </c>
      <c r="U136" s="37">
        <f t="shared" si="59"/>
        <v>3.889132644369897E-2</v>
      </c>
      <c r="V136" s="37">
        <f t="shared" si="60"/>
        <v>6.1752832400052027E-2</v>
      </c>
      <c r="W136" s="37">
        <f t="shared" si="61"/>
        <v>7.004675931440163E-2</v>
      </c>
      <c r="X136" s="37">
        <f t="shared" si="62"/>
        <v>5.720332013903362E-2</v>
      </c>
      <c r="Y136" s="24">
        <v>112</v>
      </c>
      <c r="Z136" s="28">
        <f t="shared" si="63"/>
        <v>44957</v>
      </c>
      <c r="AA136" s="21">
        <f t="array" ref="AA136">PRODUCT(1+O125:O136)-1</f>
        <v>2.1553807093038557E-2</v>
      </c>
      <c r="AB136" s="21">
        <f t="array" ref="AB136">PRODUCT(1+P125:P136)-1</f>
        <v>-2.3501444102210001E-2</v>
      </c>
      <c r="AC136" s="21">
        <f t="array" ref="AC136">PRODUCT(1+Q125:Q136)-1</f>
        <v>-2.3736287365708986E-2</v>
      </c>
      <c r="AD136" s="21">
        <f t="array" ref="AD136">PRODUCT(1+R125:R136)-1</f>
        <v>-2.3165074146685338E-2</v>
      </c>
      <c r="AE136" s="21">
        <f t="array" ref="AE136">PRODUCT(1+S125:S136)-1</f>
        <v>-8.8749803798462201E-2</v>
      </c>
      <c r="AF136" s="21">
        <f t="array" ref="AF136">PRODUCT(1+T125:T136)-1</f>
        <v>-5.6723709353567409E-2</v>
      </c>
      <c r="AG136" s="21">
        <f t="array" ref="AG136">PRODUCT(1+U125:U136)-1</f>
        <v>-9.3225480696623508E-2</v>
      </c>
      <c r="AH136" s="21">
        <f t="array" ref="AH136">PRODUCT(1+V125:V136)-1</f>
        <v>-9.7208534951445769E-2</v>
      </c>
      <c r="AI136" s="21">
        <f t="array" ref="AI136">PRODUCT(1+W125:W136)-1</f>
        <v>-8.9586636374037742E-2</v>
      </c>
      <c r="AJ136" s="21">
        <f t="array" ref="AJ136">PRODUCT(1+X125:X136)-1</f>
        <v>7.2998102572377821E-2</v>
      </c>
    </row>
    <row r="137" spans="1:36">
      <c r="A137" s="50">
        <v>124</v>
      </c>
      <c r="B137" s="47">
        <v>44985</v>
      </c>
      <c r="C137" s="51">
        <v>4.7686999999999999</v>
      </c>
      <c r="D137" s="52">
        <v>1212.395</v>
      </c>
      <c r="E137" s="52">
        <v>1315.232</v>
      </c>
      <c r="F137" s="52">
        <v>1820.5170000000001</v>
      </c>
      <c r="G137" s="52">
        <v>1586.404</v>
      </c>
      <c r="H137" s="52">
        <v>1551.3389999999999</v>
      </c>
      <c r="I137" s="52">
        <v>3013.752</v>
      </c>
      <c r="J137" s="52">
        <v>3970.15</v>
      </c>
      <c r="K137" s="52">
        <v>2714.57</v>
      </c>
      <c r="L137" s="52">
        <v>1826.92</v>
      </c>
      <c r="M137" s="53"/>
      <c r="N137" s="54">
        <f t="shared" si="52"/>
        <v>44985</v>
      </c>
      <c r="O137" s="37">
        <f t="shared" si="53"/>
        <v>3.8679166666666666E-3</v>
      </c>
      <c r="P137" s="37">
        <f t="shared" si="54"/>
        <v>-7.2206895930521098E-3</v>
      </c>
      <c r="Q137" s="37">
        <f t="shared" si="55"/>
        <v>-7.9186561366191288E-3</v>
      </c>
      <c r="R137" s="37">
        <f t="shared" si="56"/>
        <v>-6.3179141658825655E-3</v>
      </c>
      <c r="S137" s="37">
        <f t="shared" si="57"/>
        <v>-2.4088299362497012E-2</v>
      </c>
      <c r="T137" s="37">
        <f t="shared" si="58"/>
        <v>-1.5144791597230811E-2</v>
      </c>
      <c r="U137" s="37">
        <f t="shared" si="59"/>
        <v>-2.9128853320997239E-2</v>
      </c>
      <c r="V137" s="37">
        <f t="shared" si="60"/>
        <v>-2.6112446646715304E-2</v>
      </c>
      <c r="W137" s="37">
        <f t="shared" si="61"/>
        <v>-2.5289048473967624E-2</v>
      </c>
      <c r="X137" s="37">
        <f t="shared" si="62"/>
        <v>-5.2604285506855475E-2</v>
      </c>
      <c r="Y137" s="24">
        <v>113</v>
      </c>
      <c r="Z137" s="28">
        <f t="shared" si="63"/>
        <v>44985</v>
      </c>
      <c r="AA137" s="21">
        <f t="array" ref="AA137">PRODUCT(1+O126:O137)-1</f>
        <v>2.5351289395980858E-2</v>
      </c>
      <c r="AB137" s="21">
        <f t="array" ref="AB137">PRODUCT(1+P126:P137)-1</f>
        <v>-2.6910170211160822E-2</v>
      </c>
      <c r="AC137" s="21">
        <f t="array" ref="AC137">PRODUCT(1+Q126:Q137)-1</f>
        <v>-2.7808638484743242E-2</v>
      </c>
      <c r="AD137" s="21">
        <f t="array" ref="AD137">PRODUCT(1+R126:R137)-1</f>
        <v>-2.1799088382219778E-2</v>
      </c>
      <c r="AE137" s="21">
        <f t="array" ref="AE137">PRODUCT(1+S126:S137)-1</f>
        <v>-0.10389666142472442</v>
      </c>
      <c r="AF137" s="21">
        <f t="array" ref="AF137">PRODUCT(1+T126:T137)-1</f>
        <v>-6.4784627960868368E-2</v>
      </c>
      <c r="AG137" s="21">
        <f t="array" ref="AG137">PRODUCT(1+U126:U137)-1</f>
        <v>-0.10001092976461579</v>
      </c>
      <c r="AH137" s="21">
        <f t="array" ref="AH137">PRODUCT(1+V126:V137)-1</f>
        <v>-9.2317224287484456E-2</v>
      </c>
      <c r="AI137" s="21">
        <f t="array" ref="AI137">PRODUCT(1+W126:W137)-1</f>
        <v>-8.8443392266491783E-2</v>
      </c>
      <c r="AJ137" s="21">
        <f t="array" ref="AJ137">PRODUCT(1+X126:X137)-1</f>
        <v>-4.2991320017391255E-2</v>
      </c>
    </row>
    <row r="138" spans="1:36">
      <c r="A138" s="50">
        <v>125</v>
      </c>
      <c r="B138" s="47">
        <v>45016</v>
      </c>
      <c r="C138" s="51">
        <v>4.6929999999999996</v>
      </c>
      <c r="D138" s="52">
        <v>1231.7360000000001</v>
      </c>
      <c r="E138" s="52">
        <v>1336.6510000000001</v>
      </c>
      <c r="F138" s="52">
        <v>1836.508</v>
      </c>
      <c r="G138" s="52">
        <v>1633.325</v>
      </c>
      <c r="H138" s="52">
        <v>1584.106</v>
      </c>
      <c r="I138" s="52">
        <v>3090.9879999999998</v>
      </c>
      <c r="J138" s="52">
        <v>4109.3100000000004</v>
      </c>
      <c r="K138" s="52">
        <v>2791.44</v>
      </c>
      <c r="L138" s="52">
        <v>1969.28</v>
      </c>
      <c r="M138" s="53"/>
      <c r="N138" s="54">
        <f t="shared" si="52"/>
        <v>45016</v>
      </c>
      <c r="O138" s="37">
        <f t="shared" si="53"/>
        <v>3.9739166666666664E-3</v>
      </c>
      <c r="P138" s="37">
        <f t="shared" si="54"/>
        <v>1.5952721678990756E-2</v>
      </c>
      <c r="Q138" s="37">
        <f t="shared" si="55"/>
        <v>1.6285339772754925E-2</v>
      </c>
      <c r="R138" s="37">
        <f t="shared" si="56"/>
        <v>8.7837685668412657E-3</v>
      </c>
      <c r="S138" s="37">
        <f t="shared" si="57"/>
        <v>2.9576955176613406E-2</v>
      </c>
      <c r="T138" s="37">
        <f t="shared" si="58"/>
        <v>2.1121753530337406E-2</v>
      </c>
      <c r="U138" s="37">
        <f t="shared" si="59"/>
        <v>2.5627855244890752E-2</v>
      </c>
      <c r="V138" s="37">
        <f t="shared" si="60"/>
        <v>3.5051572358727023E-2</v>
      </c>
      <c r="W138" s="37">
        <f t="shared" si="61"/>
        <v>2.8317560423934518E-2</v>
      </c>
      <c r="X138" s="37">
        <f t="shared" si="62"/>
        <v>7.7923499660631057E-2</v>
      </c>
      <c r="Y138" s="24">
        <v>114</v>
      </c>
      <c r="Z138" s="28">
        <f t="shared" si="63"/>
        <v>45016</v>
      </c>
      <c r="AA138" s="21">
        <f t="array" ref="AA138">PRODUCT(1+O127:O138)-1</f>
        <v>2.9175774496249085E-2</v>
      </c>
      <c r="AB138" s="21">
        <f t="array" ref="AB138">PRODUCT(1+P127:P138)-1</f>
        <v>1.9539034957138934E-3</v>
      </c>
      <c r="AC138" s="21">
        <f t="array" ref="AC138">PRODUCT(1+Q127:Q138)-1</f>
        <v>5.4344368134406906E-4</v>
      </c>
      <c r="AD138" s="21">
        <f t="array" ref="AD138">PRODUCT(1+R127:R138)-1</f>
        <v>3.5184465722331026E-3</v>
      </c>
      <c r="AE138" s="21">
        <f t="array" ref="AE138">PRODUCT(1+S127:S138)-1</f>
        <v>-4.8804719971534238E-2</v>
      </c>
      <c r="AF138" s="21">
        <f t="array" ref="AF138">PRODUCT(1+T127:T138)-1</f>
        <v>-2.165916490857045E-2</v>
      </c>
      <c r="AG138" s="21">
        <f t="array" ref="AG138">PRODUCT(1+U127:U138)-1</f>
        <v>-5.1925601482081141E-2</v>
      </c>
      <c r="AH138" s="21">
        <f t="array" ref="AH138">PRODUCT(1+V127:V138)-1</f>
        <v>-9.2949644734141024E-2</v>
      </c>
      <c r="AI138" s="21">
        <f t="array" ref="AI138">PRODUCT(1+W127:W138)-1</f>
        <v>-8.5694071868643529E-2</v>
      </c>
      <c r="AJ138" s="21">
        <f t="array" ref="AJ138">PRODUCT(1+X127:X138)-1</f>
        <v>1.6434057312742834E-2</v>
      </c>
    </row>
    <row r="139" spans="1:36">
      <c r="A139" s="50">
        <v>126</v>
      </c>
      <c r="B139" s="47">
        <v>45044</v>
      </c>
      <c r="C139" s="51">
        <v>5.0301999999999998</v>
      </c>
      <c r="D139" s="52">
        <v>1234.9269999999999</v>
      </c>
      <c r="E139" s="52">
        <v>1338.9090000000001</v>
      </c>
      <c r="F139" s="52">
        <v>1847.4880000000001</v>
      </c>
      <c r="G139" s="52">
        <v>1642.258</v>
      </c>
      <c r="H139" s="52">
        <v>1590.328</v>
      </c>
      <c r="I139" s="52">
        <v>3117.1959999999999</v>
      </c>
      <c r="J139" s="52">
        <v>4169.4799999999996</v>
      </c>
      <c r="K139" s="52">
        <v>2835.93</v>
      </c>
      <c r="L139" s="52">
        <v>1990</v>
      </c>
      <c r="M139" s="53"/>
      <c r="N139" s="54">
        <f t="shared" si="52"/>
        <v>45044</v>
      </c>
      <c r="O139" s="37">
        <f t="shared" si="53"/>
        <v>3.910833333333333E-3</v>
      </c>
      <c r="P139" s="37">
        <f t="shared" si="54"/>
        <v>2.5906525424277405E-3</v>
      </c>
      <c r="Q139" s="37">
        <f t="shared" si="55"/>
        <v>1.6892966077157734E-3</v>
      </c>
      <c r="R139" s="37">
        <f t="shared" si="56"/>
        <v>5.9787379091187365E-3</v>
      </c>
      <c r="S139" s="37">
        <f t="shared" si="57"/>
        <v>5.4692115776100447E-3</v>
      </c>
      <c r="T139" s="37">
        <f t="shared" si="58"/>
        <v>3.9277674600057821E-3</v>
      </c>
      <c r="U139" s="37">
        <f t="shared" si="59"/>
        <v>8.4788423636714683E-3</v>
      </c>
      <c r="V139" s="37">
        <f t="shared" si="60"/>
        <v>1.464236088297044E-2</v>
      </c>
      <c r="W139" s="37">
        <f t="shared" si="61"/>
        <v>1.5938010489209731E-2</v>
      </c>
      <c r="X139" s="37">
        <f t="shared" si="62"/>
        <v>1.0521611959700916E-2</v>
      </c>
      <c r="Y139" s="24">
        <v>115</v>
      </c>
      <c r="Z139" s="28">
        <f t="shared" si="63"/>
        <v>45044</v>
      </c>
      <c r="AA139" s="21">
        <f t="array" ref="AA139">PRODUCT(1+O128:O139)-1</f>
        <v>3.278570169987538E-2</v>
      </c>
      <c r="AB139" s="21">
        <f t="array" ref="AB139">PRODUCT(1+P128:P139)-1</f>
        <v>9.3445492989749912E-3</v>
      </c>
      <c r="AC139" s="21">
        <f t="array" ref="AC139">PRODUCT(1+Q128:Q139)-1</f>
        <v>7.3430443088018382E-3</v>
      </c>
      <c r="AD139" s="21">
        <f t="array" ref="AD139">PRODUCT(1+R128:R139)-1</f>
        <v>1.6931538458150985E-2</v>
      </c>
      <c r="AE139" s="21">
        <f t="array" ref="AE139">PRODUCT(1+S128:S139)-1</f>
        <v>-1.1902835128616007E-2</v>
      </c>
      <c r="AF139" s="21">
        <f t="array" ref="AF139">PRODUCT(1+T128:T139)-1</f>
        <v>-9.9628497519310688E-4</v>
      </c>
      <c r="AG139" s="21">
        <f t="array" ref="AG139">PRODUCT(1+U128:U139)-1</f>
        <v>6.1342247782656401E-3</v>
      </c>
      <c r="AH139" s="21">
        <f t="array" ref="AH139">PRODUCT(1+V128:V139)-1</f>
        <v>9.0877628614227657E-3</v>
      </c>
      <c r="AI139" s="21">
        <f t="array" ref="AI139">PRODUCT(1+W128:W139)-1</f>
        <v>1.4418983982086298E-2</v>
      </c>
      <c r="AJ139" s="21">
        <f t="array" ref="AJ139">PRODUCT(1+X128:X139)-1</f>
        <v>4.9063486791816269E-2</v>
      </c>
    </row>
    <row r="140" spans="1:36">
      <c r="A140" s="50">
        <v>127</v>
      </c>
      <c r="B140" s="47">
        <v>45077</v>
      </c>
      <c r="C140" s="51">
        <v>5.3883999999999999</v>
      </c>
      <c r="D140" s="52">
        <v>1230.6690000000001</v>
      </c>
      <c r="E140" s="52">
        <v>1334.5940000000001</v>
      </c>
      <c r="F140" s="52">
        <v>1844.211</v>
      </c>
      <c r="G140" s="52">
        <v>1622.09</v>
      </c>
      <c r="H140" s="52">
        <v>1582.107</v>
      </c>
      <c r="I140" s="52">
        <v>3075.7919999999999</v>
      </c>
      <c r="J140" s="52">
        <v>4179.83</v>
      </c>
      <c r="K140" s="52">
        <v>2800.56</v>
      </c>
      <c r="L140" s="52">
        <v>1962.73</v>
      </c>
      <c r="M140" s="53"/>
      <c r="N140" s="54">
        <f t="shared" si="52"/>
        <v>45077</v>
      </c>
      <c r="O140" s="37">
        <f t="shared" si="53"/>
        <v>4.191833333333333E-3</v>
      </c>
      <c r="P140" s="37">
        <f t="shared" si="54"/>
        <v>-3.4479770869045856E-3</v>
      </c>
      <c r="Q140" s="37">
        <f t="shared" si="55"/>
        <v>-3.2227731683034389E-3</v>
      </c>
      <c r="R140" s="37">
        <f t="shared" si="56"/>
        <v>-1.7737598295631818E-3</v>
      </c>
      <c r="S140" s="37">
        <f t="shared" si="57"/>
        <v>-1.2280652613657628E-2</v>
      </c>
      <c r="T140" s="37">
        <f t="shared" si="58"/>
        <v>-5.1693738650140375E-3</v>
      </c>
      <c r="U140" s="37">
        <f t="shared" si="59"/>
        <v>-1.3282449996727785E-2</v>
      </c>
      <c r="V140" s="37">
        <f t="shared" si="60"/>
        <v>2.4823239348792381E-3</v>
      </c>
      <c r="W140" s="37">
        <f t="shared" si="61"/>
        <v>-1.247209909976621E-2</v>
      </c>
      <c r="X140" s="37">
        <f t="shared" si="62"/>
        <v>-1.370351758793964E-2</v>
      </c>
      <c r="Y140" s="24">
        <v>116</v>
      </c>
      <c r="Z140" s="28">
        <f t="shared" si="63"/>
        <v>45077</v>
      </c>
      <c r="AA140" s="21">
        <f t="array" ref="AA140">PRODUCT(1+O129:O140)-1</f>
        <v>3.6404253013946342E-2</v>
      </c>
      <c r="AB140" s="21">
        <f t="array" ref="AB140">PRODUCT(1+P129:P140)-1</f>
        <v>3.3245005120852156E-4</v>
      </c>
      <c r="AC140" s="21">
        <f t="array" ref="AC140">PRODUCT(1+Q129:Q140)-1</f>
        <v>-7.0608302128694067E-4</v>
      </c>
      <c r="AD140" s="21">
        <f t="array" ref="AD140">PRODUCT(1+R129:R140)-1</f>
        <v>9.3010350172062495E-3</v>
      </c>
      <c r="AE140" s="21">
        <f t="array" ref="AE140">PRODUCT(1+S129:S140)-1</f>
        <v>-2.464410805285433E-2</v>
      </c>
      <c r="AF140" s="21">
        <f t="array" ref="AF140">PRODUCT(1+T129:T140)-1</f>
        <v>-9.6976715072608632E-3</v>
      </c>
      <c r="AG140" s="21">
        <f t="array" ref="AG140">PRODUCT(1+U129:U140)-1</f>
        <v>-1.2515193718709461E-2</v>
      </c>
      <c r="AH140" s="21">
        <f t="array" ref="AH140">PRODUCT(1+V129:V140)-1</f>
        <v>1.1538787314109955E-2</v>
      </c>
      <c r="AI140" s="21">
        <f t="array" ref="AI140">PRODUCT(1+W129:W140)-1</f>
        <v>3.4217003880310237E-3</v>
      </c>
      <c r="AJ140" s="21">
        <f t="array" ref="AJ140">PRODUCT(1+X129:X140)-1</f>
        <v>6.8239584183743096E-2</v>
      </c>
    </row>
    <row r="141" spans="1:36">
      <c r="A141" s="50">
        <v>128</v>
      </c>
      <c r="B141" s="47">
        <v>45107</v>
      </c>
      <c r="C141" s="51">
        <v>5.2835999999999999</v>
      </c>
      <c r="D141" s="52">
        <v>1224.7070000000001</v>
      </c>
      <c r="E141" s="52">
        <v>1332.855</v>
      </c>
      <c r="F141" s="52">
        <v>1841.6869999999999</v>
      </c>
      <c r="G141" s="52">
        <v>1610.326</v>
      </c>
      <c r="H141" s="52">
        <v>1577.367</v>
      </c>
      <c r="I141" s="52">
        <v>3084.5419999999999</v>
      </c>
      <c r="J141" s="52">
        <v>4450.38</v>
      </c>
      <c r="K141" s="52">
        <v>2966.72</v>
      </c>
      <c r="L141" s="52">
        <v>1919.35</v>
      </c>
      <c r="M141" s="53"/>
      <c r="N141" s="54">
        <f t="shared" si="52"/>
        <v>45107</v>
      </c>
      <c r="O141" s="37">
        <f t="shared" si="53"/>
        <v>4.4903333333333332E-3</v>
      </c>
      <c r="P141" s="37">
        <f t="shared" si="54"/>
        <v>-4.8445195255588658E-3</v>
      </c>
      <c r="Q141" s="37">
        <f t="shared" si="55"/>
        <v>-1.3030179964843569E-3</v>
      </c>
      <c r="R141" s="37">
        <f t="shared" si="56"/>
        <v>-1.368606954410323E-3</v>
      </c>
      <c r="S141" s="37">
        <f t="shared" si="57"/>
        <v>-7.2523719399045783E-3</v>
      </c>
      <c r="T141" s="37">
        <f t="shared" si="58"/>
        <v>-2.996004695004828E-3</v>
      </c>
      <c r="U141" s="37">
        <f t="shared" si="59"/>
        <v>2.8447957469166507E-3</v>
      </c>
      <c r="V141" s="37">
        <f t="shared" si="60"/>
        <v>6.4727512841431301E-2</v>
      </c>
      <c r="W141" s="37">
        <f t="shared" si="61"/>
        <v>5.9330990944668205E-2</v>
      </c>
      <c r="X141" s="37">
        <f t="shared" si="62"/>
        <v>-2.2101868316069972E-2</v>
      </c>
      <c r="Y141" s="24">
        <v>117</v>
      </c>
      <c r="Z141" s="28">
        <f t="shared" si="63"/>
        <v>45107</v>
      </c>
      <c r="AA141" s="21">
        <f t="array" ref="AA141">PRODUCT(1+O130:O141)-1</f>
        <v>4.015727737585606E-2</v>
      </c>
      <c r="AB141" s="21">
        <f t="array" ref="AB141">PRODUCT(1+P130:P141)-1</f>
        <v>1.27621722999538E-3</v>
      </c>
      <c r="AC141" s="21">
        <f t="array" ref="AC141">PRODUCT(1+Q130:Q141)-1</f>
        <v>3.543277147368018E-3</v>
      </c>
      <c r="AD141" s="21">
        <f t="array" ref="AD141">PRODUCT(1+R130:R141)-1</f>
        <v>1.662480610740924E-2</v>
      </c>
      <c r="AE141" s="21">
        <f t="array" ref="AE141">PRODUCT(1+S130:S141)-1</f>
        <v>-2.465665476504153E-2</v>
      </c>
      <c r="AF141" s="21">
        <f t="array" ref="AF141">PRODUCT(1+T130:T141)-1</f>
        <v>-6.0993782792823081E-3</v>
      </c>
      <c r="AG141" s="21">
        <f t="array" ref="AG141">PRODUCT(1+U130:U141)-1</f>
        <v>1.4128896674346914E-2</v>
      </c>
      <c r="AH141" s="21">
        <f t="array" ref="AH141">PRODUCT(1+V130:V141)-1</f>
        <v>0.17567588987102978</v>
      </c>
      <c r="AI141" s="21">
        <f t="array" ref="AI141">PRODUCT(1+W130:W141)-1</f>
        <v>0.16516049469992433</v>
      </c>
      <c r="AJ141" s="21">
        <f t="array" ref="AJ141">PRODUCT(1+X130:X141)-1</f>
        <v>6.2016190165277374E-2</v>
      </c>
    </row>
    <row r="142" spans="1:36">
      <c r="A142" s="50">
        <v>129</v>
      </c>
      <c r="B142" s="47">
        <v>45138</v>
      </c>
      <c r="C142" s="51">
        <v>5.4001000000000001</v>
      </c>
      <c r="D142" s="52">
        <v>1229.067</v>
      </c>
      <c r="E142" s="52">
        <v>1337.424</v>
      </c>
      <c r="F142" s="52">
        <v>1854.1559999999999</v>
      </c>
      <c r="G142" s="52">
        <v>1603.9459999999999</v>
      </c>
      <c r="H142" s="52">
        <v>1577.788</v>
      </c>
      <c r="I142" s="52">
        <v>3097.9119999999998</v>
      </c>
      <c r="J142" s="52">
        <v>4588.96</v>
      </c>
      <c r="K142" s="52">
        <v>3064.3</v>
      </c>
      <c r="L142" s="52">
        <v>1965.09</v>
      </c>
      <c r="M142" s="53"/>
      <c r="N142" s="54">
        <f t="shared" ref="N142:N144" si="64">B142</f>
        <v>45138</v>
      </c>
      <c r="O142" s="37">
        <f t="shared" si="53"/>
        <v>4.4029999999999998E-3</v>
      </c>
      <c r="P142" s="37">
        <f t="shared" si="54"/>
        <v>3.5600351757603121E-3</v>
      </c>
      <c r="Q142" s="37">
        <f t="shared" si="55"/>
        <v>3.4279797877487805E-3</v>
      </c>
      <c r="R142" s="37">
        <f t="shared" si="56"/>
        <v>6.7704229871852206E-3</v>
      </c>
      <c r="S142" s="37">
        <f t="shared" si="57"/>
        <v>-3.9619306898106554E-3</v>
      </c>
      <c r="T142" s="37">
        <f t="shared" si="58"/>
        <v>2.6690047401789485E-4</v>
      </c>
      <c r="U142" s="37">
        <f t="shared" si="59"/>
        <v>4.3345170855186854E-3</v>
      </c>
      <c r="V142" s="37">
        <f t="shared" si="60"/>
        <v>3.1138913980379268E-2</v>
      </c>
      <c r="W142" s="37">
        <f t="shared" si="61"/>
        <v>3.2891543522813205E-2</v>
      </c>
      <c r="X142" s="37">
        <f t="shared" si="62"/>
        <v>2.3830984447859915E-2</v>
      </c>
      <c r="Y142" s="24">
        <v>118</v>
      </c>
      <c r="Z142" s="28">
        <f t="shared" si="63"/>
        <v>45138</v>
      </c>
      <c r="AA142" s="21">
        <f t="array" ref="AA142">PRODUCT(1+O131:O142)-1</f>
        <v>4.3323213027287588E-2</v>
      </c>
      <c r="AB142" s="21">
        <f t="array" ref="AB142">PRODUCT(1+P131:P142)-1</f>
        <v>1.4829940509122341E-3</v>
      </c>
      <c r="AC142" s="21">
        <f t="array" ref="AC142">PRODUCT(1+Q131:Q142)-1</f>
        <v>4.3367283721160721E-3</v>
      </c>
      <c r="AD142" s="21">
        <f t="array" ref="AD142">PRODUCT(1+R131:R142)-1</f>
        <v>1.5923006747593726E-2</v>
      </c>
      <c r="AE142" s="21">
        <f t="array" ref="AE142">PRODUCT(1+S131:S142)-1</f>
        <v>-4.4371492236746635E-2</v>
      </c>
      <c r="AF142" s="21">
        <f t="array" ref="AF142">PRODUCT(1+T131:T142)-1</f>
        <v>-1.6185854867291849E-2</v>
      </c>
      <c r="AG142" s="21">
        <f t="array" ref="AG142">PRODUCT(1+U131:U142)-1</f>
        <v>-1.0649077990084965E-2</v>
      </c>
      <c r="AH142" s="21">
        <f t="array" ref="AH142">PRODUCT(1+V131:V142)-1</f>
        <v>0.11105031365836271</v>
      </c>
      <c r="AI142" s="21">
        <f t="array" ref="AI142">PRODUCT(1+W131:W142)-1</f>
        <v>0.11576371719761003</v>
      </c>
      <c r="AJ142" s="21">
        <f t="array" ref="AJ142">PRODUCT(1+X131:X142)-1</f>
        <v>0.11277280088791253</v>
      </c>
    </row>
    <row r="143" spans="1:36">
      <c r="A143" s="50">
        <v>130</v>
      </c>
      <c r="B143" s="47">
        <v>45169</v>
      </c>
      <c r="C143" s="51">
        <v>5.4353999999999996</v>
      </c>
      <c r="D143" s="52">
        <v>1233.894</v>
      </c>
      <c r="E143" s="52">
        <v>1342.7180000000001</v>
      </c>
      <c r="F143" s="52">
        <v>1859.771</v>
      </c>
      <c r="G143" s="52">
        <v>1594.6089999999999</v>
      </c>
      <c r="H143" s="52">
        <v>1580.442</v>
      </c>
      <c r="I143" s="52">
        <v>3076.7559999999999</v>
      </c>
      <c r="J143" s="52">
        <v>4507.66</v>
      </c>
      <c r="K143" s="52">
        <v>2986.02</v>
      </c>
      <c r="L143" s="52">
        <v>1940.19</v>
      </c>
      <c r="M143" s="53"/>
      <c r="N143" s="54">
        <f t="shared" si="64"/>
        <v>45169</v>
      </c>
      <c r="O143" s="37">
        <f t="shared" ref="O143:O144" si="65">C142/1200</f>
        <v>4.5000833333333334E-3</v>
      </c>
      <c r="P143" s="37">
        <f t="shared" si="54"/>
        <v>3.9273692971986129E-3</v>
      </c>
      <c r="Q143" s="37">
        <f t="shared" si="55"/>
        <v>3.9583557645146428E-3</v>
      </c>
      <c r="R143" s="37">
        <f t="shared" si="56"/>
        <v>3.0283320281572212E-3</v>
      </c>
      <c r="S143" s="37">
        <f t="shared" si="57"/>
        <v>-5.8212682970623097E-3</v>
      </c>
      <c r="T143" s="37">
        <f t="shared" si="58"/>
        <v>1.6821017779320435E-3</v>
      </c>
      <c r="U143" s="37">
        <f t="shared" si="59"/>
        <v>-6.8291158690111375E-3</v>
      </c>
      <c r="V143" s="37">
        <f t="shared" si="60"/>
        <v>-1.771643248143373E-2</v>
      </c>
      <c r="W143" s="37">
        <f t="shared" si="61"/>
        <v>-2.5545801651274402E-2</v>
      </c>
      <c r="X143" s="37">
        <f t="shared" si="62"/>
        <v>-1.2671175366013698E-2</v>
      </c>
      <c r="Y143" s="24">
        <v>119</v>
      </c>
      <c r="Z143" s="28">
        <f t="shared" si="63"/>
        <v>45169</v>
      </c>
      <c r="AA143" s="21">
        <f t="array" ref="AA143">PRODUCT(1+O132:O143)-1</f>
        <v>4.5998779452648186E-2</v>
      </c>
      <c r="AB143" s="21">
        <f t="array" ref="AB143">PRODUCT(1+P132:P143)-1</f>
        <v>1.2711690520237129E-2</v>
      </c>
      <c r="AC143" s="21">
        <f t="array" ref="AC143">PRODUCT(1+Q132:Q143)-1</f>
        <v>1.6406720745107739E-2</v>
      </c>
      <c r="AD143" s="21">
        <f t="array" ref="AD143">PRODUCT(1+R132:R143)-1</f>
        <v>2.4893089386090805E-2</v>
      </c>
      <c r="AE143" s="21">
        <f t="array" ref="AE143">PRODUCT(1+S132:S143)-1</f>
        <v>-2.4397869178525267E-2</v>
      </c>
      <c r="AF143" s="21">
        <f t="array" ref="AF143">PRODUCT(1+T132:T143)-1</f>
        <v>3.0151850838775474E-3</v>
      </c>
      <c r="AG143" s="21">
        <f t="array" ref="AG143">PRODUCT(1+U132:U143)-1</f>
        <v>9.4578974772707713E-3</v>
      </c>
      <c r="AH143" s="21">
        <f t="array" ref="AH143">PRODUCT(1+V132:V143)-1</f>
        <v>0.1397370417193422</v>
      </c>
      <c r="AI143" s="21">
        <f t="array" ref="AI143">PRODUCT(1+W132:W143)-1</f>
        <v>0.13652695522433511</v>
      </c>
      <c r="AJ143" s="21">
        <f t="array" ref="AJ143">PRODUCT(1+X132:X143)-1</f>
        <v>0.13392439685805169</v>
      </c>
    </row>
    <row r="144" spans="1:36">
      <c r="A144" s="50">
        <v>131</v>
      </c>
      <c r="B144" s="47">
        <v>45198</v>
      </c>
      <c r="C144" s="51">
        <v>5.4459</v>
      </c>
      <c r="D144" s="52">
        <v>1233.7860000000001</v>
      </c>
      <c r="E144" s="52">
        <v>1343.711</v>
      </c>
      <c r="F144" s="52">
        <v>1858.5160000000001</v>
      </c>
      <c r="G144" s="52">
        <v>1556.634</v>
      </c>
      <c r="H144" s="52">
        <v>1567.982</v>
      </c>
      <c r="I144" s="52">
        <v>3001.3850000000002</v>
      </c>
      <c r="J144" s="52">
        <v>4288.05</v>
      </c>
      <c r="K144" s="52">
        <v>2853.24</v>
      </c>
      <c r="L144" s="52">
        <v>1848.63</v>
      </c>
      <c r="M144" s="53" t="s">
        <v>104</v>
      </c>
      <c r="N144" s="54">
        <f t="shared" si="64"/>
        <v>45198</v>
      </c>
      <c r="O144" s="37">
        <f t="shared" si="65"/>
        <v>4.5294999999999997E-3</v>
      </c>
      <c r="P144" s="37">
        <f t="shared" si="54"/>
        <v>-8.7527777912765892E-5</v>
      </c>
      <c r="Q144" s="37">
        <f t="shared" si="55"/>
        <v>7.3954471452686299E-4</v>
      </c>
      <c r="R144" s="37">
        <f t="shared" si="56"/>
        <v>-6.7481426476689865E-4</v>
      </c>
      <c r="S144" s="37">
        <f t="shared" si="57"/>
        <v>-2.3814615369661118E-2</v>
      </c>
      <c r="T144" s="37">
        <f t="shared" si="58"/>
        <v>-7.8838704615544763E-3</v>
      </c>
      <c r="U144" s="37">
        <f t="shared" si="59"/>
        <v>-2.4496905181951245E-2</v>
      </c>
      <c r="V144" s="37">
        <f t="shared" si="60"/>
        <v>-4.871929116215501E-2</v>
      </c>
      <c r="W144" s="37">
        <f t="shared" si="61"/>
        <v>-4.4467217232302625E-2</v>
      </c>
      <c r="X144" s="37">
        <f t="shared" si="62"/>
        <v>-4.7191254464768906E-2</v>
      </c>
      <c r="Y144" s="24">
        <v>120</v>
      </c>
      <c r="Z144" s="28">
        <f t="shared" si="63"/>
        <v>45198</v>
      </c>
      <c r="AA144" s="21">
        <f t="array" ref="AA144">PRODUCT(1+O133:O144)-1</f>
        <v>4.8203211113185818E-2</v>
      </c>
      <c r="AB144" s="21">
        <f t="array" ref="AB144">PRODUCT(1+P133:P144)-1</f>
        <v>2.469579776936337E-2</v>
      </c>
      <c r="AC144" s="21">
        <f t="array" ref="AC144">PRODUCT(1+Q133:Q144)-1</f>
        <v>2.849718327107964E-2</v>
      </c>
      <c r="AD144" s="21">
        <f t="array" ref="AD144">PRODUCT(1+R133:R144)-1</f>
        <v>3.9304206223916172E-2</v>
      </c>
      <c r="AE144" s="21">
        <f t="array" ref="AE144">PRODUCT(1+S133:S144)-1</f>
        <v>-1.0515034554302805E-2</v>
      </c>
      <c r="AF144" s="21">
        <f t="array" ref="AF144">PRODUCT(1+T133:T144)-1</f>
        <v>1.9280086171759692E-2</v>
      </c>
      <c r="AG144" s="21">
        <f t="array" ref="AG144">PRODUCT(1+U133:U144)-1</f>
        <v>3.9929414446893796E-2</v>
      </c>
      <c r="AH144" s="21">
        <f t="array" ref="AH144">PRODUCT(1+V133:V144)-1</f>
        <v>0.19590196395602466</v>
      </c>
      <c r="AI144" s="21">
        <f t="array" ref="AI144">PRODUCT(1+W133:W144)-1</f>
        <v>0.19952073655224556</v>
      </c>
      <c r="AJ144" s="21">
        <f t="array" ref="AJ144">PRODUCT(1+X133:X144)-1</f>
        <v>0.11322345403195233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B2:D8"/>
  <sheetViews>
    <sheetView showGridLines="0" zoomScale="89" zoomScaleNormal="89" workbookViewId="0">
      <selection activeCell="C21" sqref="C21"/>
    </sheetView>
  </sheetViews>
  <sheetFormatPr baseColWidth="10" defaultColWidth="9" defaultRowHeight="15"/>
  <cols>
    <col min="1" max="1" width="3.5" style="3" customWidth="1"/>
    <col min="2" max="4" width="9" style="3"/>
    <col min="5" max="6" width="9" style="3" customWidth="1"/>
    <col min="7" max="16384" width="9" style="3"/>
  </cols>
  <sheetData>
    <row r="2" spans="2:4" s="3" customFormat="1">
      <c r="B2" s="35" t="s">
        <v>100</v>
      </c>
      <c r="C2" s="35"/>
      <c r="D2" s="35"/>
    </row>
    <row r="3" spans="2:4" s="3" customFormat="1">
      <c r="B3" s="4"/>
      <c r="C3" s="4" t="s">
        <v>73</v>
      </c>
      <c r="D3" s="4" t="s">
        <v>74</v>
      </c>
    </row>
    <row r="4" spans="2:4" s="3" customFormat="1">
      <c r="B4" s="4" t="s">
        <v>10</v>
      </c>
      <c r="C4" s="36">
        <v>0.03</v>
      </c>
      <c r="D4" s="36">
        <v>0.03</v>
      </c>
    </row>
    <row r="5" spans="2:4" s="3" customFormat="1">
      <c r="B5" s="4" t="s">
        <v>11</v>
      </c>
      <c r="C5" s="36">
        <v>0.04</v>
      </c>
      <c r="D5" s="36">
        <v>0.04</v>
      </c>
    </row>
    <row r="6" spans="2:4" s="3" customFormat="1">
      <c r="B6" s="4" t="s">
        <v>99</v>
      </c>
      <c r="C6" s="37">
        <f>'Boiler Room'!L13</f>
        <v>0.22662735237686821</v>
      </c>
      <c r="D6" s="37">
        <f>'Boiler Room'!M13</f>
        <v>0.22662735237686821</v>
      </c>
    </row>
    <row r="7" spans="2:4" s="3" customFormat="1">
      <c r="B7" s="4" t="s">
        <v>64</v>
      </c>
      <c r="C7" s="37">
        <f>C4+_xlfn.NORM.S.INV(1-confidence)*C5</f>
        <v>-3.5794145078058864E-2</v>
      </c>
      <c r="D7" s="37">
        <f>D4+_xlfn.NORM.S.INV(1-confidence)*D5</f>
        <v>-3.5794145078058864E-2</v>
      </c>
    </row>
    <row r="8" spans="2:4" s="3" customFormat="1">
      <c r="B8" s="4" t="s">
        <v>77</v>
      </c>
      <c r="C8" s="37">
        <f>C4-C5*EXP(-0.5*NORMSINV(1-confidence)^2)/((1-confidence)*SQRT(2*PI()))</f>
        <v>-5.2508512300297142E-2</v>
      </c>
      <c r="D8" s="37">
        <f>D4-D5*EXP(-0.5*NORMSINV(1-confidence)^2)/((1-confidence)*SQRT(2*PI()))</f>
        <v>-5.2508512300297142E-2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2:AJ34"/>
  <sheetViews>
    <sheetView showGridLines="0" topLeftCell="A2" zoomScaleNormal="100" workbookViewId="0">
      <selection activeCell="F21" sqref="F21"/>
    </sheetView>
  </sheetViews>
  <sheetFormatPr baseColWidth="10" defaultColWidth="9" defaultRowHeight="15"/>
  <cols>
    <col min="1" max="1" width="9" style="3" customWidth="1"/>
    <col min="2" max="12" width="10.6640625" style="3" customWidth="1"/>
    <col min="13" max="13" width="9" style="3"/>
    <col min="14" max="24" width="10.6640625" style="3" customWidth="1"/>
    <col min="25" max="25" width="9" style="3"/>
    <col min="26" max="36" width="10.6640625" style="3" customWidth="1"/>
    <col min="37" max="16384" width="9" style="3"/>
  </cols>
  <sheetData>
    <row r="2" spans="1:36">
      <c r="C2" s="24">
        <v>1</v>
      </c>
      <c r="D2" s="24">
        <v>2</v>
      </c>
      <c r="E2" s="24">
        <v>3</v>
      </c>
      <c r="F2" s="24">
        <v>4</v>
      </c>
      <c r="G2" s="24">
        <v>5</v>
      </c>
      <c r="H2" s="24">
        <v>6</v>
      </c>
      <c r="I2" s="24">
        <v>7</v>
      </c>
      <c r="J2" s="24">
        <v>8</v>
      </c>
      <c r="K2" s="24">
        <v>9</v>
      </c>
      <c r="L2" s="24">
        <v>10</v>
      </c>
      <c r="O2" s="24">
        <v>1</v>
      </c>
      <c r="P2" s="24">
        <v>2</v>
      </c>
      <c r="Q2" s="24">
        <v>3</v>
      </c>
      <c r="R2" s="24">
        <v>4</v>
      </c>
      <c r="S2" s="24">
        <v>5</v>
      </c>
      <c r="T2" s="24">
        <v>6</v>
      </c>
      <c r="U2" s="24">
        <v>7</v>
      </c>
      <c r="V2" s="24">
        <v>8</v>
      </c>
      <c r="W2" s="24">
        <v>9</v>
      </c>
      <c r="X2" s="24">
        <v>10</v>
      </c>
      <c r="AA2" s="24">
        <v>1</v>
      </c>
      <c r="AB2" s="24">
        <v>2</v>
      </c>
      <c r="AC2" s="24">
        <v>3</v>
      </c>
      <c r="AD2" s="24">
        <v>4</v>
      </c>
      <c r="AE2" s="24">
        <v>5</v>
      </c>
      <c r="AF2" s="24">
        <v>6</v>
      </c>
      <c r="AG2" s="24">
        <v>7</v>
      </c>
      <c r="AH2" s="24">
        <v>8</v>
      </c>
      <c r="AI2" s="24">
        <v>9</v>
      </c>
      <c r="AJ2" s="24">
        <v>10</v>
      </c>
    </row>
    <row r="3" spans="1:36">
      <c r="B3" s="13" t="s">
        <v>46</v>
      </c>
      <c r="C3" s="13"/>
      <c r="D3" s="13"/>
      <c r="E3" s="13"/>
      <c r="F3" s="13"/>
      <c r="G3" s="13"/>
      <c r="H3" s="13"/>
      <c r="I3" s="13"/>
      <c r="J3" s="13"/>
      <c r="K3" s="13"/>
      <c r="L3" s="13"/>
      <c r="N3" s="29" t="s">
        <v>51</v>
      </c>
      <c r="O3" s="29"/>
      <c r="P3" s="29"/>
      <c r="Q3" s="29"/>
      <c r="R3" s="29"/>
      <c r="S3" s="29"/>
      <c r="T3" s="29"/>
      <c r="U3" s="29"/>
      <c r="V3" s="29"/>
      <c r="W3" s="29"/>
      <c r="X3" s="29"/>
      <c r="Z3" s="29" t="s">
        <v>53</v>
      </c>
      <c r="AA3" s="29"/>
      <c r="AB3" s="29"/>
      <c r="AC3" s="29"/>
      <c r="AD3" s="29"/>
      <c r="AE3" s="29"/>
      <c r="AF3" s="29"/>
      <c r="AG3" s="29"/>
      <c r="AH3" s="29"/>
      <c r="AI3" s="29"/>
      <c r="AJ3" s="29"/>
    </row>
    <row r="4" spans="1:36">
      <c r="B4" s="4"/>
      <c r="C4" s="4" t="str">
        <f t="array" ref="C4:L4">assetnames</f>
        <v>US.CASH</v>
      </c>
      <c r="D4" s="4" t="str">
        <v>US.GOVT.13</v>
      </c>
      <c r="E4" s="4" t="str">
        <v>US.AGCY.13</v>
      </c>
      <c r="F4" s="4" t="str">
        <v>US.CORP.13</v>
      </c>
      <c r="G4" s="4" t="str">
        <v>US.GOVT</v>
      </c>
      <c r="H4" s="4" t="str">
        <v>US.AGCY</v>
      </c>
      <c r="I4" s="4" t="str">
        <v>US.CORP</v>
      </c>
      <c r="J4" s="4" t="str">
        <v>US.EQ</v>
      </c>
      <c r="K4" s="4" t="str">
        <v>GL.EQ</v>
      </c>
      <c r="L4" s="4" t="str">
        <v>GOLD</v>
      </c>
      <c r="N4" s="4"/>
      <c r="O4" s="4" t="str">
        <f t="array" ref="O4:X4">assetnames</f>
        <v>US.CASH</v>
      </c>
      <c r="P4" s="4" t="str">
        <v>US.GOVT.13</v>
      </c>
      <c r="Q4" s="4" t="str">
        <v>US.AGCY.13</v>
      </c>
      <c r="R4" s="4" t="str">
        <v>US.CORP.13</v>
      </c>
      <c r="S4" s="4" t="str">
        <v>US.GOVT</v>
      </c>
      <c r="T4" s="4" t="str">
        <v>US.AGCY</v>
      </c>
      <c r="U4" s="4" t="str">
        <v>US.CORP</v>
      </c>
      <c r="V4" s="4" t="str">
        <v>US.EQ</v>
      </c>
      <c r="W4" s="4" t="str">
        <v>GL.EQ</v>
      </c>
      <c r="X4" s="4" t="str">
        <v>GOLD</v>
      </c>
      <c r="Z4" s="4"/>
      <c r="AA4" s="4" t="str">
        <f t="array" ref="AA4:AJ4">assetnames</f>
        <v>US.CASH</v>
      </c>
      <c r="AB4" s="4" t="str">
        <v>US.GOVT.13</v>
      </c>
      <c r="AC4" s="4" t="str">
        <v>US.AGCY.13</v>
      </c>
      <c r="AD4" s="4" t="str">
        <v>US.CORP.13</v>
      </c>
      <c r="AE4" s="4" t="str">
        <v>US.GOVT</v>
      </c>
      <c r="AF4" s="4" t="str">
        <v>US.AGCY</v>
      </c>
      <c r="AG4" s="4" t="str">
        <v>US.CORP</v>
      </c>
      <c r="AH4" s="4" t="str">
        <v>US.EQ</v>
      </c>
      <c r="AI4" s="4" t="str">
        <v>GL.EQ</v>
      </c>
      <c r="AJ4" s="4" t="str">
        <v>GOLD</v>
      </c>
    </row>
    <row r="5" spans="1:36">
      <c r="A5" s="24">
        <v>1</v>
      </c>
      <c r="B5" s="4" t="str">
        <f t="array" ref="B5:B14">TRANSPOSE(assetnames)</f>
        <v>US.CASH</v>
      </c>
      <c r="C5" s="30">
        <f t="shared" ref="C5:L14" si="0">CORREL(INDEX(monthlyrets,,C$2),INDEX(monthlyrets,,$A5))</f>
        <v>1</v>
      </c>
      <c r="D5" s="30">
        <f t="shared" si="0"/>
        <v>0.18466579911677652</v>
      </c>
      <c r="E5" s="30">
        <f t="shared" si="0"/>
        <v>0.20836591785391348</v>
      </c>
      <c r="F5" s="30">
        <f t="shared" si="0"/>
        <v>9.7610711475071735E-2</v>
      </c>
      <c r="G5" s="30">
        <f t="shared" si="0"/>
        <v>1.550040970215635E-2</v>
      </c>
      <c r="H5" s="30">
        <f t="shared" si="0"/>
        <v>7.410643949969703E-2</v>
      </c>
      <c r="I5" s="30">
        <f t="shared" si="0"/>
        <v>4.8305454631710504E-3</v>
      </c>
      <c r="J5" s="30">
        <f t="shared" si="0"/>
        <v>-6.4862109453762293E-2</v>
      </c>
      <c r="K5" s="30">
        <f t="shared" si="0"/>
        <v>-5.0406257935751299E-2</v>
      </c>
      <c r="L5" s="30">
        <f t="shared" si="0"/>
        <v>7.4812748014389766E-2</v>
      </c>
      <c r="M5" s="24">
        <v>1</v>
      </c>
      <c r="N5" s="4" t="str">
        <f t="array" ref="N5:N14">TRANSPOSE(assetnames)</f>
        <v>US.CASH</v>
      </c>
      <c r="O5" s="30">
        <f t="shared" ref="O5:O14" si="1">C19/(INDEX(stdevs,1,O$2)*INDEX(stdevs,1,$M5))</f>
        <v>1</v>
      </c>
      <c r="P5" s="30">
        <f t="shared" ref="P5:P14" si="2">D19/(INDEX(stdevs,1,P$2)*INDEX(stdevs,1,$M5))</f>
        <v>0.18466579911677652</v>
      </c>
      <c r="Q5" s="30">
        <f t="shared" ref="Q5:Q14" si="3">E19/(INDEX(stdevs,1,Q$2)*INDEX(stdevs,1,$M5))</f>
        <v>0.20836591785391348</v>
      </c>
      <c r="R5" s="30">
        <f t="shared" ref="R5:R14" si="4">F19/(INDEX(stdevs,1,R$2)*INDEX(stdevs,1,$M5))</f>
        <v>9.7610711475071749E-2</v>
      </c>
      <c r="S5" s="30">
        <f t="shared" ref="S5:S14" si="5">G19/(INDEX(stdevs,1,S$2)*INDEX(stdevs,1,$M5))</f>
        <v>1.550040970215635E-2</v>
      </c>
      <c r="T5" s="30">
        <f t="shared" ref="T5:T14" si="6">H19/(INDEX(stdevs,1,T$2)*INDEX(stdevs,1,$M5))</f>
        <v>7.4106439499697016E-2</v>
      </c>
      <c r="U5" s="30">
        <f t="shared" ref="U5:U14" si="7">I19/(INDEX(stdevs,1,U$2)*INDEX(stdevs,1,$M5))</f>
        <v>4.8305454631710504E-3</v>
      </c>
      <c r="V5" s="30">
        <f t="shared" ref="V5:V14" si="8">J19/(INDEX(stdevs,1,V$2)*INDEX(stdevs,1,$M5))</f>
        <v>-6.4862109453762293E-2</v>
      </c>
      <c r="W5" s="30">
        <f t="shared" ref="W5:W14" si="9">K19/(INDEX(stdevs,1,W$2)*INDEX(stdevs,1,$M5))</f>
        <v>-5.0406257935751292E-2</v>
      </c>
      <c r="X5" s="30">
        <f t="shared" ref="X5:X14" si="10">L19/(INDEX(stdevs,1,X$2)*INDEX(stdevs,1,$M5))</f>
        <v>7.4812748014389766E-2</v>
      </c>
      <c r="Y5" s="24">
        <v>1</v>
      </c>
      <c r="Z5" s="4" t="str">
        <f t="array" ref="Z5:Z14">TRANSPOSE(assetnames)</f>
        <v>US.CASH</v>
      </c>
      <c r="AA5" s="30">
        <f>O5-C5</f>
        <v>0</v>
      </c>
      <c r="AB5" s="30">
        <f t="shared" ref="AB5:AJ5" si="11">P5-D5</f>
        <v>0</v>
      </c>
      <c r="AC5" s="30">
        <f t="shared" si="11"/>
        <v>0</v>
      </c>
      <c r="AD5" s="30">
        <f t="shared" si="11"/>
        <v>0</v>
      </c>
      <c r="AE5" s="30">
        <f t="shared" si="11"/>
        <v>0</v>
      </c>
      <c r="AF5" s="30">
        <f t="shared" si="11"/>
        <v>0</v>
      </c>
      <c r="AG5" s="30">
        <f t="shared" si="11"/>
        <v>0</v>
      </c>
      <c r="AH5" s="30">
        <f t="shared" si="11"/>
        <v>0</v>
      </c>
      <c r="AI5" s="30">
        <f t="shared" si="11"/>
        <v>0</v>
      </c>
      <c r="AJ5" s="30">
        <f t="shared" si="11"/>
        <v>0</v>
      </c>
    </row>
    <row r="6" spans="1:36">
      <c r="A6" s="24">
        <v>2</v>
      </c>
      <c r="B6" s="4" t="str">
        <v>US.GOVT.13</v>
      </c>
      <c r="C6" s="30">
        <f t="shared" si="0"/>
        <v>0.18466579911677652</v>
      </c>
      <c r="D6" s="30">
        <f t="shared" si="0"/>
        <v>1</v>
      </c>
      <c r="E6" s="30">
        <f t="shared" si="0"/>
        <v>0.98107426976729772</v>
      </c>
      <c r="F6" s="30">
        <f t="shared" si="0"/>
        <v>0.48501875780379633</v>
      </c>
      <c r="G6" s="30">
        <f t="shared" si="0"/>
        <v>0.82243301589316875</v>
      </c>
      <c r="H6" s="30">
        <f t="shared" si="0"/>
        <v>0.86943055555899906</v>
      </c>
      <c r="I6" s="30">
        <f t="shared" si="0"/>
        <v>0.48317772260215586</v>
      </c>
      <c r="J6" s="30">
        <f t="shared" si="0"/>
        <v>-2.4299412146206154E-2</v>
      </c>
      <c r="K6" s="30">
        <f t="shared" si="0"/>
        <v>-1.0474092055851418E-2</v>
      </c>
      <c r="L6" s="30">
        <f t="shared" si="0"/>
        <v>0.35760363049039834</v>
      </c>
      <c r="M6" s="24">
        <v>2</v>
      </c>
      <c r="N6" s="4" t="str">
        <v>US.GOVT.13</v>
      </c>
      <c r="O6" s="30">
        <f t="shared" si="1"/>
        <v>0.18466579911677652</v>
      </c>
      <c r="P6" s="30">
        <f t="shared" si="2"/>
        <v>1.0000000000000002</v>
      </c>
      <c r="Q6" s="30">
        <f t="shared" si="3"/>
        <v>0.98107426976729761</v>
      </c>
      <c r="R6" s="30">
        <f t="shared" si="4"/>
        <v>0.48501875780379627</v>
      </c>
      <c r="S6" s="30">
        <f t="shared" si="5"/>
        <v>0.82243301589316886</v>
      </c>
      <c r="T6" s="30">
        <f t="shared" si="6"/>
        <v>0.86943055555899906</v>
      </c>
      <c r="U6" s="30">
        <f t="shared" si="7"/>
        <v>0.48317772260215586</v>
      </c>
      <c r="V6" s="30">
        <f t="shared" si="8"/>
        <v>-2.4299412146206158E-2</v>
      </c>
      <c r="W6" s="30">
        <f t="shared" si="9"/>
        <v>-1.047409205585142E-2</v>
      </c>
      <c r="X6" s="30">
        <f t="shared" si="10"/>
        <v>0.35760363049039839</v>
      </c>
      <c r="Y6" s="24">
        <v>2</v>
      </c>
      <c r="Z6" s="4" t="str">
        <v>US.GOVT.13</v>
      </c>
      <c r="AA6" s="30">
        <f t="shared" ref="AA6:AA14" si="12">O6-C6</f>
        <v>0</v>
      </c>
      <c r="AB6" s="30">
        <f t="shared" ref="AB6:AB14" si="13">P6-D6</f>
        <v>0</v>
      </c>
      <c r="AC6" s="30">
        <f t="shared" ref="AC6:AC14" si="14">Q6-E6</f>
        <v>0</v>
      </c>
      <c r="AD6" s="30">
        <f t="shared" ref="AD6:AD14" si="15">R6-F6</f>
        <v>0</v>
      </c>
      <c r="AE6" s="30">
        <f t="shared" ref="AE6:AE14" si="16">S6-G6</f>
        <v>0</v>
      </c>
      <c r="AF6" s="30">
        <f t="shared" ref="AF6:AF14" si="17">T6-H6</f>
        <v>0</v>
      </c>
      <c r="AG6" s="30">
        <f t="shared" ref="AG6:AG14" si="18">U6-I6</f>
        <v>0</v>
      </c>
      <c r="AH6" s="30">
        <f t="shared" ref="AH6:AH14" si="19">V6-J6</f>
        <v>0</v>
      </c>
      <c r="AI6" s="30">
        <f t="shared" ref="AI6:AI14" si="20">W6-K6</f>
        <v>0</v>
      </c>
      <c r="AJ6" s="30">
        <f t="shared" ref="AJ6:AJ14" si="21">X6-L6</f>
        <v>0</v>
      </c>
    </row>
    <row r="7" spans="1:36">
      <c r="A7" s="24">
        <v>3</v>
      </c>
      <c r="B7" s="4" t="str">
        <v>US.AGCY.13</v>
      </c>
      <c r="C7" s="30">
        <f t="shared" si="0"/>
        <v>0.20836591785391348</v>
      </c>
      <c r="D7" s="30">
        <f t="shared" si="0"/>
        <v>0.98107426976729772</v>
      </c>
      <c r="E7" s="30">
        <f t="shared" si="0"/>
        <v>1</v>
      </c>
      <c r="F7" s="30">
        <f t="shared" si="0"/>
        <v>0.58554972495590552</v>
      </c>
      <c r="G7" s="30">
        <f t="shared" si="0"/>
        <v>0.80902947002295633</v>
      </c>
      <c r="H7" s="30">
        <f t="shared" si="0"/>
        <v>0.8825748743432632</v>
      </c>
      <c r="I7" s="30">
        <f t="shared" si="0"/>
        <v>0.56944780600846057</v>
      </c>
      <c r="J7" s="30">
        <f t="shared" si="0"/>
        <v>5.5848050939319521E-2</v>
      </c>
      <c r="K7" s="30">
        <f t="shared" si="0"/>
        <v>7.4011675994445927E-2</v>
      </c>
      <c r="L7" s="30">
        <f t="shared" si="0"/>
        <v>0.37140544276194021</v>
      </c>
      <c r="M7" s="24">
        <v>3</v>
      </c>
      <c r="N7" s="4" t="str">
        <v>US.AGCY.13</v>
      </c>
      <c r="O7" s="30">
        <f t="shared" si="1"/>
        <v>0.20836591785391348</v>
      </c>
      <c r="P7" s="30">
        <f t="shared" si="2"/>
        <v>0.98107426976729761</v>
      </c>
      <c r="Q7" s="30">
        <f t="shared" si="3"/>
        <v>0.99999999999999989</v>
      </c>
      <c r="R7" s="30">
        <f t="shared" si="4"/>
        <v>0.58554972495590552</v>
      </c>
      <c r="S7" s="30">
        <f t="shared" si="5"/>
        <v>0.80902947002295633</v>
      </c>
      <c r="T7" s="30">
        <f t="shared" si="6"/>
        <v>0.8825748743432632</v>
      </c>
      <c r="U7" s="30">
        <f t="shared" si="7"/>
        <v>0.56944780600846034</v>
      </c>
      <c r="V7" s="30">
        <f t="shared" si="8"/>
        <v>5.5848050939319521E-2</v>
      </c>
      <c r="W7" s="30">
        <f t="shared" si="9"/>
        <v>7.4011675994445927E-2</v>
      </c>
      <c r="X7" s="30">
        <f t="shared" si="10"/>
        <v>0.37140544276194015</v>
      </c>
      <c r="Y7" s="24">
        <v>3</v>
      </c>
      <c r="Z7" s="4" t="str">
        <v>US.AGCY.13</v>
      </c>
      <c r="AA7" s="30">
        <f t="shared" si="12"/>
        <v>0</v>
      </c>
      <c r="AB7" s="30">
        <f t="shared" si="13"/>
        <v>0</v>
      </c>
      <c r="AC7" s="30">
        <f t="shared" si="14"/>
        <v>0</v>
      </c>
      <c r="AD7" s="30">
        <f t="shared" si="15"/>
        <v>0</v>
      </c>
      <c r="AE7" s="30">
        <f t="shared" si="16"/>
        <v>0</v>
      </c>
      <c r="AF7" s="30">
        <f t="shared" si="17"/>
        <v>0</v>
      </c>
      <c r="AG7" s="30">
        <f t="shared" si="18"/>
        <v>0</v>
      </c>
      <c r="AH7" s="30">
        <f t="shared" si="19"/>
        <v>0</v>
      </c>
      <c r="AI7" s="30">
        <f t="shared" si="20"/>
        <v>0</v>
      </c>
      <c r="AJ7" s="30">
        <f t="shared" si="21"/>
        <v>0</v>
      </c>
    </row>
    <row r="8" spans="1:36">
      <c r="A8" s="24">
        <v>4</v>
      </c>
      <c r="B8" s="4" t="str">
        <v>US.CORP.13</v>
      </c>
      <c r="C8" s="30">
        <f t="shared" si="0"/>
        <v>9.7610711475071735E-2</v>
      </c>
      <c r="D8" s="30">
        <f t="shared" si="0"/>
        <v>0.48501875780379633</v>
      </c>
      <c r="E8" s="30">
        <f t="shared" si="0"/>
        <v>0.58554972495590552</v>
      </c>
      <c r="F8" s="30">
        <f t="shared" si="0"/>
        <v>0.99999999999999989</v>
      </c>
      <c r="G8" s="30">
        <f t="shared" si="0"/>
        <v>0.45241943658610778</v>
      </c>
      <c r="H8" s="30">
        <f t="shared" si="0"/>
        <v>0.60312711114543038</v>
      </c>
      <c r="I8" s="30">
        <f t="shared" si="0"/>
        <v>0.87508161578482646</v>
      </c>
      <c r="J8" s="30">
        <f t="shared" si="0"/>
        <v>0.48011744199086209</v>
      </c>
      <c r="K8" s="30">
        <f t="shared" si="0"/>
        <v>0.5150528839166183</v>
      </c>
      <c r="L8" s="30">
        <f t="shared" si="0"/>
        <v>0.34954526623188359</v>
      </c>
      <c r="M8" s="24">
        <v>4</v>
      </c>
      <c r="N8" s="4" t="str">
        <v>US.CORP.13</v>
      </c>
      <c r="O8" s="30">
        <f t="shared" si="1"/>
        <v>9.7610711475071749E-2</v>
      </c>
      <c r="P8" s="30">
        <f t="shared" si="2"/>
        <v>0.48501875780379627</v>
      </c>
      <c r="Q8" s="30">
        <f t="shared" si="3"/>
        <v>0.58554972495590552</v>
      </c>
      <c r="R8" s="30">
        <f t="shared" si="4"/>
        <v>1</v>
      </c>
      <c r="S8" s="30">
        <f t="shared" si="5"/>
        <v>0.45241943658610778</v>
      </c>
      <c r="T8" s="30">
        <f t="shared" si="6"/>
        <v>0.60312711114543027</v>
      </c>
      <c r="U8" s="30">
        <f t="shared" si="7"/>
        <v>0.87508161578482646</v>
      </c>
      <c r="V8" s="30">
        <f t="shared" si="8"/>
        <v>0.4801174419908622</v>
      </c>
      <c r="W8" s="30">
        <f t="shared" si="9"/>
        <v>0.5150528839166183</v>
      </c>
      <c r="X8" s="30">
        <f t="shared" si="10"/>
        <v>0.34954526623188359</v>
      </c>
      <c r="Y8" s="24">
        <v>4</v>
      </c>
      <c r="Z8" s="4" t="str">
        <v>US.CORP.13</v>
      </c>
      <c r="AA8" s="30">
        <f t="shared" si="12"/>
        <v>0</v>
      </c>
      <c r="AB8" s="30">
        <f t="shared" si="13"/>
        <v>0</v>
      </c>
      <c r="AC8" s="30">
        <f t="shared" si="14"/>
        <v>0</v>
      </c>
      <c r="AD8" s="30">
        <f t="shared" si="15"/>
        <v>0</v>
      </c>
      <c r="AE8" s="30">
        <f t="shared" si="16"/>
        <v>0</v>
      </c>
      <c r="AF8" s="30">
        <f t="shared" si="17"/>
        <v>0</v>
      </c>
      <c r="AG8" s="30">
        <f t="shared" si="18"/>
        <v>0</v>
      </c>
      <c r="AH8" s="30">
        <f t="shared" si="19"/>
        <v>0</v>
      </c>
      <c r="AI8" s="30">
        <f t="shared" si="20"/>
        <v>0</v>
      </c>
      <c r="AJ8" s="30">
        <f t="shared" si="21"/>
        <v>0</v>
      </c>
    </row>
    <row r="9" spans="1:36">
      <c r="A9" s="24">
        <v>5</v>
      </c>
      <c r="B9" s="4" t="str">
        <v>US.GOVT</v>
      </c>
      <c r="C9" s="30">
        <f t="shared" si="0"/>
        <v>1.550040970215635E-2</v>
      </c>
      <c r="D9" s="30">
        <f t="shared" si="0"/>
        <v>0.82243301589316875</v>
      </c>
      <c r="E9" s="30">
        <f t="shared" si="0"/>
        <v>0.80902947002295633</v>
      </c>
      <c r="F9" s="30">
        <f t="shared" si="0"/>
        <v>0.45241943658610778</v>
      </c>
      <c r="G9" s="30">
        <f t="shared" si="0"/>
        <v>0.99999999999999989</v>
      </c>
      <c r="H9" s="30">
        <f t="shared" si="0"/>
        <v>0.9653807062487556</v>
      </c>
      <c r="I9" s="30">
        <f t="shared" si="0"/>
        <v>0.67081507611605706</v>
      </c>
      <c r="J9" s="30">
        <f t="shared" si="0"/>
        <v>2.300282298857655E-2</v>
      </c>
      <c r="K9" s="30">
        <f t="shared" si="0"/>
        <v>3.1283177066828739E-2</v>
      </c>
      <c r="L9" s="30">
        <f t="shared" si="0"/>
        <v>0.45367308363009484</v>
      </c>
      <c r="M9" s="24">
        <v>5</v>
      </c>
      <c r="N9" s="4" t="str">
        <v>US.GOVT</v>
      </c>
      <c r="O9" s="30">
        <f t="shared" si="1"/>
        <v>1.550040970215635E-2</v>
      </c>
      <c r="P9" s="30">
        <f t="shared" si="2"/>
        <v>0.82243301589316886</v>
      </c>
      <c r="Q9" s="30">
        <f t="shared" si="3"/>
        <v>0.80902947002295633</v>
      </c>
      <c r="R9" s="30">
        <f t="shared" si="4"/>
        <v>0.45241943658610778</v>
      </c>
      <c r="S9" s="30">
        <f t="shared" si="5"/>
        <v>1</v>
      </c>
      <c r="T9" s="30">
        <f t="shared" si="6"/>
        <v>0.96538070624875572</v>
      </c>
      <c r="U9" s="30">
        <f t="shared" si="7"/>
        <v>0.67081507611605706</v>
      </c>
      <c r="V9" s="30">
        <f t="shared" si="8"/>
        <v>2.300282298857655E-2</v>
      </c>
      <c r="W9" s="30">
        <f t="shared" si="9"/>
        <v>3.1283177066828739E-2</v>
      </c>
      <c r="X9" s="30">
        <f t="shared" si="10"/>
        <v>0.4536730836300949</v>
      </c>
      <c r="Y9" s="24">
        <v>5</v>
      </c>
      <c r="Z9" s="4" t="str">
        <v>US.GOVT</v>
      </c>
      <c r="AA9" s="30">
        <f t="shared" si="12"/>
        <v>0</v>
      </c>
      <c r="AB9" s="30">
        <f t="shared" si="13"/>
        <v>0</v>
      </c>
      <c r="AC9" s="30">
        <f t="shared" si="14"/>
        <v>0</v>
      </c>
      <c r="AD9" s="30">
        <f t="shared" si="15"/>
        <v>0</v>
      </c>
      <c r="AE9" s="30">
        <f t="shared" si="16"/>
        <v>0</v>
      </c>
      <c r="AF9" s="30">
        <f t="shared" si="17"/>
        <v>0</v>
      </c>
      <c r="AG9" s="30">
        <f t="shared" si="18"/>
        <v>0</v>
      </c>
      <c r="AH9" s="30">
        <f t="shared" si="19"/>
        <v>0</v>
      </c>
      <c r="AI9" s="30">
        <f t="shared" si="20"/>
        <v>0</v>
      </c>
      <c r="AJ9" s="30">
        <f t="shared" si="21"/>
        <v>0</v>
      </c>
    </row>
    <row r="10" spans="1:36">
      <c r="A10" s="24">
        <v>6</v>
      </c>
      <c r="B10" s="4" t="str">
        <v>US.AGCY</v>
      </c>
      <c r="C10" s="30">
        <f t="shared" si="0"/>
        <v>7.410643949969703E-2</v>
      </c>
      <c r="D10" s="30">
        <f t="shared" si="0"/>
        <v>0.86943055555899906</v>
      </c>
      <c r="E10" s="30">
        <f t="shared" si="0"/>
        <v>0.8825748743432632</v>
      </c>
      <c r="F10" s="30">
        <f t="shared" si="0"/>
        <v>0.60312711114543038</v>
      </c>
      <c r="G10" s="30">
        <f t="shared" si="0"/>
        <v>0.9653807062487556</v>
      </c>
      <c r="H10" s="30">
        <f t="shared" si="0"/>
        <v>1.0000000000000002</v>
      </c>
      <c r="I10" s="30">
        <f t="shared" si="0"/>
        <v>0.73664889413893708</v>
      </c>
      <c r="J10" s="30">
        <f t="shared" si="0"/>
        <v>7.2283517008549597E-2</v>
      </c>
      <c r="K10" s="30">
        <f t="shared" si="0"/>
        <v>8.9331643433607485E-2</v>
      </c>
      <c r="L10" s="30">
        <f t="shared" si="0"/>
        <v>0.46642216766020378</v>
      </c>
      <c r="M10" s="24">
        <v>6</v>
      </c>
      <c r="N10" s="4" t="str">
        <v>US.AGCY</v>
      </c>
      <c r="O10" s="30">
        <f t="shared" si="1"/>
        <v>7.4106439499697016E-2</v>
      </c>
      <c r="P10" s="30">
        <f t="shared" si="2"/>
        <v>0.86943055555899906</v>
      </c>
      <c r="Q10" s="30">
        <f t="shared" si="3"/>
        <v>0.8825748743432632</v>
      </c>
      <c r="R10" s="30">
        <f t="shared" si="4"/>
        <v>0.60312711114543027</v>
      </c>
      <c r="S10" s="30">
        <f t="shared" si="5"/>
        <v>0.96538070624875572</v>
      </c>
      <c r="T10" s="30">
        <f t="shared" si="6"/>
        <v>1</v>
      </c>
      <c r="U10" s="30">
        <f t="shared" si="7"/>
        <v>0.73664889413893697</v>
      </c>
      <c r="V10" s="30">
        <f t="shared" si="8"/>
        <v>7.2283517008549597E-2</v>
      </c>
      <c r="W10" s="30">
        <f t="shared" si="9"/>
        <v>8.9331643433607485E-2</v>
      </c>
      <c r="X10" s="30">
        <f t="shared" si="10"/>
        <v>0.46642216766020372</v>
      </c>
      <c r="Y10" s="24">
        <v>6</v>
      </c>
      <c r="Z10" s="4" t="str">
        <v>US.AGCY</v>
      </c>
      <c r="AA10" s="30">
        <f t="shared" si="12"/>
        <v>0</v>
      </c>
      <c r="AB10" s="30">
        <f t="shared" si="13"/>
        <v>0</v>
      </c>
      <c r="AC10" s="30">
        <f t="shared" si="14"/>
        <v>0</v>
      </c>
      <c r="AD10" s="30">
        <f t="shared" si="15"/>
        <v>0</v>
      </c>
      <c r="AE10" s="30">
        <f t="shared" si="16"/>
        <v>0</v>
      </c>
      <c r="AF10" s="30">
        <f t="shared" si="17"/>
        <v>0</v>
      </c>
      <c r="AG10" s="30">
        <f t="shared" si="18"/>
        <v>0</v>
      </c>
      <c r="AH10" s="30">
        <f t="shared" si="19"/>
        <v>0</v>
      </c>
      <c r="AI10" s="30">
        <f t="shared" si="20"/>
        <v>0</v>
      </c>
      <c r="AJ10" s="30">
        <f t="shared" si="21"/>
        <v>0</v>
      </c>
    </row>
    <row r="11" spans="1:36">
      <c r="A11" s="24">
        <v>7</v>
      </c>
      <c r="B11" s="4" t="str">
        <v>US.CORP</v>
      </c>
      <c r="C11" s="30">
        <f t="shared" si="0"/>
        <v>4.8305454631710504E-3</v>
      </c>
      <c r="D11" s="30">
        <f t="shared" si="0"/>
        <v>0.48317772260215586</v>
      </c>
      <c r="E11" s="30">
        <f t="shared" si="0"/>
        <v>0.56944780600846057</v>
      </c>
      <c r="F11" s="30">
        <f t="shared" si="0"/>
        <v>0.87508161578482646</v>
      </c>
      <c r="G11" s="30">
        <f t="shared" si="0"/>
        <v>0.67081507611605706</v>
      </c>
      <c r="H11" s="30">
        <f t="shared" si="0"/>
        <v>0.73664889413893708</v>
      </c>
      <c r="I11" s="30">
        <f t="shared" si="0"/>
        <v>1</v>
      </c>
      <c r="J11" s="30">
        <f t="shared" si="0"/>
        <v>0.52955290679078437</v>
      </c>
      <c r="K11" s="30">
        <f t="shared" si="0"/>
        <v>0.56244386963723858</v>
      </c>
      <c r="L11" s="30">
        <f t="shared" si="0"/>
        <v>0.44830450191757604</v>
      </c>
      <c r="M11" s="24">
        <v>7</v>
      </c>
      <c r="N11" s="4" t="str">
        <v>US.CORP</v>
      </c>
      <c r="O11" s="30">
        <f t="shared" si="1"/>
        <v>4.8305454631710504E-3</v>
      </c>
      <c r="P11" s="30">
        <f t="shared" si="2"/>
        <v>0.48317772260215586</v>
      </c>
      <c r="Q11" s="30">
        <f t="shared" si="3"/>
        <v>0.56944780600846034</v>
      </c>
      <c r="R11" s="30">
        <f t="shared" si="4"/>
        <v>0.87508161578482646</v>
      </c>
      <c r="S11" s="30">
        <f t="shared" si="5"/>
        <v>0.67081507611605706</v>
      </c>
      <c r="T11" s="30">
        <f t="shared" si="6"/>
        <v>0.73664889413893697</v>
      </c>
      <c r="U11" s="30">
        <f t="shared" si="7"/>
        <v>0.99999999999999978</v>
      </c>
      <c r="V11" s="30">
        <f t="shared" si="8"/>
        <v>0.52955290679078437</v>
      </c>
      <c r="W11" s="30">
        <f t="shared" si="9"/>
        <v>0.56244386963723858</v>
      </c>
      <c r="X11" s="30">
        <f t="shared" si="10"/>
        <v>0.44830450191757604</v>
      </c>
      <c r="Y11" s="24">
        <v>7</v>
      </c>
      <c r="Z11" s="4" t="str">
        <v>US.CORP</v>
      </c>
      <c r="AA11" s="30">
        <f t="shared" si="12"/>
        <v>0</v>
      </c>
      <c r="AB11" s="30">
        <f t="shared" si="13"/>
        <v>0</v>
      </c>
      <c r="AC11" s="30">
        <f t="shared" si="14"/>
        <v>0</v>
      </c>
      <c r="AD11" s="30">
        <f t="shared" si="15"/>
        <v>0</v>
      </c>
      <c r="AE11" s="30">
        <f t="shared" si="16"/>
        <v>0</v>
      </c>
      <c r="AF11" s="30">
        <f t="shared" si="17"/>
        <v>0</v>
      </c>
      <c r="AG11" s="30">
        <f t="shared" si="18"/>
        <v>0</v>
      </c>
      <c r="AH11" s="30">
        <f t="shared" si="19"/>
        <v>0</v>
      </c>
      <c r="AI11" s="30">
        <f t="shared" si="20"/>
        <v>0</v>
      </c>
      <c r="AJ11" s="30">
        <f t="shared" si="21"/>
        <v>0</v>
      </c>
    </row>
    <row r="12" spans="1:36">
      <c r="A12" s="24">
        <v>8</v>
      </c>
      <c r="B12" s="4" t="str">
        <v>US.EQ</v>
      </c>
      <c r="C12" s="30">
        <f t="shared" si="0"/>
        <v>-6.4862109453762293E-2</v>
      </c>
      <c r="D12" s="30">
        <f t="shared" si="0"/>
        <v>-2.4299412146206154E-2</v>
      </c>
      <c r="E12" s="30">
        <f t="shared" si="0"/>
        <v>5.5848050939319521E-2</v>
      </c>
      <c r="F12" s="30">
        <f t="shared" si="0"/>
        <v>0.48011744199086209</v>
      </c>
      <c r="G12" s="30">
        <f t="shared" si="0"/>
        <v>2.300282298857655E-2</v>
      </c>
      <c r="H12" s="30">
        <f t="shared" si="0"/>
        <v>7.2283517008549597E-2</v>
      </c>
      <c r="I12" s="30">
        <f t="shared" si="0"/>
        <v>0.52955290679078437</v>
      </c>
      <c r="J12" s="30">
        <f t="shared" si="0"/>
        <v>0.99999999999999989</v>
      </c>
      <c r="K12" s="30">
        <f t="shared" si="0"/>
        <v>0.97992327821593195</v>
      </c>
      <c r="L12" s="30">
        <f t="shared" si="0"/>
        <v>9.1272457659712231E-2</v>
      </c>
      <c r="M12" s="24">
        <v>8</v>
      </c>
      <c r="N12" s="4" t="str">
        <v>US.EQ</v>
      </c>
      <c r="O12" s="30">
        <f t="shared" si="1"/>
        <v>-6.4862109453762293E-2</v>
      </c>
      <c r="P12" s="30">
        <f t="shared" si="2"/>
        <v>-2.4299412146206158E-2</v>
      </c>
      <c r="Q12" s="30">
        <f t="shared" si="3"/>
        <v>5.5848050939319521E-2</v>
      </c>
      <c r="R12" s="30">
        <f t="shared" si="4"/>
        <v>0.4801174419908622</v>
      </c>
      <c r="S12" s="30">
        <f t="shared" si="5"/>
        <v>2.300282298857655E-2</v>
      </c>
      <c r="T12" s="30">
        <f t="shared" si="6"/>
        <v>7.2283517008549597E-2</v>
      </c>
      <c r="U12" s="30">
        <f t="shared" si="7"/>
        <v>0.52955290679078437</v>
      </c>
      <c r="V12" s="30">
        <f t="shared" si="8"/>
        <v>1</v>
      </c>
      <c r="W12" s="30">
        <f t="shared" si="9"/>
        <v>0.97992327821593228</v>
      </c>
      <c r="X12" s="30">
        <f t="shared" si="10"/>
        <v>9.1272457659712231E-2</v>
      </c>
      <c r="Y12" s="24">
        <v>8</v>
      </c>
      <c r="Z12" s="4" t="str">
        <v>US.EQ</v>
      </c>
      <c r="AA12" s="30">
        <f t="shared" si="12"/>
        <v>0</v>
      </c>
      <c r="AB12" s="30">
        <f t="shared" si="13"/>
        <v>0</v>
      </c>
      <c r="AC12" s="30">
        <f t="shared" si="14"/>
        <v>0</v>
      </c>
      <c r="AD12" s="30">
        <f t="shared" si="15"/>
        <v>0</v>
      </c>
      <c r="AE12" s="30">
        <f t="shared" si="16"/>
        <v>0</v>
      </c>
      <c r="AF12" s="30">
        <f t="shared" si="17"/>
        <v>0</v>
      </c>
      <c r="AG12" s="30">
        <f t="shared" si="18"/>
        <v>0</v>
      </c>
      <c r="AH12" s="30">
        <f t="shared" si="19"/>
        <v>0</v>
      </c>
      <c r="AI12" s="30">
        <f t="shared" si="20"/>
        <v>0</v>
      </c>
      <c r="AJ12" s="30">
        <f t="shared" si="21"/>
        <v>0</v>
      </c>
    </row>
    <row r="13" spans="1:36">
      <c r="A13" s="24">
        <v>9</v>
      </c>
      <c r="B13" s="4" t="str">
        <v>GL.EQ</v>
      </c>
      <c r="C13" s="30">
        <f t="shared" si="0"/>
        <v>-5.0406257935751299E-2</v>
      </c>
      <c r="D13" s="30">
        <f t="shared" si="0"/>
        <v>-1.0474092055851418E-2</v>
      </c>
      <c r="E13" s="30">
        <f t="shared" si="0"/>
        <v>7.4011675994445927E-2</v>
      </c>
      <c r="F13" s="30">
        <f t="shared" si="0"/>
        <v>0.5150528839166183</v>
      </c>
      <c r="G13" s="30">
        <f t="shared" si="0"/>
        <v>3.1283177066828739E-2</v>
      </c>
      <c r="H13" s="30">
        <f t="shared" si="0"/>
        <v>8.9331643433607485E-2</v>
      </c>
      <c r="I13" s="30">
        <f t="shared" si="0"/>
        <v>0.56244386963723858</v>
      </c>
      <c r="J13" s="30">
        <f t="shared" si="0"/>
        <v>0.97992327821593195</v>
      </c>
      <c r="K13" s="30">
        <f t="shared" si="0"/>
        <v>1.0000000000000002</v>
      </c>
      <c r="L13" s="30">
        <f t="shared" si="0"/>
        <v>0.13035464132667468</v>
      </c>
      <c r="M13" s="24">
        <v>9</v>
      </c>
      <c r="N13" s="4" t="str">
        <v>GL.EQ</v>
      </c>
      <c r="O13" s="30">
        <f t="shared" si="1"/>
        <v>-5.0406257935751292E-2</v>
      </c>
      <c r="P13" s="30">
        <f t="shared" si="2"/>
        <v>-1.047409205585142E-2</v>
      </c>
      <c r="Q13" s="30">
        <f t="shared" si="3"/>
        <v>7.4011675994445927E-2</v>
      </c>
      <c r="R13" s="30">
        <f t="shared" si="4"/>
        <v>0.5150528839166183</v>
      </c>
      <c r="S13" s="30">
        <f t="shared" si="5"/>
        <v>3.1283177066828739E-2</v>
      </c>
      <c r="T13" s="30">
        <f t="shared" si="6"/>
        <v>8.9331643433607485E-2</v>
      </c>
      <c r="U13" s="30">
        <f t="shared" si="7"/>
        <v>0.56244386963723858</v>
      </c>
      <c r="V13" s="30">
        <f t="shared" si="8"/>
        <v>0.97992327821593228</v>
      </c>
      <c r="W13" s="30">
        <f t="shared" si="9"/>
        <v>1.0000000000000002</v>
      </c>
      <c r="X13" s="30">
        <f t="shared" si="10"/>
        <v>0.13035464132667468</v>
      </c>
      <c r="Y13" s="24">
        <v>9</v>
      </c>
      <c r="Z13" s="4" t="str">
        <v>GL.EQ</v>
      </c>
      <c r="AA13" s="30">
        <f t="shared" si="12"/>
        <v>0</v>
      </c>
      <c r="AB13" s="30">
        <f t="shared" si="13"/>
        <v>0</v>
      </c>
      <c r="AC13" s="30">
        <f t="shared" si="14"/>
        <v>0</v>
      </c>
      <c r="AD13" s="30">
        <f t="shared" si="15"/>
        <v>0</v>
      </c>
      <c r="AE13" s="30">
        <f t="shared" si="16"/>
        <v>0</v>
      </c>
      <c r="AF13" s="30">
        <f t="shared" si="17"/>
        <v>0</v>
      </c>
      <c r="AG13" s="30">
        <f t="shared" si="18"/>
        <v>0</v>
      </c>
      <c r="AH13" s="30">
        <f t="shared" si="19"/>
        <v>0</v>
      </c>
      <c r="AI13" s="30">
        <f t="shared" si="20"/>
        <v>0</v>
      </c>
      <c r="AJ13" s="30">
        <f t="shared" si="21"/>
        <v>0</v>
      </c>
    </row>
    <row r="14" spans="1:36">
      <c r="A14" s="24">
        <v>10</v>
      </c>
      <c r="B14" s="4" t="str">
        <v>GOLD</v>
      </c>
      <c r="C14" s="30">
        <f t="shared" si="0"/>
        <v>7.4812748014389766E-2</v>
      </c>
      <c r="D14" s="30">
        <f t="shared" si="0"/>
        <v>0.35760363049039834</v>
      </c>
      <c r="E14" s="30">
        <f t="shared" si="0"/>
        <v>0.37140544276194021</v>
      </c>
      <c r="F14" s="30">
        <f t="shared" si="0"/>
        <v>0.34954526623188359</v>
      </c>
      <c r="G14" s="30">
        <f t="shared" si="0"/>
        <v>0.45367308363009484</v>
      </c>
      <c r="H14" s="30">
        <f t="shared" si="0"/>
        <v>0.46642216766020378</v>
      </c>
      <c r="I14" s="30">
        <f t="shared" si="0"/>
        <v>0.44830450191757604</v>
      </c>
      <c r="J14" s="30">
        <f t="shared" si="0"/>
        <v>9.1272457659712231E-2</v>
      </c>
      <c r="K14" s="30">
        <f t="shared" si="0"/>
        <v>0.13035464132667468</v>
      </c>
      <c r="L14" s="30">
        <f t="shared" si="0"/>
        <v>1</v>
      </c>
      <c r="M14" s="24">
        <v>10</v>
      </c>
      <c r="N14" s="4" t="str">
        <v>GOLD</v>
      </c>
      <c r="O14" s="30">
        <f t="shared" si="1"/>
        <v>7.4812748014389766E-2</v>
      </c>
      <c r="P14" s="30">
        <f t="shared" si="2"/>
        <v>0.35760363049039839</v>
      </c>
      <c r="Q14" s="30">
        <f t="shared" si="3"/>
        <v>0.37140544276194015</v>
      </c>
      <c r="R14" s="30">
        <f t="shared" si="4"/>
        <v>0.34954526623188359</v>
      </c>
      <c r="S14" s="30">
        <f t="shared" si="5"/>
        <v>0.4536730836300949</v>
      </c>
      <c r="T14" s="30">
        <f t="shared" si="6"/>
        <v>0.46642216766020372</v>
      </c>
      <c r="U14" s="30">
        <f t="shared" si="7"/>
        <v>0.44830450191757604</v>
      </c>
      <c r="V14" s="30">
        <f t="shared" si="8"/>
        <v>9.1272457659712231E-2</v>
      </c>
      <c r="W14" s="30">
        <f t="shared" si="9"/>
        <v>0.13035464132667468</v>
      </c>
      <c r="X14" s="30">
        <f t="shared" si="10"/>
        <v>0.99999999999999989</v>
      </c>
      <c r="Y14" s="24">
        <v>10</v>
      </c>
      <c r="Z14" s="4" t="str">
        <v>GOLD</v>
      </c>
      <c r="AA14" s="30">
        <f t="shared" si="12"/>
        <v>0</v>
      </c>
      <c r="AB14" s="30">
        <f t="shared" si="13"/>
        <v>0</v>
      </c>
      <c r="AC14" s="30">
        <f t="shared" si="14"/>
        <v>0</v>
      </c>
      <c r="AD14" s="30">
        <f t="shared" si="15"/>
        <v>0</v>
      </c>
      <c r="AE14" s="30">
        <f t="shared" si="16"/>
        <v>0</v>
      </c>
      <c r="AF14" s="30">
        <f t="shared" si="17"/>
        <v>0</v>
      </c>
      <c r="AG14" s="30">
        <f t="shared" si="18"/>
        <v>0</v>
      </c>
      <c r="AH14" s="30">
        <f t="shared" si="19"/>
        <v>0</v>
      </c>
      <c r="AI14" s="30">
        <f t="shared" si="20"/>
        <v>0</v>
      </c>
      <c r="AJ14" s="30">
        <f t="shared" si="21"/>
        <v>0</v>
      </c>
    </row>
    <row r="16" spans="1:36">
      <c r="C16" s="24">
        <v>1</v>
      </c>
      <c r="D16" s="24">
        <v>2</v>
      </c>
      <c r="E16" s="24">
        <v>3</v>
      </c>
      <c r="F16" s="24">
        <v>4</v>
      </c>
      <c r="G16" s="24">
        <v>5</v>
      </c>
      <c r="H16" s="24">
        <v>6</v>
      </c>
      <c r="I16" s="24">
        <v>7</v>
      </c>
      <c r="J16" s="24">
        <v>8</v>
      </c>
      <c r="K16" s="24">
        <v>9</v>
      </c>
      <c r="L16" s="24">
        <v>10</v>
      </c>
      <c r="O16" s="24">
        <v>1</v>
      </c>
      <c r="P16" s="24">
        <v>2</v>
      </c>
      <c r="Q16" s="24">
        <v>3</v>
      </c>
      <c r="R16" s="24">
        <v>4</v>
      </c>
      <c r="S16" s="24">
        <v>5</v>
      </c>
      <c r="T16" s="24">
        <v>6</v>
      </c>
      <c r="U16" s="24">
        <v>7</v>
      </c>
      <c r="V16" s="24">
        <v>8</v>
      </c>
      <c r="W16" s="24">
        <v>9</v>
      </c>
      <c r="X16" s="24">
        <v>10</v>
      </c>
      <c r="AA16" s="24">
        <v>1</v>
      </c>
      <c r="AB16" s="24">
        <v>2</v>
      </c>
      <c r="AC16" s="24">
        <v>3</v>
      </c>
      <c r="AD16" s="24">
        <v>4</v>
      </c>
      <c r="AE16" s="24">
        <v>5</v>
      </c>
      <c r="AF16" s="24">
        <v>6</v>
      </c>
      <c r="AG16" s="24">
        <v>7</v>
      </c>
      <c r="AH16" s="24">
        <v>8</v>
      </c>
      <c r="AI16" s="24">
        <v>9</v>
      </c>
      <c r="AJ16" s="24">
        <v>10</v>
      </c>
    </row>
    <row r="17" spans="1:36">
      <c r="B17" s="17" t="s">
        <v>47</v>
      </c>
      <c r="C17" s="17"/>
      <c r="D17" s="17"/>
      <c r="E17" s="17"/>
      <c r="F17" s="17"/>
      <c r="G17" s="17"/>
      <c r="H17" s="17"/>
      <c r="I17" s="17"/>
      <c r="J17" s="17"/>
      <c r="K17" s="17"/>
      <c r="L17" s="17"/>
      <c r="N17" s="25" t="s">
        <v>52</v>
      </c>
      <c r="O17" s="25"/>
      <c r="P17" s="25"/>
      <c r="Q17" s="25"/>
      <c r="R17" s="25"/>
      <c r="S17" s="25"/>
      <c r="T17" s="25"/>
      <c r="U17" s="25"/>
      <c r="V17" s="25"/>
      <c r="W17" s="25"/>
      <c r="X17" s="25"/>
      <c r="Z17" s="25" t="s">
        <v>54</v>
      </c>
      <c r="AA17" s="25"/>
      <c r="AB17" s="25"/>
      <c r="AC17" s="25"/>
      <c r="AD17" s="25"/>
      <c r="AE17" s="25"/>
      <c r="AF17" s="25"/>
      <c r="AG17" s="25"/>
      <c r="AH17" s="25"/>
      <c r="AI17" s="25"/>
      <c r="AJ17" s="25"/>
    </row>
    <row r="18" spans="1:36">
      <c r="B18" s="4"/>
      <c r="C18" s="4" t="str">
        <f t="array" ref="C18:L18">assetnames</f>
        <v>US.CASH</v>
      </c>
      <c r="D18" s="4" t="str">
        <v>US.GOVT.13</v>
      </c>
      <c r="E18" s="4" t="str">
        <v>US.AGCY.13</v>
      </c>
      <c r="F18" s="4" t="str">
        <v>US.CORP.13</v>
      </c>
      <c r="G18" s="4" t="str">
        <v>US.GOVT</v>
      </c>
      <c r="H18" s="4" t="str">
        <v>US.AGCY</v>
      </c>
      <c r="I18" s="4" t="str">
        <v>US.CORP</v>
      </c>
      <c r="J18" s="4" t="str">
        <v>US.EQ</v>
      </c>
      <c r="K18" s="4" t="str">
        <v>GL.EQ</v>
      </c>
      <c r="L18" s="4" t="str">
        <v>GOLD</v>
      </c>
      <c r="N18" s="4"/>
      <c r="O18" s="4" t="str">
        <f t="array" ref="O18:X18">assetnames</f>
        <v>US.CASH</v>
      </c>
      <c r="P18" s="4" t="str">
        <v>US.GOVT.13</v>
      </c>
      <c r="Q18" s="4" t="str">
        <v>US.AGCY.13</v>
      </c>
      <c r="R18" s="4" t="str">
        <v>US.CORP.13</v>
      </c>
      <c r="S18" s="4" t="str">
        <v>US.GOVT</v>
      </c>
      <c r="T18" s="4" t="str">
        <v>US.AGCY</v>
      </c>
      <c r="U18" s="4" t="str">
        <v>US.CORP</v>
      </c>
      <c r="V18" s="4" t="str">
        <v>US.EQ</v>
      </c>
      <c r="W18" s="4" t="str">
        <v>GL.EQ</v>
      </c>
      <c r="X18" s="4" t="str">
        <v>GOLD</v>
      </c>
      <c r="Z18" s="4"/>
      <c r="AA18" s="4" t="str">
        <f t="array" ref="AA18:AJ18">assetnames</f>
        <v>US.CASH</v>
      </c>
      <c r="AB18" s="4" t="str">
        <v>US.GOVT.13</v>
      </c>
      <c r="AC18" s="4" t="str">
        <v>US.AGCY.13</v>
      </c>
      <c r="AD18" s="4" t="str">
        <v>US.CORP.13</v>
      </c>
      <c r="AE18" s="4" t="str">
        <v>US.GOVT</v>
      </c>
      <c r="AF18" s="4" t="str">
        <v>US.AGCY</v>
      </c>
      <c r="AG18" s="4" t="str">
        <v>US.CORP</v>
      </c>
      <c r="AH18" s="4" t="str">
        <v>US.EQ</v>
      </c>
      <c r="AI18" s="4" t="str">
        <v>GL.EQ</v>
      </c>
      <c r="AJ18" s="4" t="str">
        <v>GOLD</v>
      </c>
    </row>
    <row r="19" spans="1:36">
      <c r="A19" s="24">
        <v>1</v>
      </c>
      <c r="B19" s="4" t="str">
        <f t="array" ref="B19:B28">TRANSPOSE(assetnames)</f>
        <v>US.CASH</v>
      </c>
      <c r="C19" s="31">
        <f t="shared" ref="C19:L28" si="22">_xlfn.COVARIANCE.S(INDEX(monthlyrets,,C$2),INDEX(monthlyrets,,$A19))</f>
        <v>1.426810257753474E-6</v>
      </c>
      <c r="D19" s="31">
        <f t="shared" si="22"/>
        <v>8.2116380845313412E-7</v>
      </c>
      <c r="E19" s="31">
        <f t="shared" si="22"/>
        <v>8.5135727456824956E-7</v>
      </c>
      <c r="F19" s="31">
        <f t="shared" si="22"/>
        <v>6.1773202304216365E-7</v>
      </c>
      <c r="G19" s="31">
        <f t="shared" si="22"/>
        <v>2.449548242636361E-7</v>
      </c>
      <c r="H19" s="31">
        <f t="shared" si="22"/>
        <v>6.9117145968368017E-7</v>
      </c>
      <c r="I19" s="31">
        <f t="shared" si="22"/>
        <v>1.0191843322681434E-7</v>
      </c>
      <c r="J19" s="31">
        <f t="shared" si="22"/>
        <v>-3.2473391470254369E-6</v>
      </c>
      <c r="K19" s="31">
        <f t="shared" si="22"/>
        <v>-2.4913528680508212E-6</v>
      </c>
      <c r="L19" s="31">
        <f t="shared" si="22"/>
        <v>3.7765870014312666E-6</v>
      </c>
      <c r="M19" s="24">
        <v>1</v>
      </c>
      <c r="N19" s="4" t="str">
        <f t="array" ref="N19:N28">TRANSPOSE(assetnames)</f>
        <v>US.CASH</v>
      </c>
      <c r="O19" s="31">
        <f t="shared" ref="O19:X19" si="23">O5*INDEX(stdevs,1,O$16)*INDEX(stdevs,1,$M19)</f>
        <v>1.426810257753474E-6</v>
      </c>
      <c r="P19" s="31">
        <f t="shared" si="23"/>
        <v>8.2116380845313401E-7</v>
      </c>
      <c r="Q19" s="31">
        <f t="shared" si="23"/>
        <v>8.5135727456824956E-7</v>
      </c>
      <c r="R19" s="31">
        <f t="shared" si="23"/>
        <v>6.1773202304216365E-7</v>
      </c>
      <c r="S19" s="31">
        <f t="shared" si="23"/>
        <v>2.449548242636361E-7</v>
      </c>
      <c r="T19" s="31">
        <f t="shared" si="23"/>
        <v>6.9117145968368017E-7</v>
      </c>
      <c r="U19" s="31">
        <f t="shared" si="23"/>
        <v>1.0191843322681435E-7</v>
      </c>
      <c r="V19" s="31">
        <f t="shared" si="23"/>
        <v>-3.2473391470254364E-6</v>
      </c>
      <c r="W19" s="31">
        <f t="shared" si="23"/>
        <v>-2.4913528680508212E-6</v>
      </c>
      <c r="X19" s="31">
        <f t="shared" si="23"/>
        <v>3.7765870014312666E-6</v>
      </c>
      <c r="Y19" s="24">
        <v>1</v>
      </c>
      <c r="Z19" s="4" t="str">
        <f t="array" ref="Z19:Z28">TRANSPOSE(assetnames)</f>
        <v>US.CASH</v>
      </c>
      <c r="AA19" s="32">
        <f t="shared" ref="AA19:AJ19" si="24">AA5*INDEX(stdevs,1,AA$16)*INDEX(stdevs,1,$M19)</f>
        <v>0</v>
      </c>
      <c r="AB19" s="32">
        <f t="shared" si="24"/>
        <v>0</v>
      </c>
      <c r="AC19" s="32">
        <f t="shared" si="24"/>
        <v>0</v>
      </c>
      <c r="AD19" s="32">
        <f t="shared" si="24"/>
        <v>0</v>
      </c>
      <c r="AE19" s="32">
        <f t="shared" si="24"/>
        <v>0</v>
      </c>
      <c r="AF19" s="32">
        <f t="shared" si="24"/>
        <v>0</v>
      </c>
      <c r="AG19" s="32">
        <f t="shared" si="24"/>
        <v>0</v>
      </c>
      <c r="AH19" s="32">
        <f t="shared" si="24"/>
        <v>0</v>
      </c>
      <c r="AI19" s="32">
        <f t="shared" si="24"/>
        <v>0</v>
      </c>
      <c r="AJ19" s="32">
        <f t="shared" si="24"/>
        <v>0</v>
      </c>
    </row>
    <row r="20" spans="1:36">
      <c r="A20" s="24">
        <v>2</v>
      </c>
      <c r="B20" s="4" t="str">
        <v>US.GOVT.13</v>
      </c>
      <c r="C20" s="31">
        <f t="shared" si="22"/>
        <v>8.2116380845313412E-7</v>
      </c>
      <c r="D20" s="31">
        <f t="shared" si="22"/>
        <v>1.3858634405466709E-5</v>
      </c>
      <c r="E20" s="31">
        <f t="shared" si="22"/>
        <v>1.2492925819301035E-5</v>
      </c>
      <c r="F20" s="31">
        <f t="shared" si="22"/>
        <v>9.5661740849265969E-6</v>
      </c>
      <c r="G20" s="31">
        <f t="shared" si="22"/>
        <v>4.0506103083479451E-5</v>
      </c>
      <c r="H20" s="31">
        <f t="shared" si="22"/>
        <v>2.5272130505254865E-5</v>
      </c>
      <c r="I20" s="31">
        <f t="shared" si="22"/>
        <v>3.1771708909333435E-5</v>
      </c>
      <c r="J20" s="31">
        <f t="shared" si="22"/>
        <v>-3.7914859772770258E-6</v>
      </c>
      <c r="K20" s="31">
        <f t="shared" si="22"/>
        <v>-1.6134082777793859E-6</v>
      </c>
      <c r="L20" s="31">
        <f t="shared" si="22"/>
        <v>5.6260412661080234E-5</v>
      </c>
      <c r="M20" s="24">
        <v>2</v>
      </c>
      <c r="N20" s="4" t="str">
        <v>US.GOVT.13</v>
      </c>
      <c r="O20" s="31">
        <f t="shared" ref="O20:X20" si="25">O6*INDEX(stdevs,1,O$16)*INDEX(stdevs,1,$M20)</f>
        <v>8.2116380845313412E-7</v>
      </c>
      <c r="P20" s="31">
        <f t="shared" si="25"/>
        <v>1.3858634405466711E-5</v>
      </c>
      <c r="Q20" s="31">
        <f t="shared" si="25"/>
        <v>1.2492925819301033E-5</v>
      </c>
      <c r="R20" s="31">
        <f t="shared" si="25"/>
        <v>9.5661740849265952E-6</v>
      </c>
      <c r="S20" s="31">
        <f t="shared" si="25"/>
        <v>4.0506103083479444E-5</v>
      </c>
      <c r="T20" s="31">
        <f t="shared" si="25"/>
        <v>2.5272130505254862E-5</v>
      </c>
      <c r="U20" s="31">
        <f t="shared" si="25"/>
        <v>3.1771708909333435E-5</v>
      </c>
      <c r="V20" s="31">
        <f t="shared" si="25"/>
        <v>-3.7914859772770262E-6</v>
      </c>
      <c r="W20" s="31">
        <f t="shared" si="25"/>
        <v>-1.6134082777793859E-6</v>
      </c>
      <c r="X20" s="31">
        <f t="shared" si="25"/>
        <v>5.6260412661080234E-5</v>
      </c>
      <c r="Y20" s="24">
        <v>2</v>
      </c>
      <c r="Z20" s="4" t="str">
        <v>US.GOVT.13</v>
      </c>
      <c r="AA20" s="32">
        <f t="shared" ref="AA20:AJ20" si="26">AA6*INDEX(stdevs,1,AA$16)*INDEX(stdevs,1,$M20)</f>
        <v>0</v>
      </c>
      <c r="AB20" s="32">
        <f t="shared" si="26"/>
        <v>0</v>
      </c>
      <c r="AC20" s="32">
        <f t="shared" si="26"/>
        <v>0</v>
      </c>
      <c r="AD20" s="32">
        <f t="shared" si="26"/>
        <v>0</v>
      </c>
      <c r="AE20" s="32">
        <f t="shared" si="26"/>
        <v>0</v>
      </c>
      <c r="AF20" s="32">
        <f t="shared" si="26"/>
        <v>0</v>
      </c>
      <c r="AG20" s="32">
        <f t="shared" si="26"/>
        <v>0</v>
      </c>
      <c r="AH20" s="32">
        <f t="shared" si="26"/>
        <v>0</v>
      </c>
      <c r="AI20" s="32">
        <f t="shared" si="26"/>
        <v>0</v>
      </c>
      <c r="AJ20" s="32">
        <f t="shared" si="26"/>
        <v>0</v>
      </c>
    </row>
    <row r="21" spans="1:36">
      <c r="A21" s="24">
        <v>3</v>
      </c>
      <c r="B21" s="4" t="str">
        <v>US.AGCY.13</v>
      </c>
      <c r="C21" s="31">
        <f t="shared" si="22"/>
        <v>8.5135727456824956E-7</v>
      </c>
      <c r="D21" s="31">
        <f t="shared" si="22"/>
        <v>1.2492925819301035E-5</v>
      </c>
      <c r="E21" s="31">
        <f t="shared" si="22"/>
        <v>1.1700491696428102E-5</v>
      </c>
      <c r="F21" s="31">
        <f t="shared" si="22"/>
        <v>1.0611709769561804E-5</v>
      </c>
      <c r="G21" s="31">
        <f t="shared" si="22"/>
        <v>3.6612223613411189E-5</v>
      </c>
      <c r="H21" s="31">
        <f t="shared" si="22"/>
        <v>2.3572212814448766E-5</v>
      </c>
      <c r="I21" s="31">
        <f t="shared" si="22"/>
        <v>3.4405623595421591E-5</v>
      </c>
      <c r="J21" s="31">
        <f t="shared" si="22"/>
        <v>8.0068841585984092E-6</v>
      </c>
      <c r="K21" s="31">
        <f t="shared" si="22"/>
        <v>1.0475384445309123E-5</v>
      </c>
      <c r="L21" s="31">
        <f t="shared" si="22"/>
        <v>5.3689714581618284E-5</v>
      </c>
      <c r="M21" s="24">
        <v>3</v>
      </c>
      <c r="N21" s="4" t="str">
        <v>US.AGCY.13</v>
      </c>
      <c r="O21" s="31">
        <f t="shared" ref="O21:X21" si="27">O7*INDEX(stdevs,1,O$16)*INDEX(stdevs,1,$M21)</f>
        <v>8.5135727456824945E-7</v>
      </c>
      <c r="P21" s="31">
        <f t="shared" si="27"/>
        <v>1.2492925819301035E-5</v>
      </c>
      <c r="Q21" s="31">
        <f t="shared" si="27"/>
        <v>1.1700491696428102E-5</v>
      </c>
      <c r="R21" s="31">
        <f t="shared" si="27"/>
        <v>1.0611709769561804E-5</v>
      </c>
      <c r="S21" s="31">
        <f t="shared" si="27"/>
        <v>3.6612223613411189E-5</v>
      </c>
      <c r="T21" s="31">
        <f t="shared" si="27"/>
        <v>2.3572212814448769E-5</v>
      </c>
      <c r="U21" s="31">
        <f t="shared" si="27"/>
        <v>3.4405623595421591E-5</v>
      </c>
      <c r="V21" s="31">
        <f t="shared" si="27"/>
        <v>8.0068841585984075E-6</v>
      </c>
      <c r="W21" s="31">
        <f t="shared" si="27"/>
        <v>1.0475384445309125E-5</v>
      </c>
      <c r="X21" s="31">
        <f t="shared" si="27"/>
        <v>5.3689714581618277E-5</v>
      </c>
      <c r="Y21" s="24">
        <v>3</v>
      </c>
      <c r="Z21" s="4" t="str">
        <v>US.AGCY.13</v>
      </c>
      <c r="AA21" s="32">
        <f t="shared" ref="AA21:AJ21" si="28">AA7*INDEX(stdevs,1,AA$16)*INDEX(stdevs,1,$M21)</f>
        <v>0</v>
      </c>
      <c r="AB21" s="32">
        <f t="shared" si="28"/>
        <v>0</v>
      </c>
      <c r="AC21" s="32">
        <f t="shared" si="28"/>
        <v>0</v>
      </c>
      <c r="AD21" s="32">
        <f t="shared" si="28"/>
        <v>0</v>
      </c>
      <c r="AE21" s="32">
        <f t="shared" si="28"/>
        <v>0</v>
      </c>
      <c r="AF21" s="32">
        <f t="shared" si="28"/>
        <v>0</v>
      </c>
      <c r="AG21" s="32">
        <f t="shared" si="28"/>
        <v>0</v>
      </c>
      <c r="AH21" s="32">
        <f t="shared" si="28"/>
        <v>0</v>
      </c>
      <c r="AI21" s="32">
        <f t="shared" si="28"/>
        <v>0</v>
      </c>
      <c r="AJ21" s="32">
        <f t="shared" si="28"/>
        <v>0</v>
      </c>
    </row>
    <row r="22" spans="1:36">
      <c r="A22" s="24">
        <v>4</v>
      </c>
      <c r="B22" s="4" t="str">
        <v>US.CORP.13</v>
      </c>
      <c r="C22" s="31">
        <f t="shared" si="22"/>
        <v>6.1773202304216365E-7</v>
      </c>
      <c r="D22" s="31">
        <f t="shared" si="22"/>
        <v>9.5661740849265969E-6</v>
      </c>
      <c r="E22" s="31">
        <f t="shared" si="22"/>
        <v>1.0611709769561804E-5</v>
      </c>
      <c r="F22" s="31">
        <f t="shared" si="22"/>
        <v>2.8069782768859004E-5</v>
      </c>
      <c r="G22" s="31">
        <f t="shared" si="22"/>
        <v>3.1711770408581502E-5</v>
      </c>
      <c r="H22" s="31">
        <f t="shared" si="22"/>
        <v>2.4950262210286378E-5</v>
      </c>
      <c r="I22" s="31">
        <f t="shared" si="22"/>
        <v>8.1892011590354403E-5</v>
      </c>
      <c r="J22" s="31">
        <f t="shared" si="22"/>
        <v>1.0661553172193816E-4</v>
      </c>
      <c r="K22" s="31">
        <f t="shared" si="22"/>
        <v>1.1291172029824702E-4</v>
      </c>
      <c r="L22" s="31">
        <f t="shared" si="22"/>
        <v>7.826430371858939E-5</v>
      </c>
      <c r="M22" s="24">
        <v>4</v>
      </c>
      <c r="N22" s="4" t="str">
        <v>US.CORP.13</v>
      </c>
      <c r="O22" s="31">
        <f t="shared" ref="O22:X22" si="29">O8*INDEX(stdevs,1,O$16)*INDEX(stdevs,1,$M22)</f>
        <v>6.1773202304216365E-7</v>
      </c>
      <c r="P22" s="31">
        <f t="shared" si="29"/>
        <v>9.5661740849265952E-6</v>
      </c>
      <c r="Q22" s="31">
        <f t="shared" si="29"/>
        <v>1.0611709769561804E-5</v>
      </c>
      <c r="R22" s="31">
        <f t="shared" si="29"/>
        <v>2.8069782768859004E-5</v>
      </c>
      <c r="S22" s="31">
        <f t="shared" si="29"/>
        <v>3.1711770408581495E-5</v>
      </c>
      <c r="T22" s="31">
        <f t="shared" si="29"/>
        <v>2.4950262210286378E-5</v>
      </c>
      <c r="U22" s="31">
        <f t="shared" si="29"/>
        <v>8.1892011590354417E-5</v>
      </c>
      <c r="V22" s="31">
        <f t="shared" si="29"/>
        <v>1.0661553172193818E-4</v>
      </c>
      <c r="W22" s="31">
        <f t="shared" si="29"/>
        <v>1.1291172029824701E-4</v>
      </c>
      <c r="X22" s="31">
        <f t="shared" si="29"/>
        <v>7.826430371858939E-5</v>
      </c>
      <c r="Y22" s="24">
        <v>4</v>
      </c>
      <c r="Z22" s="4" t="str">
        <v>US.CORP.13</v>
      </c>
      <c r="AA22" s="32">
        <f t="shared" ref="AA22:AJ22" si="30">AA8*INDEX(stdevs,1,AA$16)*INDEX(stdevs,1,$M22)</f>
        <v>0</v>
      </c>
      <c r="AB22" s="32">
        <f t="shared" si="30"/>
        <v>0</v>
      </c>
      <c r="AC22" s="32">
        <f t="shared" si="30"/>
        <v>0</v>
      </c>
      <c r="AD22" s="32">
        <f t="shared" si="30"/>
        <v>0</v>
      </c>
      <c r="AE22" s="32">
        <f t="shared" si="30"/>
        <v>0</v>
      </c>
      <c r="AF22" s="32">
        <f t="shared" si="30"/>
        <v>0</v>
      </c>
      <c r="AG22" s="32">
        <f t="shared" si="30"/>
        <v>0</v>
      </c>
      <c r="AH22" s="32">
        <f t="shared" si="30"/>
        <v>0</v>
      </c>
      <c r="AI22" s="32">
        <f t="shared" si="30"/>
        <v>0</v>
      </c>
      <c r="AJ22" s="32">
        <f t="shared" si="30"/>
        <v>0</v>
      </c>
    </row>
    <row r="23" spans="1:36">
      <c r="A23" s="24">
        <v>5</v>
      </c>
      <c r="B23" s="4" t="str">
        <v>US.GOVT</v>
      </c>
      <c r="C23" s="31">
        <f t="shared" si="22"/>
        <v>2.449548242636361E-7</v>
      </c>
      <c r="D23" s="31">
        <f t="shared" si="22"/>
        <v>4.0506103083479451E-5</v>
      </c>
      <c r="E23" s="31">
        <f t="shared" si="22"/>
        <v>3.6612223613411189E-5</v>
      </c>
      <c r="F23" s="31">
        <f t="shared" si="22"/>
        <v>3.1711770408581502E-5</v>
      </c>
      <c r="G23" s="31">
        <f t="shared" si="22"/>
        <v>1.7503279034982908E-4</v>
      </c>
      <c r="H23" s="31">
        <f t="shared" si="22"/>
        <v>9.9725233188915305E-5</v>
      </c>
      <c r="I23" s="31">
        <f t="shared" si="22"/>
        <v>1.5676026033291498E-4</v>
      </c>
      <c r="J23" s="31">
        <f t="shared" si="22"/>
        <v>1.2755406787724998E-5</v>
      </c>
      <c r="K23" s="31">
        <f t="shared" si="22"/>
        <v>1.7125301893568876E-5</v>
      </c>
      <c r="L23" s="31">
        <f t="shared" si="22"/>
        <v>2.5365504036883559E-4</v>
      </c>
      <c r="M23" s="24">
        <v>5</v>
      </c>
      <c r="N23" s="4" t="str">
        <v>US.GOVT</v>
      </c>
      <c r="O23" s="31">
        <f t="shared" ref="O23:X23" si="31">O9*INDEX(stdevs,1,O$16)*INDEX(stdevs,1,$M23)</f>
        <v>2.449548242636361E-7</v>
      </c>
      <c r="P23" s="31">
        <f t="shared" si="31"/>
        <v>4.0506103083479451E-5</v>
      </c>
      <c r="Q23" s="31">
        <f t="shared" si="31"/>
        <v>3.6612223613411189E-5</v>
      </c>
      <c r="R23" s="31">
        <f t="shared" si="31"/>
        <v>3.1711770408581502E-5</v>
      </c>
      <c r="S23" s="31">
        <f t="shared" si="31"/>
        <v>1.7503279034982908E-4</v>
      </c>
      <c r="T23" s="31">
        <f t="shared" si="31"/>
        <v>9.9725233188915319E-5</v>
      </c>
      <c r="U23" s="31">
        <f t="shared" si="31"/>
        <v>1.5676026033291501E-4</v>
      </c>
      <c r="V23" s="31">
        <f t="shared" si="31"/>
        <v>1.2755406787724998E-5</v>
      </c>
      <c r="W23" s="31">
        <f t="shared" si="31"/>
        <v>1.7125301893568876E-5</v>
      </c>
      <c r="X23" s="31">
        <f t="shared" si="31"/>
        <v>2.5365504036883559E-4</v>
      </c>
      <c r="Y23" s="24">
        <v>5</v>
      </c>
      <c r="Z23" s="4" t="str">
        <v>US.GOVT</v>
      </c>
      <c r="AA23" s="32">
        <f t="shared" ref="AA23:AJ23" si="32">AA9*INDEX(stdevs,1,AA$16)*INDEX(stdevs,1,$M23)</f>
        <v>0</v>
      </c>
      <c r="AB23" s="32">
        <f t="shared" si="32"/>
        <v>0</v>
      </c>
      <c r="AC23" s="32">
        <f t="shared" si="32"/>
        <v>0</v>
      </c>
      <c r="AD23" s="32">
        <f t="shared" si="32"/>
        <v>0</v>
      </c>
      <c r="AE23" s="32">
        <f t="shared" si="32"/>
        <v>0</v>
      </c>
      <c r="AF23" s="32">
        <f t="shared" si="32"/>
        <v>0</v>
      </c>
      <c r="AG23" s="32">
        <f t="shared" si="32"/>
        <v>0</v>
      </c>
      <c r="AH23" s="32">
        <f t="shared" si="32"/>
        <v>0</v>
      </c>
      <c r="AI23" s="32">
        <f t="shared" si="32"/>
        <v>0</v>
      </c>
      <c r="AJ23" s="32">
        <f t="shared" si="32"/>
        <v>0</v>
      </c>
    </row>
    <row r="24" spans="1:36">
      <c r="A24" s="24">
        <v>6</v>
      </c>
      <c r="B24" s="4" t="str">
        <v>US.AGCY</v>
      </c>
      <c r="C24" s="31">
        <f t="shared" si="22"/>
        <v>6.9117145968368017E-7</v>
      </c>
      <c r="D24" s="31">
        <f t="shared" si="22"/>
        <v>2.5272130505254865E-5</v>
      </c>
      <c r="E24" s="31">
        <f t="shared" si="22"/>
        <v>2.3572212814448766E-5</v>
      </c>
      <c r="F24" s="31">
        <f t="shared" si="22"/>
        <v>2.4950262210286378E-5</v>
      </c>
      <c r="G24" s="31">
        <f t="shared" si="22"/>
        <v>9.9725233188915305E-5</v>
      </c>
      <c r="H24" s="31">
        <f t="shared" si="22"/>
        <v>6.0966810431172385E-5</v>
      </c>
      <c r="I24" s="31">
        <f t="shared" si="22"/>
        <v>1.0159696442266003E-4</v>
      </c>
      <c r="J24" s="31">
        <f t="shared" si="22"/>
        <v>2.3655900268342706E-5</v>
      </c>
      <c r="K24" s="31">
        <f t="shared" si="22"/>
        <v>2.8861555673790093E-5</v>
      </c>
      <c r="L24" s="31">
        <f t="shared" si="22"/>
        <v>1.5390994941418652E-4</v>
      </c>
      <c r="M24" s="24">
        <v>6</v>
      </c>
      <c r="N24" s="4" t="str">
        <v>US.AGCY</v>
      </c>
      <c r="O24" s="31">
        <f t="shared" ref="O24:X24" si="33">O10*INDEX(stdevs,1,O$16)*INDEX(stdevs,1,$M24)</f>
        <v>6.9117145968368017E-7</v>
      </c>
      <c r="P24" s="31">
        <f t="shared" si="33"/>
        <v>2.5272130505254862E-5</v>
      </c>
      <c r="Q24" s="31">
        <f t="shared" si="33"/>
        <v>2.3572212814448766E-5</v>
      </c>
      <c r="R24" s="31">
        <f t="shared" si="33"/>
        <v>2.4950262210286378E-5</v>
      </c>
      <c r="S24" s="31">
        <f t="shared" si="33"/>
        <v>9.9725233188915319E-5</v>
      </c>
      <c r="T24" s="31">
        <f t="shared" si="33"/>
        <v>6.0966810431172385E-5</v>
      </c>
      <c r="U24" s="31">
        <f t="shared" si="33"/>
        <v>1.0159696442266004E-4</v>
      </c>
      <c r="V24" s="31">
        <f t="shared" si="33"/>
        <v>2.3655900268342709E-5</v>
      </c>
      <c r="W24" s="31">
        <f t="shared" si="33"/>
        <v>2.8861555673790093E-5</v>
      </c>
      <c r="X24" s="31">
        <f t="shared" si="33"/>
        <v>1.5390994941418652E-4</v>
      </c>
      <c r="Y24" s="24">
        <v>6</v>
      </c>
      <c r="Z24" s="4" t="str">
        <v>US.AGCY</v>
      </c>
      <c r="AA24" s="32">
        <f t="shared" ref="AA24:AJ24" si="34">AA10*INDEX(stdevs,1,AA$16)*INDEX(stdevs,1,$M24)</f>
        <v>0</v>
      </c>
      <c r="AB24" s="32">
        <f t="shared" si="34"/>
        <v>0</v>
      </c>
      <c r="AC24" s="32">
        <f t="shared" si="34"/>
        <v>0</v>
      </c>
      <c r="AD24" s="32">
        <f t="shared" si="34"/>
        <v>0</v>
      </c>
      <c r="AE24" s="32">
        <f t="shared" si="34"/>
        <v>0</v>
      </c>
      <c r="AF24" s="32">
        <f t="shared" si="34"/>
        <v>0</v>
      </c>
      <c r="AG24" s="32">
        <f t="shared" si="34"/>
        <v>0</v>
      </c>
      <c r="AH24" s="32">
        <f t="shared" si="34"/>
        <v>0</v>
      </c>
      <c r="AI24" s="32">
        <f t="shared" si="34"/>
        <v>0</v>
      </c>
      <c r="AJ24" s="32">
        <f t="shared" si="34"/>
        <v>0</v>
      </c>
    </row>
    <row r="25" spans="1:36">
      <c r="A25" s="24">
        <v>7</v>
      </c>
      <c r="B25" s="4" t="str">
        <v>US.CORP</v>
      </c>
      <c r="C25" s="31">
        <f t="shared" si="22"/>
        <v>1.0191843322681434E-7</v>
      </c>
      <c r="D25" s="31">
        <f t="shared" si="22"/>
        <v>3.1771708909333435E-5</v>
      </c>
      <c r="E25" s="31">
        <f t="shared" si="22"/>
        <v>3.4405623595421591E-5</v>
      </c>
      <c r="F25" s="31">
        <f t="shared" si="22"/>
        <v>8.1892011590354403E-5</v>
      </c>
      <c r="G25" s="31">
        <f t="shared" si="22"/>
        <v>1.5676026033291498E-4</v>
      </c>
      <c r="H25" s="31">
        <f t="shared" si="22"/>
        <v>1.0159696442266003E-4</v>
      </c>
      <c r="I25" s="31">
        <f t="shared" si="22"/>
        <v>3.1199447745634622E-4</v>
      </c>
      <c r="J25" s="31">
        <f t="shared" si="22"/>
        <v>3.9204532323710716E-4</v>
      </c>
      <c r="K25" s="31">
        <f t="shared" si="22"/>
        <v>4.1107429070994536E-4</v>
      </c>
      <c r="L25" s="31">
        <f t="shared" si="22"/>
        <v>3.346473024237174E-4</v>
      </c>
      <c r="M25" s="24">
        <v>7</v>
      </c>
      <c r="N25" s="4" t="str">
        <v>US.CORP</v>
      </c>
      <c r="O25" s="31">
        <f t="shared" ref="O25:X25" si="35">O11*INDEX(stdevs,1,O$16)*INDEX(stdevs,1,$M25)</f>
        <v>1.0191843322681435E-7</v>
      </c>
      <c r="P25" s="31">
        <f t="shared" si="35"/>
        <v>3.1771708909333435E-5</v>
      </c>
      <c r="Q25" s="31">
        <f t="shared" si="35"/>
        <v>3.4405623595421584E-5</v>
      </c>
      <c r="R25" s="31">
        <f t="shared" si="35"/>
        <v>8.1892011590354417E-5</v>
      </c>
      <c r="S25" s="31">
        <f t="shared" si="35"/>
        <v>1.5676026033291498E-4</v>
      </c>
      <c r="T25" s="31">
        <f t="shared" si="35"/>
        <v>1.0159696442266003E-4</v>
      </c>
      <c r="U25" s="31">
        <f t="shared" si="35"/>
        <v>3.1199447745634622E-4</v>
      </c>
      <c r="V25" s="31">
        <f t="shared" si="35"/>
        <v>3.9204532323710716E-4</v>
      </c>
      <c r="W25" s="31">
        <f t="shared" si="35"/>
        <v>4.1107429070994542E-4</v>
      </c>
      <c r="X25" s="31">
        <f t="shared" si="35"/>
        <v>3.3464730242371745E-4</v>
      </c>
      <c r="Y25" s="24">
        <v>7</v>
      </c>
      <c r="Z25" s="4" t="str">
        <v>US.CORP</v>
      </c>
      <c r="AA25" s="32">
        <f t="shared" ref="AA25:AJ25" si="36">AA11*INDEX(stdevs,1,AA$16)*INDEX(stdevs,1,$M25)</f>
        <v>0</v>
      </c>
      <c r="AB25" s="32">
        <f t="shared" si="36"/>
        <v>0</v>
      </c>
      <c r="AC25" s="32">
        <f t="shared" si="36"/>
        <v>0</v>
      </c>
      <c r="AD25" s="32">
        <f t="shared" si="36"/>
        <v>0</v>
      </c>
      <c r="AE25" s="32">
        <f t="shared" si="36"/>
        <v>0</v>
      </c>
      <c r="AF25" s="32">
        <f t="shared" si="36"/>
        <v>0</v>
      </c>
      <c r="AG25" s="32">
        <f t="shared" si="36"/>
        <v>0</v>
      </c>
      <c r="AH25" s="32">
        <f t="shared" si="36"/>
        <v>0</v>
      </c>
      <c r="AI25" s="32">
        <f t="shared" si="36"/>
        <v>0</v>
      </c>
      <c r="AJ25" s="32">
        <f t="shared" si="36"/>
        <v>0</v>
      </c>
    </row>
    <row r="26" spans="1:36">
      <c r="A26" s="24">
        <v>8</v>
      </c>
      <c r="B26" s="4" t="str">
        <v>US.EQ</v>
      </c>
      <c r="C26" s="31">
        <f t="shared" si="22"/>
        <v>-3.2473391470254369E-6</v>
      </c>
      <c r="D26" s="31">
        <f t="shared" si="22"/>
        <v>-3.7914859772770258E-6</v>
      </c>
      <c r="E26" s="31">
        <f t="shared" si="22"/>
        <v>8.0068841585984092E-6</v>
      </c>
      <c r="F26" s="31">
        <f t="shared" si="22"/>
        <v>1.0661553172193816E-4</v>
      </c>
      <c r="G26" s="31">
        <f t="shared" si="22"/>
        <v>1.2755406787724998E-5</v>
      </c>
      <c r="H26" s="31">
        <f t="shared" si="22"/>
        <v>2.3655900268342706E-5</v>
      </c>
      <c r="I26" s="31">
        <f t="shared" si="22"/>
        <v>3.9204532323710716E-4</v>
      </c>
      <c r="J26" s="31">
        <f t="shared" si="22"/>
        <v>1.756737757298962E-3</v>
      </c>
      <c r="K26" s="31">
        <f t="shared" si="22"/>
        <v>1.6994688845499342E-3</v>
      </c>
      <c r="L26" s="31">
        <f t="shared" si="22"/>
        <v>1.6167169353084783E-4</v>
      </c>
      <c r="M26" s="24">
        <v>8</v>
      </c>
      <c r="N26" s="4" t="str">
        <v>US.EQ</v>
      </c>
      <c r="O26" s="31">
        <f t="shared" ref="O26:X26" si="37">O12*INDEX(stdevs,1,O$16)*INDEX(stdevs,1,$M26)</f>
        <v>-3.2473391470254364E-6</v>
      </c>
      <c r="P26" s="31">
        <f t="shared" si="37"/>
        <v>-3.7914859772770267E-6</v>
      </c>
      <c r="Q26" s="31">
        <f t="shared" si="37"/>
        <v>8.0068841585984075E-6</v>
      </c>
      <c r="R26" s="31">
        <f t="shared" si="37"/>
        <v>1.0661553172193816E-4</v>
      </c>
      <c r="S26" s="31">
        <f t="shared" si="37"/>
        <v>1.2755406787724998E-5</v>
      </c>
      <c r="T26" s="31">
        <f t="shared" si="37"/>
        <v>2.3655900268342706E-5</v>
      </c>
      <c r="U26" s="31">
        <f t="shared" si="37"/>
        <v>3.9204532323710716E-4</v>
      </c>
      <c r="V26" s="31">
        <f t="shared" si="37"/>
        <v>1.756737757298962E-3</v>
      </c>
      <c r="W26" s="31">
        <f t="shared" si="37"/>
        <v>1.6994688845499344E-3</v>
      </c>
      <c r="X26" s="31">
        <f t="shared" si="37"/>
        <v>1.6167169353084783E-4</v>
      </c>
      <c r="Y26" s="24">
        <v>8</v>
      </c>
      <c r="Z26" s="4" t="str">
        <v>US.EQ</v>
      </c>
      <c r="AA26" s="32">
        <f t="shared" ref="AA26:AJ26" si="38">AA12*INDEX(stdevs,1,AA$16)*INDEX(stdevs,1,$M26)</f>
        <v>0</v>
      </c>
      <c r="AB26" s="32">
        <f t="shared" si="38"/>
        <v>0</v>
      </c>
      <c r="AC26" s="32">
        <f t="shared" si="38"/>
        <v>0</v>
      </c>
      <c r="AD26" s="32">
        <f t="shared" si="38"/>
        <v>0</v>
      </c>
      <c r="AE26" s="32">
        <f t="shared" si="38"/>
        <v>0</v>
      </c>
      <c r="AF26" s="32">
        <f t="shared" si="38"/>
        <v>0</v>
      </c>
      <c r="AG26" s="32">
        <f t="shared" si="38"/>
        <v>0</v>
      </c>
      <c r="AH26" s="32">
        <f t="shared" si="38"/>
        <v>0</v>
      </c>
      <c r="AI26" s="32">
        <f t="shared" si="38"/>
        <v>0</v>
      </c>
      <c r="AJ26" s="32">
        <f t="shared" si="38"/>
        <v>0</v>
      </c>
    </row>
    <row r="27" spans="1:36">
      <c r="A27" s="24">
        <v>9</v>
      </c>
      <c r="B27" s="4" t="str">
        <v>GL.EQ</v>
      </c>
      <c r="C27" s="31">
        <f t="shared" si="22"/>
        <v>-2.4913528680508212E-6</v>
      </c>
      <c r="D27" s="31">
        <f t="shared" si="22"/>
        <v>-1.6134082777793859E-6</v>
      </c>
      <c r="E27" s="31">
        <f t="shared" si="22"/>
        <v>1.0475384445309123E-5</v>
      </c>
      <c r="F27" s="31">
        <f t="shared" si="22"/>
        <v>1.1291172029824702E-4</v>
      </c>
      <c r="G27" s="31">
        <f t="shared" si="22"/>
        <v>1.7125301893568876E-5</v>
      </c>
      <c r="H27" s="31">
        <f t="shared" si="22"/>
        <v>2.8861555673790093E-5</v>
      </c>
      <c r="I27" s="31">
        <f t="shared" si="22"/>
        <v>4.1107429070994536E-4</v>
      </c>
      <c r="J27" s="31">
        <f t="shared" si="22"/>
        <v>1.6994688845499342E-3</v>
      </c>
      <c r="K27" s="31">
        <f t="shared" si="22"/>
        <v>1.7121245333351896E-3</v>
      </c>
      <c r="L27" s="31">
        <f t="shared" si="22"/>
        <v>2.2794756076575847E-4</v>
      </c>
      <c r="M27" s="24">
        <v>9</v>
      </c>
      <c r="N27" s="4" t="str">
        <v>GL.EQ</v>
      </c>
      <c r="O27" s="31">
        <f t="shared" ref="O27:X27" si="39">O13*INDEX(stdevs,1,O$16)*INDEX(stdevs,1,$M27)</f>
        <v>-2.4913528680508212E-6</v>
      </c>
      <c r="P27" s="31">
        <f t="shared" si="39"/>
        <v>-1.6134082777793859E-6</v>
      </c>
      <c r="Q27" s="31">
        <f t="shared" si="39"/>
        <v>1.0475384445309125E-5</v>
      </c>
      <c r="R27" s="31">
        <f t="shared" si="39"/>
        <v>1.1291172029824702E-4</v>
      </c>
      <c r="S27" s="31">
        <f t="shared" si="39"/>
        <v>1.7125301893568876E-5</v>
      </c>
      <c r="T27" s="31">
        <f t="shared" si="39"/>
        <v>2.886155567379009E-5</v>
      </c>
      <c r="U27" s="31">
        <f t="shared" si="39"/>
        <v>4.1107429070994536E-4</v>
      </c>
      <c r="V27" s="31">
        <f t="shared" si="39"/>
        <v>1.6994688845499344E-3</v>
      </c>
      <c r="W27" s="31">
        <f t="shared" si="39"/>
        <v>1.7121245333351898E-3</v>
      </c>
      <c r="X27" s="31">
        <f t="shared" si="39"/>
        <v>2.2794756076575845E-4</v>
      </c>
      <c r="Y27" s="24">
        <v>9</v>
      </c>
      <c r="Z27" s="4" t="str">
        <v>GL.EQ</v>
      </c>
      <c r="AA27" s="32">
        <f t="shared" ref="AA27:AJ27" si="40">AA13*INDEX(stdevs,1,AA$16)*INDEX(stdevs,1,$M27)</f>
        <v>0</v>
      </c>
      <c r="AB27" s="32">
        <f t="shared" si="40"/>
        <v>0</v>
      </c>
      <c r="AC27" s="32">
        <f t="shared" si="40"/>
        <v>0</v>
      </c>
      <c r="AD27" s="32">
        <f t="shared" si="40"/>
        <v>0</v>
      </c>
      <c r="AE27" s="32">
        <f t="shared" si="40"/>
        <v>0</v>
      </c>
      <c r="AF27" s="32">
        <f t="shared" si="40"/>
        <v>0</v>
      </c>
      <c r="AG27" s="32">
        <f t="shared" si="40"/>
        <v>0</v>
      </c>
      <c r="AH27" s="32">
        <f t="shared" si="40"/>
        <v>0</v>
      </c>
      <c r="AI27" s="32">
        <f t="shared" si="40"/>
        <v>0</v>
      </c>
      <c r="AJ27" s="32">
        <f t="shared" si="40"/>
        <v>0</v>
      </c>
    </row>
    <row r="28" spans="1:36">
      <c r="A28" s="24">
        <v>10</v>
      </c>
      <c r="B28" s="4" t="str">
        <v>GOLD</v>
      </c>
      <c r="C28" s="31">
        <f t="shared" si="22"/>
        <v>3.7765870014312666E-6</v>
      </c>
      <c r="D28" s="31">
        <f t="shared" si="22"/>
        <v>5.6260412661080234E-5</v>
      </c>
      <c r="E28" s="31">
        <f t="shared" si="22"/>
        <v>5.3689714581618284E-5</v>
      </c>
      <c r="F28" s="31">
        <f t="shared" si="22"/>
        <v>7.826430371858939E-5</v>
      </c>
      <c r="G28" s="31">
        <f t="shared" si="22"/>
        <v>2.5365504036883559E-4</v>
      </c>
      <c r="H28" s="31">
        <f t="shared" si="22"/>
        <v>1.5390994941418652E-4</v>
      </c>
      <c r="I28" s="31">
        <f t="shared" si="22"/>
        <v>3.346473024237174E-4</v>
      </c>
      <c r="J28" s="31">
        <f t="shared" si="22"/>
        <v>1.6167169353084783E-4</v>
      </c>
      <c r="K28" s="31">
        <f t="shared" si="22"/>
        <v>2.2794756076575847E-4</v>
      </c>
      <c r="L28" s="31">
        <f t="shared" si="22"/>
        <v>1.786000392863224E-3</v>
      </c>
      <c r="M28" s="24">
        <v>10</v>
      </c>
      <c r="N28" s="4" t="str">
        <v>GOLD</v>
      </c>
      <c r="O28" s="31">
        <f t="shared" ref="O28:X28" si="41">O14*INDEX(stdevs,1,O$16)*INDEX(stdevs,1,$M28)</f>
        <v>3.7765870014312666E-6</v>
      </c>
      <c r="P28" s="31">
        <f t="shared" si="41"/>
        <v>5.626041266108024E-5</v>
      </c>
      <c r="Q28" s="31">
        <f t="shared" si="41"/>
        <v>5.3689714581618277E-5</v>
      </c>
      <c r="R28" s="31">
        <f t="shared" si="41"/>
        <v>7.826430371858939E-5</v>
      </c>
      <c r="S28" s="31">
        <f t="shared" si="41"/>
        <v>2.5365504036883559E-4</v>
      </c>
      <c r="T28" s="31">
        <f t="shared" si="41"/>
        <v>1.5390994941418652E-4</v>
      </c>
      <c r="U28" s="31">
        <f t="shared" si="41"/>
        <v>3.346473024237174E-4</v>
      </c>
      <c r="V28" s="31">
        <f t="shared" si="41"/>
        <v>1.6167169353084783E-4</v>
      </c>
      <c r="W28" s="31">
        <f t="shared" si="41"/>
        <v>2.2794756076575845E-4</v>
      </c>
      <c r="X28" s="31">
        <f t="shared" si="41"/>
        <v>1.7860003928632238E-3</v>
      </c>
      <c r="Y28" s="24">
        <v>10</v>
      </c>
      <c r="Z28" s="4" t="str">
        <v>GOLD</v>
      </c>
      <c r="AA28" s="32">
        <f t="shared" ref="AA28:AJ28" si="42">AA14*INDEX(stdevs,1,AA$16)*INDEX(stdevs,1,$M28)</f>
        <v>0</v>
      </c>
      <c r="AB28" s="32">
        <f t="shared" si="42"/>
        <v>0</v>
      </c>
      <c r="AC28" s="32">
        <f t="shared" si="42"/>
        <v>0</v>
      </c>
      <c r="AD28" s="32">
        <f t="shared" si="42"/>
        <v>0</v>
      </c>
      <c r="AE28" s="32">
        <f t="shared" si="42"/>
        <v>0</v>
      </c>
      <c r="AF28" s="32">
        <f t="shared" si="42"/>
        <v>0</v>
      </c>
      <c r="AG28" s="32">
        <f t="shared" si="42"/>
        <v>0</v>
      </c>
      <c r="AH28" s="32">
        <f t="shared" si="42"/>
        <v>0</v>
      </c>
      <c r="AI28" s="32">
        <f t="shared" si="42"/>
        <v>0</v>
      </c>
      <c r="AJ28" s="32">
        <f t="shared" si="42"/>
        <v>0</v>
      </c>
    </row>
    <row r="30" spans="1:36">
      <c r="C30" s="24">
        <v>1</v>
      </c>
      <c r="D30" s="24">
        <v>2</v>
      </c>
      <c r="E30" s="24">
        <v>3</v>
      </c>
      <c r="F30" s="24">
        <v>4</v>
      </c>
      <c r="G30" s="24">
        <v>5</v>
      </c>
      <c r="H30" s="24">
        <v>6</v>
      </c>
      <c r="I30" s="24">
        <v>7</v>
      </c>
      <c r="J30" s="24">
        <v>8</v>
      </c>
      <c r="K30" s="24">
        <v>9</v>
      </c>
      <c r="L30" s="24">
        <v>10</v>
      </c>
    </row>
    <row r="31" spans="1:36">
      <c r="B31" s="33" t="s">
        <v>48</v>
      </c>
      <c r="C31" s="33"/>
      <c r="D31" s="33"/>
      <c r="E31" s="33"/>
      <c r="F31" s="33"/>
      <c r="G31" s="33"/>
      <c r="H31" s="33"/>
      <c r="I31" s="33"/>
      <c r="J31" s="33"/>
      <c r="K31" s="33"/>
      <c r="L31" s="33"/>
    </row>
    <row r="32" spans="1:36">
      <c r="B32" s="4"/>
      <c r="C32" s="4" t="str">
        <f t="array" ref="C32:L32">assetnames</f>
        <v>US.CASH</v>
      </c>
      <c r="D32" s="4" t="str">
        <v>US.GOVT.13</v>
      </c>
      <c r="E32" s="4" t="str">
        <v>US.AGCY.13</v>
      </c>
      <c r="F32" s="4" t="str">
        <v>US.CORP.13</v>
      </c>
      <c r="G32" s="4" t="str">
        <v>US.GOVT</v>
      </c>
      <c r="H32" s="4" t="str">
        <v>US.AGCY</v>
      </c>
      <c r="I32" s="4" t="str">
        <v>US.CORP</v>
      </c>
      <c r="J32" s="4" t="str">
        <v>US.EQ</v>
      </c>
      <c r="K32" s="4" t="str">
        <v>GL.EQ</v>
      </c>
      <c r="L32" s="4" t="str">
        <v>GOLD</v>
      </c>
    </row>
    <row r="33" spans="2:12">
      <c r="B33" s="34" t="s">
        <v>49</v>
      </c>
      <c r="C33" s="21">
        <f t="array" ref="C33:L33">Univariate!O5:X5</f>
        <v>1.1944916315125335E-3</v>
      </c>
      <c r="D33" s="21">
        <v>3.7227186847070123E-3</v>
      </c>
      <c r="E33" s="21">
        <v>3.4205981489248485E-3</v>
      </c>
      <c r="F33" s="21">
        <v>5.2980923707367546E-3</v>
      </c>
      <c r="G33" s="21">
        <v>1.322999585600196E-2</v>
      </c>
      <c r="H33" s="21">
        <v>7.8081246423947611E-3</v>
      </c>
      <c r="I33" s="21">
        <v>1.7663365405730196E-2</v>
      </c>
      <c r="J33" s="21">
        <v>4.1913455563803867E-2</v>
      </c>
      <c r="K33" s="21">
        <v>4.1377826590278874E-2</v>
      </c>
      <c r="L33" s="21">
        <v>4.226109786627915E-2</v>
      </c>
    </row>
    <row r="34" spans="2:12">
      <c r="B34" s="34" t="s">
        <v>50</v>
      </c>
      <c r="C34" s="21">
        <f t="shared" ref="C34:L34" si="43">SQRT(INDEX(covmtx,C30,C30))</f>
        <v>1.1944916315125335E-3</v>
      </c>
      <c r="D34" s="21">
        <f t="shared" si="43"/>
        <v>3.7227186847070123E-3</v>
      </c>
      <c r="E34" s="21">
        <f t="shared" si="43"/>
        <v>3.420598148924849E-3</v>
      </c>
      <c r="F34" s="21">
        <f t="shared" si="43"/>
        <v>5.2980923707367546E-3</v>
      </c>
      <c r="G34" s="21">
        <f t="shared" si="43"/>
        <v>1.3229995856001962E-2</v>
      </c>
      <c r="H34" s="21">
        <f t="shared" si="43"/>
        <v>7.8081246423947655E-3</v>
      </c>
      <c r="I34" s="21">
        <f t="shared" si="43"/>
        <v>1.7663365405730196E-2</v>
      </c>
      <c r="J34" s="21">
        <f t="shared" si="43"/>
        <v>4.1913455563803874E-2</v>
      </c>
      <c r="K34" s="21">
        <f t="shared" si="43"/>
        <v>4.1377826590278874E-2</v>
      </c>
      <c r="L34" s="21">
        <f t="shared" si="43"/>
        <v>4.226109786627915E-2</v>
      </c>
    </row>
  </sheetData>
  <conditionalFormatting sqref="C5:L14">
    <cfRule type="colorScale" priority="6">
      <colorScale>
        <cfvo type="num" val="-1"/>
        <cfvo type="num" val="0"/>
        <cfvo type="num" val="1"/>
        <color rgb="FF63BE7B"/>
        <color theme="1" tint="0.89999084444715716"/>
        <color rgb="FFF8696B"/>
      </colorScale>
    </cfRule>
  </conditionalFormatting>
  <conditionalFormatting sqref="C19:L28">
    <cfRule type="colorScale" priority="5">
      <colorScale>
        <cfvo type="num" val="-1"/>
        <cfvo type="num" val="0"/>
        <cfvo type="num" val="1"/>
        <color rgb="FF63BE7B"/>
        <color theme="1" tint="0.89999084444715716"/>
        <color rgb="FFF8696B"/>
      </colorScale>
    </cfRule>
  </conditionalFormatting>
  <conditionalFormatting sqref="O5:X14">
    <cfRule type="colorScale" priority="4">
      <colorScale>
        <cfvo type="num" val="-1"/>
        <cfvo type="num" val="0"/>
        <cfvo type="num" val="1"/>
        <color rgb="FF63BE7B"/>
        <color theme="1" tint="0.89999084444715716"/>
        <color rgb="FFF8696B"/>
      </colorScale>
    </cfRule>
  </conditionalFormatting>
  <conditionalFormatting sqref="O19:X28">
    <cfRule type="colorScale" priority="3">
      <colorScale>
        <cfvo type="num" val="-1"/>
        <cfvo type="num" val="0"/>
        <cfvo type="num" val="1"/>
        <color rgb="FF63BE7B"/>
        <color theme="1" tint="0.89999084444715716"/>
        <color rgb="FFF8696B"/>
      </colorScale>
    </cfRule>
  </conditionalFormatting>
  <conditionalFormatting sqref="AA5:AJ14">
    <cfRule type="colorScale" priority="2">
      <colorScale>
        <cfvo type="num" val="-1"/>
        <cfvo type="num" val="0"/>
        <cfvo type="num" val="1"/>
        <color rgb="FF63BE7B"/>
        <color theme="1" tint="0.89999084444715716"/>
        <color rgb="FFF8696B"/>
      </colorScale>
    </cfRule>
  </conditionalFormatting>
  <conditionalFormatting sqref="AA19:AJ28">
    <cfRule type="colorScale" priority="1">
      <colorScale>
        <cfvo type="num" val="-1"/>
        <cfvo type="num" val="0"/>
        <cfvo type="num" val="1"/>
        <color rgb="FF63BE7B"/>
        <color theme="1" tint="0.89999084444715716"/>
        <color rgb="FFF8696B"/>
      </colorScale>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2:V152"/>
  <sheetViews>
    <sheetView showGridLines="0" zoomScaleNormal="100" workbookViewId="0">
      <selection activeCell="G30" sqref="G30"/>
    </sheetView>
  </sheetViews>
  <sheetFormatPr baseColWidth="10" defaultColWidth="9" defaultRowHeight="15"/>
  <cols>
    <col min="1" max="1" width="9" style="3" customWidth="1"/>
    <col min="2" max="12" width="10.6640625" style="3" customWidth="1"/>
    <col min="13" max="13" width="9" style="3"/>
    <col min="14" max="20" width="10.6640625" style="3" customWidth="1"/>
    <col min="21" max="16384" width="9" style="3"/>
  </cols>
  <sheetData>
    <row r="2" spans="2:20" s="3" customFormat="1">
      <c r="B2" s="13" t="s">
        <v>55</v>
      </c>
      <c r="C2" s="13"/>
      <c r="D2" s="13"/>
      <c r="E2" s="13"/>
      <c r="F2" s="13"/>
      <c r="G2" s="13"/>
      <c r="H2" s="13"/>
      <c r="I2" s="13"/>
      <c r="J2" s="13"/>
      <c r="K2" s="13"/>
      <c r="L2" s="13"/>
      <c r="M2" s="13"/>
    </row>
    <row r="3" spans="2:20" s="3" customFormat="1">
      <c r="B3" s="4"/>
      <c r="C3" s="4" t="str">
        <f t="array" ref="C3:L3">assetnames</f>
        <v>US.CASH</v>
      </c>
      <c r="D3" s="4" t="str">
        <v>US.GOVT.13</v>
      </c>
      <c r="E3" s="4" t="str">
        <v>US.AGCY.13</v>
      </c>
      <c r="F3" s="4" t="str">
        <v>US.CORP.13</v>
      </c>
      <c r="G3" s="4" t="str">
        <v>US.GOVT</v>
      </c>
      <c r="H3" s="4" t="str">
        <v>US.AGCY</v>
      </c>
      <c r="I3" s="4" t="str">
        <v>US.CORP</v>
      </c>
      <c r="J3" s="4" t="str">
        <v>US.EQ</v>
      </c>
      <c r="K3" s="4" t="str">
        <v>GL.EQ</v>
      </c>
      <c r="L3" s="4" t="str">
        <v>GOLD</v>
      </c>
      <c r="M3" s="4" t="s">
        <v>61</v>
      </c>
    </row>
    <row r="4" spans="2:20" s="3" customFormat="1">
      <c r="B4" s="4" t="s">
        <v>56</v>
      </c>
      <c r="C4" s="14">
        <v>0</v>
      </c>
      <c r="D4" s="14">
        <v>1</v>
      </c>
      <c r="E4" s="14">
        <v>0</v>
      </c>
      <c r="F4" s="14">
        <v>0</v>
      </c>
      <c r="G4" s="14">
        <v>0</v>
      </c>
      <c r="H4" s="14">
        <v>0</v>
      </c>
      <c r="I4" s="14">
        <v>0</v>
      </c>
      <c r="J4" s="14">
        <v>0</v>
      </c>
      <c r="K4" s="14">
        <v>0</v>
      </c>
      <c r="L4" s="14">
        <v>0</v>
      </c>
      <c r="M4" s="15">
        <f>SUM(C4:L4)</f>
        <v>1</v>
      </c>
    </row>
    <row r="5" spans="2:20" s="3" customFormat="1">
      <c r="B5" s="4" t="s">
        <v>57</v>
      </c>
      <c r="C5" s="14">
        <v>0</v>
      </c>
      <c r="D5" s="14">
        <v>0</v>
      </c>
      <c r="E5" s="14">
        <v>0</v>
      </c>
      <c r="F5" s="14">
        <v>1</v>
      </c>
      <c r="G5" s="14">
        <v>0</v>
      </c>
      <c r="H5" s="14">
        <v>0</v>
      </c>
      <c r="I5" s="14">
        <v>0</v>
      </c>
      <c r="J5" s="14">
        <v>0</v>
      </c>
      <c r="K5" s="14">
        <v>0</v>
      </c>
      <c r="L5" s="14">
        <v>0</v>
      </c>
      <c r="M5" s="15">
        <f t="shared" ref="M5:M8" si="0">SUM(C5:L5)</f>
        <v>1</v>
      </c>
    </row>
    <row r="6" spans="2:20" s="3" customFormat="1">
      <c r="B6" s="4" t="s">
        <v>58</v>
      </c>
      <c r="C6" s="14">
        <v>0</v>
      </c>
      <c r="D6" s="14">
        <v>0</v>
      </c>
      <c r="E6" s="14">
        <v>0</v>
      </c>
      <c r="F6" s="14">
        <v>0</v>
      </c>
      <c r="G6" s="14">
        <v>0</v>
      </c>
      <c r="H6" s="14">
        <v>1</v>
      </c>
      <c r="I6" s="14">
        <v>0</v>
      </c>
      <c r="J6" s="14">
        <v>0</v>
      </c>
      <c r="K6" s="14">
        <v>0</v>
      </c>
      <c r="L6" s="14">
        <v>0</v>
      </c>
      <c r="M6" s="15">
        <f t="shared" si="0"/>
        <v>1</v>
      </c>
    </row>
    <row r="7" spans="2:20" s="3" customFormat="1">
      <c r="B7" s="4" t="s">
        <v>59</v>
      </c>
      <c r="C7" s="15">
        <f>C5-C$4</f>
        <v>0</v>
      </c>
      <c r="D7" s="15">
        <f t="shared" ref="D7:L8" si="1">D5-D$4</f>
        <v>-1</v>
      </c>
      <c r="E7" s="15">
        <f t="shared" si="1"/>
        <v>0</v>
      </c>
      <c r="F7" s="15">
        <f t="shared" si="1"/>
        <v>1</v>
      </c>
      <c r="G7" s="15">
        <f t="shared" si="1"/>
        <v>0</v>
      </c>
      <c r="H7" s="15">
        <f t="shared" si="1"/>
        <v>0</v>
      </c>
      <c r="I7" s="15">
        <f t="shared" si="1"/>
        <v>0</v>
      </c>
      <c r="J7" s="15">
        <f t="shared" si="1"/>
        <v>0</v>
      </c>
      <c r="K7" s="15">
        <f t="shared" si="1"/>
        <v>0</v>
      </c>
      <c r="L7" s="15">
        <f t="shared" si="1"/>
        <v>0</v>
      </c>
      <c r="M7" s="15">
        <f t="shared" si="0"/>
        <v>0</v>
      </c>
    </row>
    <row r="8" spans="2:20" s="3" customFormat="1">
      <c r="B8" s="4" t="s">
        <v>60</v>
      </c>
      <c r="C8" s="15">
        <f>C6-C$4</f>
        <v>0</v>
      </c>
      <c r="D8" s="15">
        <f t="shared" si="1"/>
        <v>-1</v>
      </c>
      <c r="E8" s="15">
        <f t="shared" si="1"/>
        <v>0</v>
      </c>
      <c r="F8" s="15">
        <f t="shared" si="1"/>
        <v>0</v>
      </c>
      <c r="G8" s="15">
        <f t="shared" si="1"/>
        <v>0</v>
      </c>
      <c r="H8" s="15">
        <f t="shared" si="1"/>
        <v>1</v>
      </c>
      <c r="I8" s="15">
        <f t="shared" si="1"/>
        <v>0</v>
      </c>
      <c r="J8" s="15">
        <f t="shared" si="1"/>
        <v>0</v>
      </c>
      <c r="K8" s="15">
        <f t="shared" si="1"/>
        <v>0</v>
      </c>
      <c r="L8" s="15">
        <f t="shared" si="1"/>
        <v>0</v>
      </c>
      <c r="M8" s="15">
        <f t="shared" si="0"/>
        <v>0</v>
      </c>
    </row>
    <row r="10" spans="2:20" s="3" customFormat="1">
      <c r="C10" s="16">
        <v>1</v>
      </c>
      <c r="D10" s="16">
        <v>2</v>
      </c>
      <c r="E10" s="16">
        <v>3</v>
      </c>
      <c r="F10" s="16">
        <v>4</v>
      </c>
      <c r="G10" s="16">
        <v>5</v>
      </c>
      <c r="H10" s="16">
        <v>6</v>
      </c>
      <c r="I10" s="16">
        <v>7</v>
      </c>
      <c r="J10" s="16">
        <v>8</v>
      </c>
      <c r="K10" s="16">
        <v>9</v>
      </c>
      <c r="L10" s="16">
        <v>10</v>
      </c>
      <c r="O10" s="16">
        <v>1</v>
      </c>
      <c r="P10" s="16">
        <v>2</v>
      </c>
      <c r="Q10" s="16">
        <v>3</v>
      </c>
      <c r="R10" s="16">
        <v>4</v>
      </c>
      <c r="S10" s="16">
        <v>5</v>
      </c>
    </row>
    <row r="11" spans="2:20" s="3" customFormat="1">
      <c r="B11" s="17" t="s">
        <v>62</v>
      </c>
      <c r="C11" s="17"/>
      <c r="D11" s="17"/>
      <c r="E11" s="17"/>
      <c r="F11" s="17"/>
      <c r="G11" s="17"/>
      <c r="H11" s="17"/>
      <c r="I11" s="17"/>
      <c r="J11" s="17"/>
      <c r="K11" s="17"/>
      <c r="L11" s="17"/>
      <c r="N11" s="18" t="s">
        <v>65</v>
      </c>
      <c r="O11" s="18"/>
      <c r="P11" s="18"/>
      <c r="Q11" s="18"/>
      <c r="R11" s="18"/>
      <c r="S11" s="18"/>
      <c r="T11" s="18"/>
    </row>
    <row r="12" spans="2:20" s="3" customFormat="1">
      <c r="B12" s="4"/>
      <c r="C12" s="4" t="str">
        <f t="array" ref="C12:L12">assetnames</f>
        <v>US.CASH</v>
      </c>
      <c r="D12" s="4" t="str">
        <v>US.GOVT.13</v>
      </c>
      <c r="E12" s="4" t="str">
        <v>US.AGCY.13</v>
      </c>
      <c r="F12" s="4" t="str">
        <v>US.CORP.13</v>
      </c>
      <c r="G12" s="4" t="str">
        <v>US.GOVT</v>
      </c>
      <c r="H12" s="4" t="str">
        <v>US.AGCY</v>
      </c>
      <c r="I12" s="4" t="str">
        <v>US.CORP</v>
      </c>
      <c r="J12" s="4" t="str">
        <v>US.EQ</v>
      </c>
      <c r="K12" s="4" t="str">
        <v>GL.EQ</v>
      </c>
      <c r="L12" s="4" t="str">
        <v>GOLD</v>
      </c>
      <c r="N12" s="4"/>
      <c r="O12" s="4" t="s">
        <v>56</v>
      </c>
      <c r="P12" s="4" t="s">
        <v>57</v>
      </c>
      <c r="Q12" s="4" t="s">
        <v>58</v>
      </c>
      <c r="R12" s="19" t="s">
        <v>59</v>
      </c>
      <c r="S12" s="19" t="s">
        <v>60</v>
      </c>
      <c r="T12" s="20"/>
    </row>
    <row r="13" spans="2:20" s="3" customFormat="1">
      <c r="B13" s="4" t="s">
        <v>10</v>
      </c>
      <c r="C13" s="21">
        <f t="shared" ref="C13:L13" si="2">AVERAGE(INDEX(monthlyrets,,C$10))</f>
        <v>8.6096755725190838E-4</v>
      </c>
      <c r="D13" s="21">
        <f t="shared" si="2"/>
        <v>6.5502081040061497E-4</v>
      </c>
      <c r="E13" s="21">
        <f t="shared" si="2"/>
        <v>7.0900397552695039E-4</v>
      </c>
      <c r="F13" s="21">
        <f t="shared" si="2"/>
        <v>1.3719438233681066E-3</v>
      </c>
      <c r="G13" s="21">
        <f t="shared" si="2"/>
        <v>4.2273114629133465E-4</v>
      </c>
      <c r="H13" s="21">
        <f t="shared" si="2"/>
        <v>8.6281790215294988E-4</v>
      </c>
      <c r="I13" s="21">
        <f t="shared" si="2"/>
        <v>1.700253117040959E-3</v>
      </c>
      <c r="J13" s="21">
        <f t="shared" si="2"/>
        <v>9.3912234857883199E-3</v>
      </c>
      <c r="K13" s="21">
        <f t="shared" si="2"/>
        <v>6.8650423482521034E-3</v>
      </c>
      <c r="L13" s="21">
        <f t="shared" si="2"/>
        <v>1.4274734202616335E-3</v>
      </c>
      <c r="N13" s="4" t="s">
        <v>10</v>
      </c>
      <c r="O13" s="21">
        <f>AVERAGE(INDEX(portrets,,O$10))</f>
        <v>6.5502081040061497E-4</v>
      </c>
      <c r="P13" s="21">
        <f>AVERAGE(INDEX(portrets,,P$10))</f>
        <v>1.3719438233681066E-3</v>
      </c>
      <c r="Q13" s="21">
        <f>AVERAGE(INDEX(portrets,,Q$10))</f>
        <v>8.6281790215294988E-4</v>
      </c>
      <c r="R13" s="22">
        <f>AVERAGE(INDEX(portrets,,R$10))</f>
        <v>7.1692301296749172E-4</v>
      </c>
      <c r="S13" s="22">
        <f>AVERAGE(INDEX(portrets,,S$10))</f>
        <v>2.0779709175233497E-4</v>
      </c>
      <c r="T13" s="19" t="s">
        <v>66</v>
      </c>
    </row>
    <row r="14" spans="2:20" s="3" customFormat="1">
      <c r="B14" s="4" t="s">
        <v>63</v>
      </c>
      <c r="C14" s="21">
        <f t="shared" ref="C14:L14" si="3">_xlfn.STDEV.S(INDEX(monthlyrets,,C$10))</f>
        <v>1.1944916315125335E-3</v>
      </c>
      <c r="D14" s="21">
        <f t="shared" si="3"/>
        <v>3.7227186847070123E-3</v>
      </c>
      <c r="E14" s="21">
        <f t="shared" si="3"/>
        <v>3.4205981489248485E-3</v>
      </c>
      <c r="F14" s="21">
        <f t="shared" si="3"/>
        <v>5.2980923707367546E-3</v>
      </c>
      <c r="G14" s="21">
        <f t="shared" si="3"/>
        <v>1.322999585600196E-2</v>
      </c>
      <c r="H14" s="21">
        <f t="shared" si="3"/>
        <v>7.8081246423947611E-3</v>
      </c>
      <c r="I14" s="21">
        <f t="shared" si="3"/>
        <v>1.7663365405730196E-2</v>
      </c>
      <c r="J14" s="21">
        <f t="shared" si="3"/>
        <v>4.1913455563803867E-2</v>
      </c>
      <c r="K14" s="21">
        <f t="shared" si="3"/>
        <v>4.1377826590278874E-2</v>
      </c>
      <c r="L14" s="21">
        <f t="shared" si="3"/>
        <v>4.226109786627915E-2</v>
      </c>
      <c r="N14" s="4" t="s">
        <v>63</v>
      </c>
      <c r="O14" s="21">
        <f>_xlfn.STDEV.S(INDEX(portrets,,O$10))</f>
        <v>3.7227186847070123E-3</v>
      </c>
      <c r="P14" s="21">
        <f>_xlfn.STDEV.S(INDEX(portrets,,P$10))</f>
        <v>5.2980923707367546E-3</v>
      </c>
      <c r="Q14" s="21">
        <f>_xlfn.STDEV.S(INDEX(portrets,,Q$10))</f>
        <v>7.8081246423947611E-3</v>
      </c>
      <c r="R14" s="22">
        <f>_xlfn.STDEV.S(INDEX(portrets,,R$10))</f>
        <v>4.7745229085713395E-3</v>
      </c>
      <c r="S14" s="22">
        <f>_xlfn.STDEV.S(INDEX(portrets,,S$10))</f>
        <v>4.9275941214886303E-3</v>
      </c>
      <c r="T14" s="19" t="s">
        <v>67</v>
      </c>
    </row>
    <row r="15" spans="2:20" s="3" customFormat="1">
      <c r="B15" s="4" t="s">
        <v>64</v>
      </c>
      <c r="C15" s="21">
        <f t="shared" ref="C15:L15" si="4">_xlfn.PERCENTILE.INC(INDEX(monthlyrets,,C$10),(1-confidence))</f>
        <v>3.1666666666666781E-6</v>
      </c>
      <c r="D15" s="21">
        <f t="shared" si="4"/>
        <v>-4.7975296243468182E-3</v>
      </c>
      <c r="E15" s="21">
        <f t="shared" si="4"/>
        <v>-4.5186832481165446E-3</v>
      </c>
      <c r="F15" s="21">
        <f t="shared" si="4"/>
        <v>-6.8039016178194581E-3</v>
      </c>
      <c r="G15" s="21">
        <f t="shared" si="4"/>
        <v>-2.3338391021693546E-2</v>
      </c>
      <c r="H15" s="21">
        <f t="shared" si="4"/>
        <v>-1.2899256847126669E-2</v>
      </c>
      <c r="I15" s="21">
        <f t="shared" si="4"/>
        <v>-2.67016041944797E-2</v>
      </c>
      <c r="J15" s="21">
        <f t="shared" si="4"/>
        <v>-6.7590542730488076E-2</v>
      </c>
      <c r="K15" s="21">
        <f t="shared" si="4"/>
        <v>-7.1125534704335053E-2</v>
      </c>
      <c r="L15" s="21">
        <f t="shared" si="4"/>
        <v>-6.1494389265187743E-2</v>
      </c>
      <c r="N15" s="4" t="s">
        <v>64</v>
      </c>
      <c r="O15" s="21">
        <f>_xlfn.PERCENTILE.INC(INDEX(portrets,,O$10),(1-confidence))</f>
        <v>-4.7975296243468182E-3</v>
      </c>
      <c r="P15" s="21">
        <f>_xlfn.PERCENTILE.INC(INDEX(portrets,,P$10),(1-confidence))</f>
        <v>-6.8039016178194581E-3</v>
      </c>
      <c r="Q15" s="21">
        <f>_xlfn.PERCENTILE.INC(INDEX(portrets,,Q$10),(1-confidence))</f>
        <v>-1.2899256847126669E-2</v>
      </c>
      <c r="R15" s="22">
        <f>_xlfn.PERCENTILE.INC(INDEX(portrets,,R$10),(1-confidence))</f>
        <v>-2.8619702162101515E-3</v>
      </c>
      <c r="S15" s="22">
        <f>_xlfn.PERCENTILE.INC(INDEX(portrets,,S$10),(1-confidence))</f>
        <v>-9.2417518223733494E-3</v>
      </c>
      <c r="T15" s="19" t="s">
        <v>68</v>
      </c>
    </row>
    <row r="16" spans="2:20" s="3" customFormat="1">
      <c r="T16" s="23"/>
    </row>
    <row r="17" spans="2:22" s="3" customFormat="1">
      <c r="N17" s="4" t="s">
        <v>32</v>
      </c>
      <c r="O17" s="21">
        <f t="array" ref="O17">SQRT(MMULT(MMULT(INDEX(portwts,O$10,),covmtx),TRANSPOSE(INDEX(portwts,O$10,))))</f>
        <v>3.7227186847070123E-3</v>
      </c>
      <c r="P17" s="21">
        <f t="array" ref="P17">SQRT(MMULT(MMULT(INDEX(portwts,P$10,),covmtx),TRANSPOSE(INDEX(portwts,P$10,))))</f>
        <v>5.2980923707367546E-3</v>
      </c>
      <c r="Q17" s="21">
        <f t="array" ref="Q17">SQRT(MMULT(MMULT(INDEX(portwts,Q$10,),covmtx),TRANSPOSE(INDEX(portwts,Q$10,))))</f>
        <v>7.8081246423947655E-3</v>
      </c>
      <c r="R17" s="22">
        <f t="array" ref="R17">SQRT(MMULT(MMULT(INDEX(portwts,R$10,),covmtx),TRANSPOSE(INDEX(portwts,R$10,))))</f>
        <v>4.7745229085713395E-3</v>
      </c>
      <c r="S17" s="22">
        <f t="array" ref="S17">SQRT(MMULT(MMULT(INDEX(portwts,S$10,),covmtx),TRANSPOSE(INDEX(portwts,S$10,))))</f>
        <v>4.9275941214886355E-3</v>
      </c>
      <c r="T17" s="19" t="s">
        <v>69</v>
      </c>
    </row>
    <row r="19" spans="2:22" s="3" customFormat="1">
      <c r="O19" s="24">
        <v>1</v>
      </c>
      <c r="P19" s="24">
        <v>2</v>
      </c>
      <c r="Q19" s="24">
        <v>3</v>
      </c>
      <c r="R19" s="24">
        <v>4</v>
      </c>
      <c r="S19" s="24">
        <v>5</v>
      </c>
    </row>
    <row r="20" spans="2:22" s="3" customFormat="1">
      <c r="B20" s="2" t="s">
        <v>71</v>
      </c>
      <c r="C20" s="2"/>
      <c r="D20" s="2"/>
      <c r="E20" s="2"/>
      <c r="F20" s="2"/>
      <c r="G20" s="2"/>
      <c r="H20" s="2"/>
      <c r="I20" s="2"/>
      <c r="J20" s="2"/>
      <c r="K20" s="2"/>
      <c r="L20" s="2"/>
      <c r="O20" s="25" t="s">
        <v>70</v>
      </c>
      <c r="P20" s="25"/>
      <c r="Q20" s="25"/>
      <c r="R20" s="25"/>
      <c r="S20" s="25"/>
      <c r="T20" s="26"/>
      <c r="U20" s="27" t="s">
        <v>72</v>
      </c>
      <c r="V20" s="27"/>
    </row>
    <row r="21" spans="2:22" s="3" customFormat="1">
      <c r="B21" s="4"/>
      <c r="C21" s="4" t="str">
        <f t="array" ref="C21:L21">assetnames</f>
        <v>US.CASH</v>
      </c>
      <c r="D21" s="4" t="str">
        <v>US.GOVT.13</v>
      </c>
      <c r="E21" s="4" t="str">
        <v>US.AGCY.13</v>
      </c>
      <c r="F21" s="4" t="str">
        <v>US.CORP.13</v>
      </c>
      <c r="G21" s="4" t="str">
        <v>US.GOVT</v>
      </c>
      <c r="H21" s="4" t="str">
        <v>US.AGCY</v>
      </c>
      <c r="I21" s="4" t="str">
        <v>US.CORP</v>
      </c>
      <c r="J21" s="4" t="str">
        <v>US.EQ</v>
      </c>
      <c r="K21" s="4" t="str">
        <v>GL.EQ</v>
      </c>
      <c r="L21" s="4" t="str">
        <v>GOLD</v>
      </c>
      <c r="O21" s="4" t="s">
        <v>56</v>
      </c>
      <c r="P21" s="4" t="s">
        <v>57</v>
      </c>
      <c r="Q21" s="4" t="s">
        <v>58</v>
      </c>
      <c r="R21" s="19" t="s">
        <v>59</v>
      </c>
      <c r="S21" s="19" t="s">
        <v>60</v>
      </c>
      <c r="U21" s="19" t="s">
        <v>59</v>
      </c>
      <c r="V21" s="19" t="s">
        <v>60</v>
      </c>
    </row>
    <row r="22" spans="2:22" s="3" customFormat="1">
      <c r="B22" s="28">
        <f>Univariate!N14</f>
        <v>41243</v>
      </c>
      <c r="C22" s="21">
        <f t="array" ref="C22:L152">monthlyrets</f>
        <v>8.8750000000000002E-5</v>
      </c>
      <c r="D22" s="21">
        <v>8.9025510352636061E-4</v>
      </c>
      <c r="E22" s="21">
        <v>7.4010668307344929E-4</v>
      </c>
      <c r="F22" s="21">
        <v>8.6192379333893676E-4</v>
      </c>
      <c r="G22" s="21">
        <v>5.7531373731054547E-3</v>
      </c>
      <c r="H22" s="21">
        <v>3.7147171217664088E-3</v>
      </c>
      <c r="I22" s="21">
        <v>-8.2135255640869431E-4</v>
      </c>
      <c r="J22" s="21">
        <v>2.8467029231815655E-3</v>
      </c>
      <c r="K22" s="21">
        <v>1.0733603786342139E-2</v>
      </c>
      <c r="L22" s="21">
        <v>-3.2952663237730828E-3</v>
      </c>
      <c r="O22" s="21">
        <f t="shared" ref="O22:S31" si="5">SUMPRODUCT(INDEX(portwts,O$19,),$C22:$L22)</f>
        <v>8.9025510352636061E-4</v>
      </c>
      <c r="P22" s="21">
        <f t="shared" si="5"/>
        <v>8.6192379333893676E-4</v>
      </c>
      <c r="Q22" s="21">
        <f t="shared" si="5"/>
        <v>3.7147171217664088E-3</v>
      </c>
      <c r="R22" s="22">
        <f t="shared" si="5"/>
        <v>-2.8331310187423853E-5</v>
      </c>
      <c r="S22" s="22">
        <f t="shared" si="5"/>
        <v>2.8244620182400482E-3</v>
      </c>
      <c r="U22" s="22">
        <f>P22-$O22</f>
        <v>-2.8331310187423853E-5</v>
      </c>
      <c r="V22" s="22">
        <f>Q22-$O22</f>
        <v>2.8244620182400482E-3</v>
      </c>
    </row>
    <row r="23" spans="2:22" s="3" customFormat="1">
      <c r="B23" s="28">
        <f>Univariate!N15</f>
        <v>41274</v>
      </c>
      <c r="C23" s="21">
        <v>6.3416666666666672E-5</v>
      </c>
      <c r="D23" s="21">
        <v>3.3762579425800077E-4</v>
      </c>
      <c r="E23" s="21">
        <v>5.5201947805216811E-4</v>
      </c>
      <c r="F23" s="21">
        <v>1.9529105173961003E-3</v>
      </c>
      <c r="G23" s="21">
        <v>-4.9419567051486313E-3</v>
      </c>
      <c r="H23" s="21">
        <v>-1.6410959913608636E-3</v>
      </c>
      <c r="I23" s="21">
        <v>-1.9428262162357601E-4</v>
      </c>
      <c r="J23" s="21">
        <v>7.0683105254980561E-3</v>
      </c>
      <c r="K23" s="21">
        <v>1.7491581083854735E-2</v>
      </c>
      <c r="L23" s="21">
        <v>-2.3108141202812904E-2</v>
      </c>
      <c r="O23" s="21">
        <f t="shared" si="5"/>
        <v>3.3762579425800077E-4</v>
      </c>
      <c r="P23" s="21">
        <f t="shared" si="5"/>
        <v>1.9529105173961003E-3</v>
      </c>
      <c r="Q23" s="21">
        <f t="shared" si="5"/>
        <v>-1.6410959913608636E-3</v>
      </c>
      <c r="R23" s="22">
        <f t="shared" si="5"/>
        <v>1.6152847231380996E-3</v>
      </c>
      <c r="S23" s="22">
        <f t="shared" si="5"/>
        <v>-1.9787217856188644E-3</v>
      </c>
      <c r="U23" s="22">
        <f t="shared" ref="U23:U86" si="6">P23-$O23</f>
        <v>1.6152847231380996E-3</v>
      </c>
      <c r="V23" s="22">
        <f t="shared" ref="V23:V86" si="7">Q23-$O23</f>
        <v>-1.9787217856188644E-3</v>
      </c>
    </row>
    <row r="24" spans="2:22" s="3" customFormat="1">
      <c r="B24" s="28">
        <f>Univariate!N16</f>
        <v>41305</v>
      </c>
      <c r="C24" s="21">
        <v>3.3833333333333334E-5</v>
      </c>
      <c r="D24" s="21">
        <v>1.1015399528546688E-4</v>
      </c>
      <c r="E24" s="21">
        <v>2.6974540434498984E-4</v>
      </c>
      <c r="F24" s="21">
        <v>2.0272989942340391E-3</v>
      </c>
      <c r="G24" s="21">
        <v>-9.5016863564771903E-3</v>
      </c>
      <c r="H24" s="21">
        <v>-4.3280887137527868E-3</v>
      </c>
      <c r="I24" s="21">
        <v>-7.1759738369659987E-3</v>
      </c>
      <c r="J24" s="21">
        <v>5.0428063581991145E-2</v>
      </c>
      <c r="K24" s="21">
        <v>5.0033619723571121E-2</v>
      </c>
      <c r="L24" s="21">
        <v>-6.9537708538514043E-3</v>
      </c>
      <c r="O24" s="21">
        <f t="shared" si="5"/>
        <v>1.1015399528546688E-4</v>
      </c>
      <c r="P24" s="21">
        <f t="shared" si="5"/>
        <v>2.0272989942340391E-3</v>
      </c>
      <c r="Q24" s="21">
        <f t="shared" si="5"/>
        <v>-4.3280887137527868E-3</v>
      </c>
      <c r="R24" s="22">
        <f t="shared" si="5"/>
        <v>1.9171449989485723E-3</v>
      </c>
      <c r="S24" s="22">
        <f t="shared" si="5"/>
        <v>-4.4382427090382537E-3</v>
      </c>
      <c r="U24" s="22">
        <f t="shared" si="6"/>
        <v>1.9171449989485723E-3</v>
      </c>
      <c r="V24" s="22">
        <f t="shared" si="7"/>
        <v>-4.4382427090382537E-3</v>
      </c>
    </row>
    <row r="25" spans="2:22" s="3" customFormat="1">
      <c r="B25" s="28">
        <f>Univariate!N17</f>
        <v>41333</v>
      </c>
      <c r="C25" s="21">
        <v>5.9166666666666664E-5</v>
      </c>
      <c r="D25" s="21">
        <v>8.3091021235359719E-4</v>
      </c>
      <c r="E25" s="21">
        <v>2.998173395447612E-4</v>
      </c>
      <c r="F25" s="21">
        <v>2.2266045016940961E-3</v>
      </c>
      <c r="G25" s="21">
        <v>5.9378731064057E-3</v>
      </c>
      <c r="H25" s="21">
        <v>4.0838642808365133E-3</v>
      </c>
      <c r="I25" s="21">
        <v>7.0715896685218382E-3</v>
      </c>
      <c r="J25" s="21">
        <v>1.1060603026480154E-2</v>
      </c>
      <c r="K25" s="21">
        <v>-2.0633667029534841E-4</v>
      </c>
      <c r="L25" s="21">
        <v>-5.0543968263509154E-2</v>
      </c>
      <c r="O25" s="21">
        <f t="shared" si="5"/>
        <v>8.3091021235359719E-4</v>
      </c>
      <c r="P25" s="21">
        <f t="shared" si="5"/>
        <v>2.2266045016940961E-3</v>
      </c>
      <c r="Q25" s="21">
        <f t="shared" si="5"/>
        <v>4.0838642808365133E-3</v>
      </c>
      <c r="R25" s="22">
        <f t="shared" si="5"/>
        <v>1.3956942893404989E-3</v>
      </c>
      <c r="S25" s="22">
        <f t="shared" si="5"/>
        <v>3.2529540684829161E-3</v>
      </c>
      <c r="U25" s="22">
        <f t="shared" si="6"/>
        <v>1.3956942893404989E-3</v>
      </c>
      <c r="V25" s="22">
        <f t="shared" si="7"/>
        <v>3.2529540684829161E-3</v>
      </c>
    </row>
    <row r="26" spans="2:22" s="3" customFormat="1">
      <c r="B26" s="28">
        <f>Univariate!N18</f>
        <v>41362</v>
      </c>
      <c r="C26" s="21">
        <v>8.4500000000000008E-5</v>
      </c>
      <c r="D26" s="21">
        <v>2.3418729525115367E-4</v>
      </c>
      <c r="E26" s="21">
        <v>4.8135581072217271E-4</v>
      </c>
      <c r="F26" s="21">
        <v>1.2732568826077095E-3</v>
      </c>
      <c r="G26" s="21">
        <v>1.0737913451743797E-3</v>
      </c>
      <c r="H26" s="21">
        <v>7.7880569401389543E-4</v>
      </c>
      <c r="I26" s="21">
        <v>6.6103676205497841E-4</v>
      </c>
      <c r="J26" s="21">
        <v>3.5987799403174314E-2</v>
      </c>
      <c r="K26" s="21">
        <v>2.0872770748231462E-2</v>
      </c>
      <c r="L26" s="21">
        <v>1.1325580364773602E-2</v>
      </c>
      <c r="O26" s="21">
        <f t="shared" si="5"/>
        <v>2.3418729525115367E-4</v>
      </c>
      <c r="P26" s="21">
        <f t="shared" si="5"/>
        <v>1.2732568826077095E-3</v>
      </c>
      <c r="Q26" s="21">
        <f t="shared" si="5"/>
        <v>7.7880569401389543E-4</v>
      </c>
      <c r="R26" s="22">
        <f t="shared" si="5"/>
        <v>1.0390695873565559E-3</v>
      </c>
      <c r="S26" s="22">
        <f t="shared" si="5"/>
        <v>5.4461839876274176E-4</v>
      </c>
      <c r="U26" s="22">
        <f t="shared" si="6"/>
        <v>1.0390695873565559E-3</v>
      </c>
      <c r="V26" s="22">
        <f t="shared" si="7"/>
        <v>5.4461839876274176E-4</v>
      </c>
    </row>
    <row r="27" spans="2:22" s="3" customFormat="1">
      <c r="B27" s="28">
        <f>Univariate!N19</f>
        <v>41394</v>
      </c>
      <c r="C27" s="21">
        <v>5.9166666666666664E-5</v>
      </c>
      <c r="D27" s="21">
        <v>1.0131070170205092E-3</v>
      </c>
      <c r="E27" s="21">
        <v>9.6550477745749319E-4</v>
      </c>
      <c r="F27" s="21">
        <v>3.0608544003447591E-3</v>
      </c>
      <c r="G27" s="21">
        <v>1.0531370167573773E-2</v>
      </c>
      <c r="H27" s="21">
        <v>4.8167506583127739E-3</v>
      </c>
      <c r="I27" s="21">
        <v>1.699892524977531E-2</v>
      </c>
      <c r="J27" s="21">
        <v>1.8085763992887971E-2</v>
      </c>
      <c r="K27" s="21">
        <v>2.9020362353695761E-2</v>
      </c>
      <c r="L27" s="21">
        <v>-7.5611893583724554E-2</v>
      </c>
      <c r="O27" s="21">
        <f t="shared" si="5"/>
        <v>1.0131070170205092E-3</v>
      </c>
      <c r="P27" s="21">
        <f t="shared" si="5"/>
        <v>3.0608544003447591E-3</v>
      </c>
      <c r="Q27" s="21">
        <f t="shared" si="5"/>
        <v>4.8167506583127739E-3</v>
      </c>
      <c r="R27" s="22">
        <f t="shared" si="5"/>
        <v>2.0477473833242499E-3</v>
      </c>
      <c r="S27" s="22">
        <f t="shared" si="5"/>
        <v>3.8036436412922647E-3</v>
      </c>
      <c r="U27" s="22">
        <f t="shared" si="6"/>
        <v>2.0477473833242499E-3</v>
      </c>
      <c r="V27" s="22">
        <f t="shared" si="7"/>
        <v>3.8036436412922647E-3</v>
      </c>
    </row>
    <row r="28" spans="2:22" s="3" customFormat="1">
      <c r="B28" s="28">
        <f>Univariate!N20</f>
        <v>41425</v>
      </c>
      <c r="C28" s="21">
        <v>3.8000000000000002E-5</v>
      </c>
      <c r="D28" s="21">
        <v>-1.4332694370678967E-3</v>
      </c>
      <c r="E28" s="21">
        <v>-1.2679342756223289E-3</v>
      </c>
      <c r="F28" s="21">
        <v>-1.2016687372311541E-3</v>
      </c>
      <c r="G28" s="21">
        <v>-2.0148458119876533E-2</v>
      </c>
      <c r="H28" s="21">
        <v>-1.1394651714774939E-2</v>
      </c>
      <c r="I28" s="21">
        <v>-2.2811171118688689E-2</v>
      </c>
      <c r="J28" s="21">
        <v>2.0762783477406455E-2</v>
      </c>
      <c r="K28" s="21">
        <v>-2.8520330049995879E-3</v>
      </c>
      <c r="L28" s="21">
        <v>-6.0208165448869533E-2</v>
      </c>
      <c r="O28" s="21">
        <f t="shared" si="5"/>
        <v>-1.4332694370678967E-3</v>
      </c>
      <c r="P28" s="21">
        <f t="shared" si="5"/>
        <v>-1.2016687372311541E-3</v>
      </c>
      <c r="Q28" s="21">
        <f t="shared" si="5"/>
        <v>-1.1394651714774939E-2</v>
      </c>
      <c r="R28" s="22">
        <f t="shared" si="5"/>
        <v>2.3160069983674259E-4</v>
      </c>
      <c r="S28" s="22">
        <f t="shared" si="5"/>
        <v>-9.9613822777070427E-3</v>
      </c>
      <c r="U28" s="22">
        <f t="shared" si="6"/>
        <v>2.3160069983674259E-4</v>
      </c>
      <c r="V28" s="22">
        <f t="shared" si="7"/>
        <v>-9.9613822777070427E-3</v>
      </c>
    </row>
    <row r="29" spans="2:22" s="3" customFormat="1">
      <c r="B29" s="28">
        <f>Univariate!N21</f>
        <v>41453</v>
      </c>
      <c r="C29" s="21">
        <v>2.1083333333333332E-5</v>
      </c>
      <c r="D29" s="21">
        <v>-7.0885763849148908E-4</v>
      </c>
      <c r="E29" s="21">
        <v>-1.0936482084691335E-3</v>
      </c>
      <c r="F29" s="21">
        <v>-4.1132390946674313E-3</v>
      </c>
      <c r="G29" s="21">
        <v>-1.2550513797482843E-2</v>
      </c>
      <c r="H29" s="21">
        <v>-1.3296303543348209E-2</v>
      </c>
      <c r="I29" s="21">
        <v>-2.759722730309111E-2</v>
      </c>
      <c r="J29" s="21">
        <v>-1.499932545960736E-2</v>
      </c>
      <c r="K29" s="21">
        <v>-2.6074609526268278E-2</v>
      </c>
      <c r="L29" s="21">
        <v>-0.11044098573281447</v>
      </c>
      <c r="O29" s="21">
        <f t="shared" si="5"/>
        <v>-7.0885763849148908E-4</v>
      </c>
      <c r="P29" s="21">
        <f t="shared" si="5"/>
        <v>-4.1132390946674313E-3</v>
      </c>
      <c r="Q29" s="21">
        <f t="shared" si="5"/>
        <v>-1.3296303543348209E-2</v>
      </c>
      <c r="R29" s="22">
        <f t="shared" si="5"/>
        <v>-3.4043814561759422E-3</v>
      </c>
      <c r="S29" s="22">
        <f t="shared" si="5"/>
        <v>-1.258744590485672E-2</v>
      </c>
      <c r="U29" s="22">
        <f t="shared" si="6"/>
        <v>-3.4043814561759422E-3</v>
      </c>
      <c r="V29" s="22">
        <f t="shared" si="7"/>
        <v>-1.258744590485672E-2</v>
      </c>
    </row>
    <row r="30" spans="2:22" s="3" customFormat="1">
      <c r="B30" s="28">
        <f>Univariate!N22</f>
        <v>41486</v>
      </c>
      <c r="C30" s="21">
        <v>2.5333333333333334E-5</v>
      </c>
      <c r="D30" s="21">
        <v>1.5896724164516929E-3</v>
      </c>
      <c r="E30" s="21">
        <v>1.6320780788763312E-3</v>
      </c>
      <c r="F30" s="21">
        <v>4.1877250782442754E-3</v>
      </c>
      <c r="G30" s="21">
        <v>-1.9451251847627526E-3</v>
      </c>
      <c r="H30" s="21">
        <v>1.4120337701157837E-3</v>
      </c>
      <c r="I30" s="21">
        <v>7.3868715089695502E-3</v>
      </c>
      <c r="J30" s="21">
        <v>4.9462111213487203E-2</v>
      </c>
      <c r="K30" s="21">
        <v>5.1871228767744526E-2</v>
      </c>
      <c r="L30" s="21">
        <v>7.333965152730193E-2</v>
      </c>
      <c r="O30" s="21">
        <f t="shared" si="5"/>
        <v>1.5896724164516929E-3</v>
      </c>
      <c r="P30" s="21">
        <f t="shared" si="5"/>
        <v>4.1877250782442754E-3</v>
      </c>
      <c r="Q30" s="21">
        <f t="shared" si="5"/>
        <v>1.4120337701157837E-3</v>
      </c>
      <c r="R30" s="22">
        <f t="shared" si="5"/>
        <v>2.5980526617925825E-3</v>
      </c>
      <c r="S30" s="22">
        <f t="shared" si="5"/>
        <v>-1.776386463359092E-4</v>
      </c>
      <c r="U30" s="22">
        <f t="shared" si="6"/>
        <v>2.5980526617925825E-3</v>
      </c>
      <c r="V30" s="22">
        <f t="shared" si="7"/>
        <v>-1.776386463359092E-4</v>
      </c>
    </row>
    <row r="31" spans="2:22" s="3" customFormat="1">
      <c r="B31" s="28">
        <f>Univariate!N23</f>
        <v>41516</v>
      </c>
      <c r="C31" s="21">
        <v>2.9583333333333332E-5</v>
      </c>
      <c r="D31" s="21">
        <v>-9.1058735963966964E-4</v>
      </c>
      <c r="E31" s="21">
        <v>-6.2995509738672517E-4</v>
      </c>
      <c r="F31" s="21">
        <v>1.6922798954599472E-4</v>
      </c>
      <c r="G31" s="21">
        <v>-5.3898417918450958E-3</v>
      </c>
      <c r="H31" s="21">
        <v>-4.2185645750429934E-3</v>
      </c>
      <c r="I31" s="21">
        <v>-6.6851475720129949E-3</v>
      </c>
      <c r="J31" s="21">
        <v>-3.1298013323604601E-2</v>
      </c>
      <c r="K31" s="21">
        <v>-2.33236731635178E-2</v>
      </c>
      <c r="L31" s="21">
        <v>5.2978333220131901E-2</v>
      </c>
      <c r="O31" s="21">
        <f t="shared" si="5"/>
        <v>-9.1058735963966964E-4</v>
      </c>
      <c r="P31" s="21">
        <f t="shared" si="5"/>
        <v>1.6922798954599472E-4</v>
      </c>
      <c r="Q31" s="21">
        <f t="shared" si="5"/>
        <v>-4.2185645750429934E-3</v>
      </c>
      <c r="R31" s="22">
        <f t="shared" si="5"/>
        <v>1.0798153491856644E-3</v>
      </c>
      <c r="S31" s="22">
        <f t="shared" si="5"/>
        <v>-3.3079772154033238E-3</v>
      </c>
      <c r="U31" s="22">
        <f t="shared" si="6"/>
        <v>1.0798153491856644E-3</v>
      </c>
      <c r="V31" s="22">
        <f t="shared" si="7"/>
        <v>-3.3079772154033238E-3</v>
      </c>
    </row>
    <row r="32" spans="2:22" s="3" customFormat="1">
      <c r="B32" s="28">
        <f>Univariate!N24</f>
        <v>41547</v>
      </c>
      <c r="C32" s="21">
        <v>1.6916666666666667E-5</v>
      </c>
      <c r="D32" s="21">
        <v>2.2604909853345401E-3</v>
      </c>
      <c r="E32" s="21">
        <v>2.0409077397314235E-3</v>
      </c>
      <c r="F32" s="21">
        <v>4.0480627945882475E-3</v>
      </c>
      <c r="G32" s="21">
        <v>7.6369728708005624E-3</v>
      </c>
      <c r="H32" s="21">
        <v>6.3216309372344792E-3</v>
      </c>
      <c r="I32" s="21">
        <v>8.2365093403367062E-3</v>
      </c>
      <c r="J32" s="21">
        <v>2.9749474883188354E-2</v>
      </c>
      <c r="K32" s="21">
        <v>4.816192946480724E-2</v>
      </c>
      <c r="L32" s="21">
        <v>-4.7474682319551098E-2</v>
      </c>
      <c r="O32" s="21">
        <f t="shared" ref="O32:S41" si="8">SUMPRODUCT(INDEX(portwts,O$19,),$C32:$L32)</f>
        <v>2.2604909853345401E-3</v>
      </c>
      <c r="P32" s="21">
        <f t="shared" si="8"/>
        <v>4.0480627945882475E-3</v>
      </c>
      <c r="Q32" s="21">
        <f t="shared" si="8"/>
        <v>6.3216309372344792E-3</v>
      </c>
      <c r="R32" s="22">
        <f t="shared" si="8"/>
        <v>1.7875718092537074E-3</v>
      </c>
      <c r="S32" s="22">
        <f t="shared" si="8"/>
        <v>4.0611399518999391E-3</v>
      </c>
      <c r="U32" s="22">
        <f t="shared" si="6"/>
        <v>1.7875718092537074E-3</v>
      </c>
      <c r="V32" s="22">
        <f t="shared" si="7"/>
        <v>4.0611399518999391E-3</v>
      </c>
    </row>
    <row r="33" spans="2:22" s="3" customFormat="1">
      <c r="B33" s="28">
        <f>Univariate!N25</f>
        <v>41578</v>
      </c>
      <c r="C33" s="21">
        <v>4.25E-6</v>
      </c>
      <c r="D33" s="21">
        <v>1.0262168533272664E-3</v>
      </c>
      <c r="E33" s="21">
        <v>1.6937705168518224E-3</v>
      </c>
      <c r="F33" s="21">
        <v>3.8961680711877555E-3</v>
      </c>
      <c r="G33" s="21">
        <v>5.4804354642623565E-3</v>
      </c>
      <c r="H33" s="21">
        <v>4.7594010612186377E-3</v>
      </c>
      <c r="I33" s="21">
        <v>1.4968260558051671E-2</v>
      </c>
      <c r="J33" s="21">
        <v>4.4595759864410889E-2</v>
      </c>
      <c r="K33" s="21">
        <v>3.8343687446150909E-2</v>
      </c>
      <c r="L33" s="21">
        <v>-4.4919979232974638E-3</v>
      </c>
      <c r="O33" s="21">
        <f t="shared" si="8"/>
        <v>1.0262168533272664E-3</v>
      </c>
      <c r="P33" s="21">
        <f t="shared" si="8"/>
        <v>3.8961680711877555E-3</v>
      </c>
      <c r="Q33" s="21">
        <f t="shared" si="8"/>
        <v>4.7594010612186377E-3</v>
      </c>
      <c r="R33" s="22">
        <f t="shared" si="8"/>
        <v>2.8699512178604891E-3</v>
      </c>
      <c r="S33" s="22">
        <f t="shared" si="8"/>
        <v>3.7331842078913713E-3</v>
      </c>
      <c r="U33" s="22">
        <f t="shared" si="6"/>
        <v>2.8699512178604891E-3</v>
      </c>
      <c r="V33" s="22">
        <f t="shared" si="7"/>
        <v>3.7331842078913713E-3</v>
      </c>
    </row>
    <row r="34" spans="2:22" s="3" customFormat="1">
      <c r="B34" s="28">
        <f>Univariate!N26</f>
        <v>41607</v>
      </c>
      <c r="C34" s="21">
        <v>2.9583333333333332E-5</v>
      </c>
      <c r="D34" s="21">
        <v>9.3212759439986748E-4</v>
      </c>
      <c r="E34" s="21">
        <v>8.90078906265801E-4</v>
      </c>
      <c r="F34" s="21">
        <v>2.3709094397157404E-3</v>
      </c>
      <c r="G34" s="21">
        <v>-4.2729139111795655E-3</v>
      </c>
      <c r="H34" s="21">
        <v>-3.2086298504496735E-4</v>
      </c>
      <c r="I34" s="21">
        <v>-2.8776747035942352E-3</v>
      </c>
      <c r="J34" s="21">
        <v>2.804946087194149E-2</v>
      </c>
      <c r="K34" s="21">
        <v>1.5946495639045377E-2</v>
      </c>
      <c r="L34" s="21">
        <v>-5.2688464619896291E-2</v>
      </c>
      <c r="O34" s="21">
        <f t="shared" si="8"/>
        <v>9.3212759439986748E-4</v>
      </c>
      <c r="P34" s="21">
        <f t="shared" si="8"/>
        <v>2.3709094397157404E-3</v>
      </c>
      <c r="Q34" s="21">
        <f t="shared" si="8"/>
        <v>-3.2086298504496735E-4</v>
      </c>
      <c r="R34" s="22">
        <f t="shared" si="8"/>
        <v>1.4387818453158729E-3</v>
      </c>
      <c r="S34" s="22">
        <f t="shared" si="8"/>
        <v>-1.2529905794448348E-3</v>
      </c>
      <c r="U34" s="22">
        <f t="shared" si="6"/>
        <v>1.4387818453158729E-3</v>
      </c>
      <c r="V34" s="22">
        <f t="shared" si="7"/>
        <v>-1.2529905794448348E-3</v>
      </c>
    </row>
    <row r="35" spans="2:22" s="3" customFormat="1">
      <c r="B35" s="28">
        <f>Univariate!N27</f>
        <v>41639</v>
      </c>
      <c r="C35" s="21">
        <v>4.6499999999999999E-5</v>
      </c>
      <c r="D35" s="21">
        <v>-1.3626905157968494E-3</v>
      </c>
      <c r="E35" s="21">
        <v>-1.0449329264931029E-3</v>
      </c>
      <c r="F35" s="21">
        <v>-2.9149177684706373E-4</v>
      </c>
      <c r="G35" s="21">
        <v>-1.0392957075136766E-2</v>
      </c>
      <c r="H35" s="21">
        <v>-6.3905976357661043E-3</v>
      </c>
      <c r="I35" s="21">
        <v>-1.7959320051789129E-3</v>
      </c>
      <c r="J35" s="21">
        <v>2.3562833299184183E-2</v>
      </c>
      <c r="K35" s="21">
        <v>2.0050109922501447E-2</v>
      </c>
      <c r="L35" s="21">
        <v>-4.125743008736571E-2</v>
      </c>
      <c r="O35" s="21">
        <f t="shared" si="8"/>
        <v>-1.3626905157968494E-3</v>
      </c>
      <c r="P35" s="21">
        <f t="shared" si="8"/>
        <v>-2.9149177684706373E-4</v>
      </c>
      <c r="Q35" s="21">
        <f t="shared" si="8"/>
        <v>-6.3905976357661043E-3</v>
      </c>
      <c r="R35" s="22">
        <f t="shared" si="8"/>
        <v>1.0711987389497857E-3</v>
      </c>
      <c r="S35" s="22">
        <f t="shared" si="8"/>
        <v>-5.0279071199692549E-3</v>
      </c>
      <c r="U35" s="22">
        <f t="shared" si="6"/>
        <v>1.0711987389497857E-3</v>
      </c>
      <c r="V35" s="22">
        <f t="shared" si="7"/>
        <v>-5.0279071199692549E-3</v>
      </c>
    </row>
    <row r="36" spans="2:22" s="3" customFormat="1">
      <c r="B36" s="28">
        <f>Univariate!N28</f>
        <v>41670</v>
      </c>
      <c r="C36" s="21">
        <v>5.4916666666666669E-5</v>
      </c>
      <c r="D36" s="21">
        <v>1.5814379055123506E-3</v>
      </c>
      <c r="E36" s="21">
        <v>1.679808939992089E-3</v>
      </c>
      <c r="F36" s="21">
        <v>2.9655183705961097E-3</v>
      </c>
      <c r="G36" s="21">
        <v>1.5969001717037301E-2</v>
      </c>
      <c r="H36" s="21">
        <v>1.085078383634297E-2</v>
      </c>
      <c r="I36" s="21">
        <v>1.7841252744521308E-2</v>
      </c>
      <c r="J36" s="21">
        <v>-3.5582895107013734E-2</v>
      </c>
      <c r="K36" s="21">
        <v>-3.7692571655619567E-2</v>
      </c>
      <c r="L36" s="21">
        <v>3.5709530308578152E-2</v>
      </c>
      <c r="O36" s="21">
        <f t="shared" si="8"/>
        <v>1.5814379055123506E-3</v>
      </c>
      <c r="P36" s="21">
        <f t="shared" si="8"/>
        <v>2.9655183705961097E-3</v>
      </c>
      <c r="Q36" s="21">
        <f t="shared" si="8"/>
        <v>1.085078383634297E-2</v>
      </c>
      <c r="R36" s="22">
        <f t="shared" si="8"/>
        <v>1.384080465083759E-3</v>
      </c>
      <c r="S36" s="22">
        <f t="shared" si="8"/>
        <v>9.2693459308306192E-3</v>
      </c>
      <c r="U36" s="22">
        <f t="shared" si="6"/>
        <v>1.384080465083759E-3</v>
      </c>
      <c r="V36" s="22">
        <f t="shared" si="7"/>
        <v>9.2693459308306192E-3</v>
      </c>
    </row>
    <row r="37" spans="2:22" s="3" customFormat="1">
      <c r="B37" s="28">
        <f>Univariate!N29</f>
        <v>41698</v>
      </c>
      <c r="C37" s="21">
        <v>1.6916666666666667E-5</v>
      </c>
      <c r="D37" s="21">
        <v>9.038801092022819E-4</v>
      </c>
      <c r="E37" s="21">
        <v>8.8386385418104396E-4</v>
      </c>
      <c r="F37" s="21">
        <v>2.6635238508452286E-3</v>
      </c>
      <c r="G37" s="21">
        <v>3.1205105942291311E-3</v>
      </c>
      <c r="H37" s="21">
        <v>2.7924214282957216E-3</v>
      </c>
      <c r="I37" s="21">
        <v>1.0973285355480922E-2</v>
      </c>
      <c r="J37" s="21">
        <v>4.3117037568930705E-2</v>
      </c>
      <c r="K37" s="21">
        <v>4.8133828810229984E-2</v>
      </c>
      <c r="L37" s="21">
        <v>6.5758707966734997E-2</v>
      </c>
      <c r="O37" s="21">
        <f t="shared" si="8"/>
        <v>9.038801092022819E-4</v>
      </c>
      <c r="P37" s="21">
        <f t="shared" si="8"/>
        <v>2.6635238508452286E-3</v>
      </c>
      <c r="Q37" s="21">
        <f t="shared" si="8"/>
        <v>2.7924214282957216E-3</v>
      </c>
      <c r="R37" s="22">
        <f t="shared" si="8"/>
        <v>1.7596437416429467E-3</v>
      </c>
      <c r="S37" s="22">
        <f t="shared" si="8"/>
        <v>1.8885413190934397E-3</v>
      </c>
      <c r="U37" s="22">
        <f t="shared" si="6"/>
        <v>1.7596437416429467E-3</v>
      </c>
      <c r="V37" s="22">
        <f t="shared" si="7"/>
        <v>1.8885413190934397E-3</v>
      </c>
    </row>
    <row r="38" spans="2:22" s="3" customFormat="1">
      <c r="B38" s="28">
        <f>Univariate!N30</f>
        <v>41729</v>
      </c>
      <c r="C38" s="21">
        <v>3.8000000000000002E-5</v>
      </c>
      <c r="D38" s="21">
        <v>-1.107151021881192E-3</v>
      </c>
      <c r="E38" s="21">
        <v>-8.6527596556373876E-4</v>
      </c>
      <c r="F38" s="21">
        <v>-2.8994238099677716E-4</v>
      </c>
      <c r="G38" s="21">
        <v>-2.817973742041735E-3</v>
      </c>
      <c r="H38" s="21">
        <v>-1.3003567426064233E-3</v>
      </c>
      <c r="I38" s="21">
        <v>7.1137327652026627E-4</v>
      </c>
      <c r="J38" s="21">
        <v>6.9321573583585039E-3</v>
      </c>
      <c r="K38" s="21">
        <v>-9.1321475468553182E-4</v>
      </c>
      <c r="L38" s="21">
        <v>-3.1951386847005825E-2</v>
      </c>
      <c r="O38" s="21">
        <f t="shared" si="8"/>
        <v>-1.107151021881192E-3</v>
      </c>
      <c r="P38" s="21">
        <f t="shared" si="8"/>
        <v>-2.8994238099677716E-4</v>
      </c>
      <c r="Q38" s="21">
        <f t="shared" si="8"/>
        <v>-1.3003567426064233E-3</v>
      </c>
      <c r="R38" s="22">
        <f t="shared" si="8"/>
        <v>8.1720864088441481E-4</v>
      </c>
      <c r="S38" s="22">
        <f t="shared" si="8"/>
        <v>-1.9320572072523134E-4</v>
      </c>
      <c r="U38" s="22">
        <f t="shared" si="6"/>
        <v>8.1720864088441481E-4</v>
      </c>
      <c r="V38" s="22">
        <f t="shared" si="7"/>
        <v>-1.9320572072523134E-4</v>
      </c>
    </row>
    <row r="39" spans="2:22" s="3" customFormat="1">
      <c r="B39" s="28">
        <f>Univariate!N31</f>
        <v>41759</v>
      </c>
      <c r="C39" s="21">
        <v>2.5333333333333334E-5</v>
      </c>
      <c r="D39" s="21">
        <v>1.3240910027578767E-3</v>
      </c>
      <c r="E39" s="21">
        <v>1.6607594936708381E-3</v>
      </c>
      <c r="F39" s="21">
        <v>2.4398555254740995E-3</v>
      </c>
      <c r="G39" s="21">
        <v>6.2432860090160247E-3</v>
      </c>
      <c r="H39" s="21">
        <v>5.7764186204554147E-3</v>
      </c>
      <c r="I39" s="21">
        <v>1.1659515749116389E-2</v>
      </c>
      <c r="J39" s="21">
        <v>6.2007968638175814E-3</v>
      </c>
      <c r="K39" s="21">
        <v>8.28618709935669E-3</v>
      </c>
      <c r="L39" s="21">
        <v>5.9189570174686956E-3</v>
      </c>
      <c r="O39" s="21">
        <f t="shared" si="8"/>
        <v>1.3240910027578767E-3</v>
      </c>
      <c r="P39" s="21">
        <f t="shared" si="8"/>
        <v>2.4398555254740995E-3</v>
      </c>
      <c r="Q39" s="21">
        <f t="shared" si="8"/>
        <v>5.7764186204554147E-3</v>
      </c>
      <c r="R39" s="22">
        <f t="shared" si="8"/>
        <v>1.1157645227162227E-3</v>
      </c>
      <c r="S39" s="22">
        <f t="shared" si="8"/>
        <v>4.4523276176975379E-3</v>
      </c>
      <c r="U39" s="22">
        <f t="shared" si="6"/>
        <v>1.1157645227162227E-3</v>
      </c>
      <c r="V39" s="22">
        <f t="shared" si="7"/>
        <v>4.4523276176975379E-3</v>
      </c>
    </row>
    <row r="40" spans="2:22" s="3" customFormat="1">
      <c r="B40" s="28">
        <f>Univariate!N32</f>
        <v>41789</v>
      </c>
      <c r="C40" s="21">
        <v>2.1083333333333332E-5</v>
      </c>
      <c r="D40" s="21">
        <v>1.8372645950004429E-3</v>
      </c>
      <c r="E40" s="21">
        <v>1.5690397719230198E-3</v>
      </c>
      <c r="F40" s="21">
        <v>3.6311918820273181E-3</v>
      </c>
      <c r="G40" s="21">
        <v>1.0908523280633409E-2</v>
      </c>
      <c r="H40" s="21">
        <v>7.2947422212128465E-3</v>
      </c>
      <c r="I40" s="21">
        <v>1.529301775138503E-2</v>
      </c>
      <c r="J40" s="21">
        <v>2.1030282120013677E-2</v>
      </c>
      <c r="K40" s="21">
        <v>1.6258428430919514E-2</v>
      </c>
      <c r="L40" s="21">
        <v>-3.246335968287628E-2</v>
      </c>
      <c r="O40" s="21">
        <f t="shared" si="8"/>
        <v>1.8372645950004429E-3</v>
      </c>
      <c r="P40" s="21">
        <f t="shared" si="8"/>
        <v>3.6311918820273181E-3</v>
      </c>
      <c r="Q40" s="21">
        <f t="shared" si="8"/>
        <v>7.2947422212128465E-3</v>
      </c>
      <c r="R40" s="22">
        <f t="shared" si="8"/>
        <v>1.7939272870268752E-3</v>
      </c>
      <c r="S40" s="22">
        <f t="shared" si="8"/>
        <v>5.4574776262124036E-3</v>
      </c>
      <c r="U40" s="22">
        <f t="shared" si="6"/>
        <v>1.7939272870268752E-3</v>
      </c>
      <c r="V40" s="22">
        <f t="shared" si="7"/>
        <v>5.4574776262124036E-3</v>
      </c>
    </row>
    <row r="41" spans="2:22" s="3" customFormat="1">
      <c r="B41" s="28">
        <f>Univariate!N33</f>
        <v>41820</v>
      </c>
      <c r="C41" s="21">
        <v>2.5333333333333334E-5</v>
      </c>
      <c r="D41" s="21">
        <v>-4.440508980227964E-4</v>
      </c>
      <c r="E41" s="21">
        <v>-7.9459610050347518E-4</v>
      </c>
      <c r="F41" s="21">
        <v>4.9249367416459577E-4</v>
      </c>
      <c r="G41" s="21">
        <v>-1.5609181018162444E-3</v>
      </c>
      <c r="H41" s="21">
        <v>-6.5739502465411714E-4</v>
      </c>
      <c r="I41" s="21">
        <v>1.6740210267067734E-3</v>
      </c>
      <c r="J41" s="21">
        <v>1.9058313448431896E-2</v>
      </c>
      <c r="K41" s="21">
        <v>1.6464744225095806E-2</v>
      </c>
      <c r="L41" s="21">
        <v>6.2135906792138762E-2</v>
      </c>
      <c r="O41" s="21">
        <f t="shared" si="8"/>
        <v>-4.440508980227964E-4</v>
      </c>
      <c r="P41" s="21">
        <f t="shared" si="8"/>
        <v>4.9249367416459577E-4</v>
      </c>
      <c r="Q41" s="21">
        <f t="shared" si="8"/>
        <v>-6.5739502465411714E-4</v>
      </c>
      <c r="R41" s="22">
        <f t="shared" si="8"/>
        <v>9.3654457218739218E-4</v>
      </c>
      <c r="S41" s="22">
        <f t="shared" si="8"/>
        <v>-2.1334412663132074E-4</v>
      </c>
      <c r="U41" s="22">
        <f t="shared" si="6"/>
        <v>9.3654457218739218E-4</v>
      </c>
      <c r="V41" s="22">
        <f t="shared" si="7"/>
        <v>-2.1334412663132074E-4</v>
      </c>
    </row>
    <row r="42" spans="2:22" s="3" customFormat="1">
      <c r="B42" s="28">
        <f>Univariate!N34</f>
        <v>41851</v>
      </c>
      <c r="C42" s="21">
        <v>1.6916666666666667E-5</v>
      </c>
      <c r="D42" s="21">
        <v>-7.8093230899733967E-4</v>
      </c>
      <c r="E42" s="21">
        <v>-7.1441213336875808E-4</v>
      </c>
      <c r="F42" s="21">
        <v>-8.9675605808192671E-4</v>
      </c>
      <c r="G42" s="21">
        <v>-1.4961171557231756E-3</v>
      </c>
      <c r="H42" s="21">
        <v>-9.0742118232678415E-4</v>
      </c>
      <c r="I42" s="21">
        <v>-1.1757998723708196E-3</v>
      </c>
      <c r="J42" s="21">
        <v>-1.5079863077291922E-2</v>
      </c>
      <c r="K42" s="21">
        <v>-1.6674123274942443E-2</v>
      </c>
      <c r="L42" s="21">
        <v>-3.3706764708098191E-2</v>
      </c>
      <c r="O42" s="21">
        <f t="shared" ref="O42:S51" si="9">SUMPRODUCT(INDEX(portwts,O$19,),$C42:$L42)</f>
        <v>-7.8093230899733967E-4</v>
      </c>
      <c r="P42" s="21">
        <f t="shared" si="9"/>
        <v>-8.9675605808192671E-4</v>
      </c>
      <c r="Q42" s="21">
        <f t="shared" si="9"/>
        <v>-9.0742118232678415E-4</v>
      </c>
      <c r="R42" s="22">
        <f t="shared" si="9"/>
        <v>-1.1582374908458704E-4</v>
      </c>
      <c r="S42" s="22">
        <f t="shared" si="9"/>
        <v>-1.2648887332944447E-4</v>
      </c>
      <c r="U42" s="22">
        <f t="shared" si="6"/>
        <v>-1.1582374908458704E-4</v>
      </c>
      <c r="V42" s="22">
        <f t="shared" si="7"/>
        <v>-1.2648887332944447E-4</v>
      </c>
    </row>
    <row r="43" spans="2:22" s="3" customFormat="1">
      <c r="B43" s="28">
        <f>Univariate!N35</f>
        <v>41880</v>
      </c>
      <c r="C43" s="21">
        <v>1.6916666666666667E-5</v>
      </c>
      <c r="D43" s="21">
        <v>1.667232621397341E-3</v>
      </c>
      <c r="E43" s="21">
        <v>1.5115281314874718E-3</v>
      </c>
      <c r="F43" s="21">
        <v>2.1339651763789824E-3</v>
      </c>
      <c r="G43" s="21">
        <v>1.2175428530638577E-2</v>
      </c>
      <c r="H43" s="21">
        <v>6.5468469701868148E-3</v>
      </c>
      <c r="I43" s="21">
        <v>1.4268707223337396E-2</v>
      </c>
      <c r="J43" s="21">
        <v>3.7655321727690261E-2</v>
      </c>
      <c r="K43" s="21">
        <v>2.0030915507335267E-2</v>
      </c>
      <c r="L43" s="21">
        <v>3.6878503652766348E-3</v>
      </c>
      <c r="O43" s="21">
        <f t="shared" si="9"/>
        <v>1.667232621397341E-3</v>
      </c>
      <c r="P43" s="21">
        <f t="shared" si="9"/>
        <v>2.1339651763789824E-3</v>
      </c>
      <c r="Q43" s="21">
        <f t="shared" si="9"/>
        <v>6.5468469701868148E-3</v>
      </c>
      <c r="R43" s="22">
        <f t="shared" si="9"/>
        <v>4.6673255498164146E-4</v>
      </c>
      <c r="S43" s="22">
        <f t="shared" si="9"/>
        <v>4.8796143487894739E-3</v>
      </c>
      <c r="U43" s="22">
        <f t="shared" si="6"/>
        <v>4.6673255498164146E-4</v>
      </c>
      <c r="V43" s="22">
        <f t="shared" si="7"/>
        <v>4.8796143487894739E-3</v>
      </c>
    </row>
    <row r="44" spans="2:22" s="3" customFormat="1">
      <c r="B44" s="28">
        <f>Univariate!N36</f>
        <v>41912</v>
      </c>
      <c r="C44" s="21">
        <v>1.6916666666666667E-5</v>
      </c>
      <c r="D44" s="21">
        <v>-5.5918784954711587E-4</v>
      </c>
      <c r="E44" s="21">
        <v>-1.4454531212915178E-4</v>
      </c>
      <c r="F44" s="21">
        <v>-1.0665751749033836E-3</v>
      </c>
      <c r="G44" s="21">
        <v>-6.3298466173178358E-3</v>
      </c>
      <c r="H44" s="21">
        <v>-3.1157649714820268E-3</v>
      </c>
      <c r="I44" s="21">
        <v>-1.2431832190915149E-2</v>
      </c>
      <c r="J44" s="21">
        <v>-1.5513859147336717E-2</v>
      </c>
      <c r="K44" s="21">
        <v>-2.8752952209940008E-2</v>
      </c>
      <c r="L44" s="21">
        <v>-6.1499860174626275E-2</v>
      </c>
      <c r="O44" s="21">
        <f t="shared" si="9"/>
        <v>-5.5918784954711587E-4</v>
      </c>
      <c r="P44" s="21">
        <f t="shared" si="9"/>
        <v>-1.0665751749033836E-3</v>
      </c>
      <c r="Q44" s="21">
        <f t="shared" si="9"/>
        <v>-3.1157649714820268E-3</v>
      </c>
      <c r="R44" s="22">
        <f t="shared" si="9"/>
        <v>-5.0738732535626774E-4</v>
      </c>
      <c r="S44" s="22">
        <f t="shared" si="9"/>
        <v>-2.5565771219349109E-3</v>
      </c>
      <c r="U44" s="22">
        <f t="shared" si="6"/>
        <v>-5.0738732535626774E-4</v>
      </c>
      <c r="V44" s="22">
        <f t="shared" si="7"/>
        <v>-2.5565771219349109E-3</v>
      </c>
    </row>
    <row r="45" spans="2:22" s="3" customFormat="1">
      <c r="B45" s="28">
        <f>Univariate!N37</f>
        <v>41943</v>
      </c>
      <c r="C45" s="21">
        <v>1.2666666666666667E-5</v>
      </c>
      <c r="D45" s="21">
        <v>2.7450503856620845E-3</v>
      </c>
      <c r="E45" s="21">
        <v>2.1854534088954214E-3</v>
      </c>
      <c r="F45" s="21">
        <v>2.1223615145111729E-3</v>
      </c>
      <c r="G45" s="21">
        <v>1.0856203181201174E-2</v>
      </c>
      <c r="H45" s="21">
        <v>6.3361069479148657E-3</v>
      </c>
      <c r="I45" s="21">
        <v>9.3323015351907124E-3</v>
      </c>
      <c r="J45" s="21">
        <v>2.3201456175308888E-2</v>
      </c>
      <c r="K45" s="21">
        <v>5.6994483075345492E-3</v>
      </c>
      <c r="L45" s="21">
        <v>-2.9143732152464574E-2</v>
      </c>
      <c r="O45" s="21">
        <f t="shared" si="9"/>
        <v>2.7450503856620845E-3</v>
      </c>
      <c r="P45" s="21">
        <f t="shared" si="9"/>
        <v>2.1223615145111729E-3</v>
      </c>
      <c r="Q45" s="21">
        <f t="shared" si="9"/>
        <v>6.3361069479148657E-3</v>
      </c>
      <c r="R45" s="22">
        <f t="shared" si="9"/>
        <v>-6.2268887115091154E-4</v>
      </c>
      <c r="S45" s="22">
        <f t="shared" si="9"/>
        <v>3.5910565622527812E-3</v>
      </c>
      <c r="U45" s="22">
        <f t="shared" si="6"/>
        <v>-6.2268887115091154E-4</v>
      </c>
      <c r="V45" s="22">
        <f t="shared" si="7"/>
        <v>3.5910565622527812E-3</v>
      </c>
    </row>
    <row r="46" spans="2:22" s="3" customFormat="1">
      <c r="B46" s="28">
        <f>Univariate!N38</f>
        <v>41971</v>
      </c>
      <c r="C46" s="21">
        <v>4.25E-6</v>
      </c>
      <c r="D46" s="21">
        <v>1.443744948854242E-3</v>
      </c>
      <c r="E46" s="21">
        <v>1.9357027559991913E-3</v>
      </c>
      <c r="F46" s="21">
        <v>1.5162211447656837E-3</v>
      </c>
      <c r="G46" s="21">
        <v>9.2188180995642632E-3</v>
      </c>
      <c r="H46" s="21">
        <v>5.5442181625036113E-3</v>
      </c>
      <c r="I46" s="21">
        <v>6.3511658001995652E-3</v>
      </c>
      <c r="J46" s="21">
        <v>2.4533584400783015E-2</v>
      </c>
      <c r="K46" s="21">
        <v>1.838896076904617E-2</v>
      </c>
      <c r="L46" s="21">
        <v>-4.7402254164747859E-3</v>
      </c>
      <c r="O46" s="21">
        <f t="shared" si="9"/>
        <v>1.443744948854242E-3</v>
      </c>
      <c r="P46" s="21">
        <f t="shared" si="9"/>
        <v>1.5162211447656837E-3</v>
      </c>
      <c r="Q46" s="21">
        <f t="shared" si="9"/>
        <v>5.5442181625036113E-3</v>
      </c>
      <c r="R46" s="22">
        <f t="shared" si="9"/>
        <v>7.2476195911441721E-5</v>
      </c>
      <c r="S46" s="22">
        <f t="shared" si="9"/>
        <v>4.1004732136493693E-3</v>
      </c>
      <c r="U46" s="22">
        <f t="shared" si="6"/>
        <v>7.2476195911441721E-5</v>
      </c>
      <c r="V46" s="22">
        <f t="shared" si="7"/>
        <v>4.1004732136493693E-3</v>
      </c>
    </row>
    <row r="47" spans="2:22" s="3" customFormat="1">
      <c r="B47" s="28">
        <f>Univariate!N39</f>
        <v>42004</v>
      </c>
      <c r="C47" s="21">
        <v>8.4166666666666668E-6</v>
      </c>
      <c r="D47" s="21">
        <v>-2.4358542422430185E-3</v>
      </c>
      <c r="E47" s="21">
        <v>-1.9464407079575752E-3</v>
      </c>
      <c r="F47" s="21">
        <v>-3.8821468979093332E-3</v>
      </c>
      <c r="G47" s="21">
        <v>2.5858855279670134E-3</v>
      </c>
      <c r="H47" s="21">
        <v>6.1162377075785201E-4</v>
      </c>
      <c r="I47" s="21">
        <v>-1.4009665553383899E-3</v>
      </c>
      <c r="J47" s="21">
        <v>-4.1885120625277938E-3</v>
      </c>
      <c r="K47" s="21">
        <v>-1.7148605921241677E-2</v>
      </c>
      <c r="L47" s="21">
        <v>1.4553958436841263E-2</v>
      </c>
      <c r="O47" s="21">
        <f t="shared" si="9"/>
        <v>-2.4358542422430185E-3</v>
      </c>
      <c r="P47" s="21">
        <f t="shared" si="9"/>
        <v>-3.8821468979093332E-3</v>
      </c>
      <c r="Q47" s="21">
        <f t="shared" si="9"/>
        <v>6.1162377075785201E-4</v>
      </c>
      <c r="R47" s="22">
        <f t="shared" si="9"/>
        <v>-1.4462926556663147E-3</v>
      </c>
      <c r="S47" s="22">
        <f t="shared" si="9"/>
        <v>3.0474780130008705E-3</v>
      </c>
      <c r="U47" s="22">
        <f t="shared" si="6"/>
        <v>-1.4462926556663147E-3</v>
      </c>
      <c r="V47" s="22">
        <f t="shared" si="7"/>
        <v>3.0474780130008705E-3</v>
      </c>
    </row>
    <row r="48" spans="2:22" s="3" customFormat="1">
      <c r="B48" s="28">
        <f>Univariate!N40</f>
        <v>42034</v>
      </c>
      <c r="C48" s="21">
        <v>2.9583333333333332E-5</v>
      </c>
      <c r="D48" s="21">
        <v>5.0476709937821163E-3</v>
      </c>
      <c r="E48" s="21">
        <v>4.7418152513347689E-3</v>
      </c>
      <c r="F48" s="21">
        <v>5.3760262092170663E-3</v>
      </c>
      <c r="G48" s="21">
        <v>2.8827648147808693E-2</v>
      </c>
      <c r="H48" s="21">
        <v>1.6872581482044735E-2</v>
      </c>
      <c r="I48" s="21">
        <v>2.7403604776210955E-2</v>
      </c>
      <c r="J48" s="21">
        <v>-3.1040847054252363E-2</v>
      </c>
      <c r="K48" s="21">
        <v>-1.8793100422888731E-2</v>
      </c>
      <c r="L48" s="21">
        <v>8.3943362293877888E-2</v>
      </c>
      <c r="O48" s="21">
        <f t="shared" si="9"/>
        <v>5.0476709937821163E-3</v>
      </c>
      <c r="P48" s="21">
        <f t="shared" si="9"/>
        <v>5.3760262092170663E-3</v>
      </c>
      <c r="Q48" s="21">
        <f t="shared" si="9"/>
        <v>1.6872581482044735E-2</v>
      </c>
      <c r="R48" s="22">
        <f t="shared" si="9"/>
        <v>3.2835521543495005E-4</v>
      </c>
      <c r="S48" s="22">
        <f t="shared" si="9"/>
        <v>1.1824910488262619E-2</v>
      </c>
      <c r="U48" s="22">
        <f t="shared" si="6"/>
        <v>3.2835521543495005E-4</v>
      </c>
      <c r="V48" s="22">
        <f t="shared" si="7"/>
        <v>1.1824910488262619E-2</v>
      </c>
    </row>
    <row r="49" spans="2:22" s="3" customFormat="1">
      <c r="B49" s="28">
        <f>Univariate!N41</f>
        <v>42062</v>
      </c>
      <c r="C49" s="21">
        <v>0</v>
      </c>
      <c r="D49" s="21">
        <v>-2.1577567665429509E-3</v>
      </c>
      <c r="E49" s="21">
        <v>-1.442941258093966E-3</v>
      </c>
      <c r="F49" s="21">
        <v>9.4403804380460699E-4</v>
      </c>
      <c r="G49" s="21">
        <v>-1.7481816683666107E-2</v>
      </c>
      <c r="H49" s="21">
        <v>-8.9278151648537474E-3</v>
      </c>
      <c r="I49" s="21">
        <v>-8.3607142066883799E-3</v>
      </c>
      <c r="J49" s="21">
        <v>5.4892505726845675E-2</v>
      </c>
      <c r="K49" s="21">
        <v>5.6821297852808206E-2</v>
      </c>
      <c r="L49" s="21">
        <v>-5.5001207362574744E-2</v>
      </c>
      <c r="O49" s="21">
        <f t="shared" si="9"/>
        <v>-2.1577567665429509E-3</v>
      </c>
      <c r="P49" s="21">
        <f t="shared" si="9"/>
        <v>9.4403804380460699E-4</v>
      </c>
      <c r="Q49" s="21">
        <f t="shared" si="9"/>
        <v>-8.9278151648537474E-3</v>
      </c>
      <c r="R49" s="22">
        <f t="shared" si="9"/>
        <v>3.1017948103475579E-3</v>
      </c>
      <c r="S49" s="22">
        <f t="shared" si="9"/>
        <v>-6.7700583983107965E-3</v>
      </c>
      <c r="U49" s="22">
        <f t="shared" si="6"/>
        <v>3.1017948103475579E-3</v>
      </c>
      <c r="V49" s="22">
        <f t="shared" si="7"/>
        <v>-6.7700583983107965E-3</v>
      </c>
    </row>
    <row r="50" spans="2:22" s="3" customFormat="1">
      <c r="B50" s="28">
        <f>Univariate!N42</f>
        <v>42094</v>
      </c>
      <c r="C50" s="21">
        <v>8.4166666666666668E-6</v>
      </c>
      <c r="D50" s="21">
        <v>2.3251483239266069E-3</v>
      </c>
      <c r="E50" s="21">
        <v>2.0836010795528548E-3</v>
      </c>
      <c r="F50" s="21">
        <v>1.9926700417953747E-3</v>
      </c>
      <c r="G50" s="21">
        <v>6.5880564035545319E-3</v>
      </c>
      <c r="H50" s="21">
        <v>4.8404638795114252E-3</v>
      </c>
      <c r="I50" s="21">
        <v>3.7165680952275792E-3</v>
      </c>
      <c r="J50" s="21">
        <v>-1.7396056070325572E-2</v>
      </c>
      <c r="K50" s="21">
        <v>-1.807813363717381E-2</v>
      </c>
      <c r="L50" s="21">
        <v>-2.4406930546168049E-2</v>
      </c>
      <c r="O50" s="21">
        <f t="shared" si="9"/>
        <v>2.3251483239266069E-3</v>
      </c>
      <c r="P50" s="21">
        <f t="shared" si="9"/>
        <v>1.9926700417953747E-3</v>
      </c>
      <c r="Q50" s="21">
        <f t="shared" si="9"/>
        <v>4.8404638795114252E-3</v>
      </c>
      <c r="R50" s="22">
        <f t="shared" si="9"/>
        <v>-3.3247828213123221E-4</v>
      </c>
      <c r="S50" s="22">
        <f t="shared" si="9"/>
        <v>2.5153155555848183E-3</v>
      </c>
      <c r="U50" s="22">
        <f t="shared" si="6"/>
        <v>-3.3247828213123221E-4</v>
      </c>
      <c r="V50" s="22">
        <f t="shared" si="7"/>
        <v>2.5153155555848183E-3</v>
      </c>
    </row>
    <row r="51" spans="2:22" s="3" customFormat="1">
      <c r="B51" s="28">
        <f>Univariate!N43</f>
        <v>42124</v>
      </c>
      <c r="C51" s="21">
        <v>1.6916666666666667E-5</v>
      </c>
      <c r="D51" s="21">
        <v>4.5665826855323388E-4</v>
      </c>
      <c r="E51" s="21">
        <v>6.0678736150876489E-4</v>
      </c>
      <c r="F51" s="21">
        <v>1.6621938242677992E-3</v>
      </c>
      <c r="G51" s="21">
        <v>-6.1820809081205574E-3</v>
      </c>
      <c r="H51" s="21">
        <v>-2.1386677019336053E-3</v>
      </c>
      <c r="I51" s="21">
        <v>-5.341883159823646E-3</v>
      </c>
      <c r="J51" s="21">
        <v>8.5207627098153882E-3</v>
      </c>
      <c r="K51" s="21">
        <v>2.1593396177641555E-2</v>
      </c>
      <c r="L51" s="21">
        <v>6.75921153797443E-4</v>
      </c>
      <c r="O51" s="21">
        <f t="shared" si="9"/>
        <v>4.5665826855323388E-4</v>
      </c>
      <c r="P51" s="21">
        <f t="shared" si="9"/>
        <v>1.6621938242677992E-3</v>
      </c>
      <c r="Q51" s="21">
        <f t="shared" si="9"/>
        <v>-2.1386677019336053E-3</v>
      </c>
      <c r="R51" s="22">
        <f t="shared" si="9"/>
        <v>1.2055355557145653E-3</v>
      </c>
      <c r="S51" s="22">
        <f t="shared" si="9"/>
        <v>-2.5953259704868392E-3</v>
      </c>
      <c r="U51" s="22">
        <f t="shared" si="6"/>
        <v>1.2055355557145653E-3</v>
      </c>
      <c r="V51" s="22">
        <f t="shared" si="7"/>
        <v>-2.5953259704868392E-3</v>
      </c>
    </row>
    <row r="52" spans="2:22" s="3" customFormat="1">
      <c r="B52" s="28">
        <f>Univariate!N44</f>
        <v>42153</v>
      </c>
      <c r="C52" s="21">
        <v>0</v>
      </c>
      <c r="D52" s="21">
        <v>7.428156879896175E-4</v>
      </c>
      <c r="E52" s="21">
        <v>6.6009191619720298E-4</v>
      </c>
      <c r="F52" s="21">
        <v>1.1060849460915456E-3</v>
      </c>
      <c r="G52" s="21">
        <v>-2.3382848175917958E-3</v>
      </c>
      <c r="H52" s="21">
        <v>-2.9557347784758825E-5</v>
      </c>
      <c r="I52" s="21">
        <v>-5.0527397229136461E-3</v>
      </c>
      <c r="J52" s="21">
        <v>1.0491438545008114E-2</v>
      </c>
      <c r="K52" s="21">
        <v>5.1169590643262985E-4</v>
      </c>
      <c r="L52" s="21">
        <v>5.2432939030877534E-3</v>
      </c>
      <c r="O52" s="21">
        <f t="shared" ref="O52:S61" si="10">SUMPRODUCT(INDEX(portwts,O$19,),$C52:$L52)</f>
        <v>7.428156879896175E-4</v>
      </c>
      <c r="P52" s="21">
        <f t="shared" si="10"/>
        <v>1.1060849460915456E-3</v>
      </c>
      <c r="Q52" s="21">
        <f t="shared" si="10"/>
        <v>-2.9557347784758825E-5</v>
      </c>
      <c r="R52" s="22">
        <f t="shared" si="10"/>
        <v>3.6326925810192812E-4</v>
      </c>
      <c r="S52" s="22">
        <f t="shared" si="10"/>
        <v>-7.7237303577437633E-4</v>
      </c>
      <c r="U52" s="22">
        <f t="shared" si="6"/>
        <v>3.6326925810192812E-4</v>
      </c>
      <c r="V52" s="22">
        <f t="shared" si="7"/>
        <v>-7.7237303577437633E-4</v>
      </c>
    </row>
    <row r="53" spans="2:22" s="3" customFormat="1">
      <c r="B53" s="28">
        <f>Univariate!N45</f>
        <v>42185</v>
      </c>
      <c r="C53" s="21">
        <v>0</v>
      </c>
      <c r="D53" s="21">
        <v>2.5320231558723094E-4</v>
      </c>
      <c r="E53" s="21">
        <v>3.5784763056034841E-4</v>
      </c>
      <c r="F53" s="21">
        <v>-1.5031059264967173E-3</v>
      </c>
      <c r="G53" s="21">
        <v>-9.962299900720839E-3</v>
      </c>
      <c r="H53" s="21">
        <v>-4.4419820231021978E-3</v>
      </c>
      <c r="I53" s="21">
        <v>-1.639343013945227E-2</v>
      </c>
      <c r="J53" s="21">
        <v>-2.10117728564716E-2</v>
      </c>
      <c r="K53" s="21">
        <v>-2.4560082279085793E-2</v>
      </c>
      <c r="L53" s="21">
        <v>-1.5311864805389042E-2</v>
      </c>
      <c r="O53" s="21">
        <f t="shared" si="10"/>
        <v>2.5320231558723094E-4</v>
      </c>
      <c r="P53" s="21">
        <f t="shared" si="10"/>
        <v>-1.5031059264967173E-3</v>
      </c>
      <c r="Q53" s="21">
        <f t="shared" si="10"/>
        <v>-4.4419820231021978E-3</v>
      </c>
      <c r="R53" s="22">
        <f t="shared" si="10"/>
        <v>-1.7563082420839482E-3</v>
      </c>
      <c r="S53" s="22">
        <f t="shared" si="10"/>
        <v>-4.6951843386894287E-3</v>
      </c>
      <c r="U53" s="22">
        <f t="shared" si="6"/>
        <v>-1.7563082420839482E-3</v>
      </c>
      <c r="V53" s="22">
        <f t="shared" si="7"/>
        <v>-4.6951843386894287E-3</v>
      </c>
    </row>
    <row r="54" spans="2:22" s="3" customFormat="1">
      <c r="B54" s="28">
        <f>Univariate!N46</f>
        <v>42216</v>
      </c>
      <c r="C54" s="21">
        <v>4.25E-6</v>
      </c>
      <c r="D54" s="21">
        <v>5.2014702822655856E-4</v>
      </c>
      <c r="E54" s="21">
        <v>7.2024084853961057E-4</v>
      </c>
      <c r="F54" s="21">
        <v>6.1151748804388895E-4</v>
      </c>
      <c r="G54" s="21">
        <v>9.3933699796231451E-3</v>
      </c>
      <c r="H54" s="21">
        <v>4.2111615459292651E-3</v>
      </c>
      <c r="I54" s="21">
        <v>5.3891014886802147E-3</v>
      </c>
      <c r="J54" s="21">
        <v>1.9742039930008559E-2</v>
      </c>
      <c r="K54" s="21">
        <v>1.7279227476218795E-2</v>
      </c>
      <c r="L54" s="21">
        <v>-6.5296199940290789E-2</v>
      </c>
      <c r="O54" s="21">
        <f t="shared" si="10"/>
        <v>5.2014702822655856E-4</v>
      </c>
      <c r="P54" s="21">
        <f t="shared" si="10"/>
        <v>6.1151748804388895E-4</v>
      </c>
      <c r="Q54" s="21">
        <f t="shared" si="10"/>
        <v>4.2111615459292651E-3</v>
      </c>
      <c r="R54" s="22">
        <f t="shared" si="10"/>
        <v>9.1370459817330385E-5</v>
      </c>
      <c r="S54" s="22">
        <f t="shared" si="10"/>
        <v>3.6910145177027065E-3</v>
      </c>
      <c r="U54" s="22">
        <f t="shared" si="6"/>
        <v>9.1370459817330385E-5</v>
      </c>
      <c r="V54" s="22">
        <f t="shared" si="7"/>
        <v>3.6910145177027065E-3</v>
      </c>
    </row>
    <row r="55" spans="2:22" s="3" customFormat="1">
      <c r="B55" s="28">
        <f>Univariate!N47</f>
        <v>42247</v>
      </c>
      <c r="C55" s="21">
        <v>5.0833333333333333E-5</v>
      </c>
      <c r="D55" s="21">
        <v>-4.245659030255311E-4</v>
      </c>
      <c r="E55" s="21">
        <v>5.1180264889927329E-5</v>
      </c>
      <c r="F55" s="21">
        <v>-1.5857702074807412E-3</v>
      </c>
      <c r="G55" s="21">
        <v>5.7009692297005365E-4</v>
      </c>
      <c r="H55" s="21">
        <v>2.0695919191027201E-4</v>
      </c>
      <c r="I55" s="21">
        <v>-6.7093163473843642E-3</v>
      </c>
      <c r="J55" s="21">
        <v>-6.258080462392579E-2</v>
      </c>
      <c r="K55" s="21">
        <v>-6.806184866334386E-2</v>
      </c>
      <c r="L55" s="21">
        <v>3.5709070998357406E-2</v>
      </c>
      <c r="O55" s="21">
        <f t="shared" si="10"/>
        <v>-4.245659030255311E-4</v>
      </c>
      <c r="P55" s="21">
        <f t="shared" si="10"/>
        <v>-1.5857702074807412E-3</v>
      </c>
      <c r="Q55" s="21">
        <f t="shared" si="10"/>
        <v>2.0695919191027201E-4</v>
      </c>
      <c r="R55" s="22">
        <f t="shared" si="10"/>
        <v>-1.1612043044552101E-3</v>
      </c>
      <c r="S55" s="22">
        <f t="shared" si="10"/>
        <v>6.3152509493580311E-4</v>
      </c>
      <c r="U55" s="22">
        <f t="shared" si="6"/>
        <v>-1.1612043044552101E-3</v>
      </c>
      <c r="V55" s="22">
        <f t="shared" si="7"/>
        <v>6.3152509493580311E-4</v>
      </c>
    </row>
    <row r="56" spans="2:22" s="3" customFormat="1">
      <c r="B56" s="28">
        <f>Univariate!N48</f>
        <v>42277</v>
      </c>
      <c r="C56" s="21">
        <v>0</v>
      </c>
      <c r="D56" s="21">
        <v>3.025233393722182E-3</v>
      </c>
      <c r="E56" s="21">
        <v>2.8579516467206467E-3</v>
      </c>
      <c r="F56" s="21">
        <v>2.7680900795501451E-3</v>
      </c>
      <c r="G56" s="21">
        <v>8.9755328959022496E-3</v>
      </c>
      <c r="H56" s="21">
        <v>6.0349461811213256E-3</v>
      </c>
      <c r="I56" s="21">
        <v>5.2409861317948003E-3</v>
      </c>
      <c r="J56" s="21">
        <v>-2.6442819620927094E-2</v>
      </c>
      <c r="K56" s="21">
        <v>-3.8597813337546971E-2</v>
      </c>
      <c r="L56" s="21">
        <v>-1.7481254350488751E-2</v>
      </c>
      <c r="O56" s="21">
        <f t="shared" si="10"/>
        <v>3.025233393722182E-3</v>
      </c>
      <c r="P56" s="21">
        <f t="shared" si="10"/>
        <v>2.7680900795501451E-3</v>
      </c>
      <c r="Q56" s="21">
        <f t="shared" si="10"/>
        <v>6.0349461811213256E-3</v>
      </c>
      <c r="R56" s="22">
        <f t="shared" si="10"/>
        <v>-2.5714331417203695E-4</v>
      </c>
      <c r="S56" s="22">
        <f t="shared" si="10"/>
        <v>3.0097127873991436E-3</v>
      </c>
      <c r="U56" s="22">
        <f t="shared" si="6"/>
        <v>-2.5714331417203695E-4</v>
      </c>
      <c r="V56" s="22">
        <f t="shared" si="7"/>
        <v>3.0097127873991436E-3</v>
      </c>
    </row>
    <row r="57" spans="2:22" s="3" customFormat="1">
      <c r="B57" s="28">
        <f>Univariate!N49</f>
        <v>42307</v>
      </c>
      <c r="C57" s="21">
        <v>-1.6916666666666667E-5</v>
      </c>
      <c r="D57" s="21">
        <v>-9.7742671460165909E-4</v>
      </c>
      <c r="E57" s="21">
        <v>-4.927758109271041E-4</v>
      </c>
      <c r="F57" s="21">
        <v>1.940190683884957E-3</v>
      </c>
      <c r="G57" s="21">
        <v>-3.5650933433152288E-3</v>
      </c>
      <c r="H57" s="21">
        <v>-1.3467962852747872E-3</v>
      </c>
      <c r="I57" s="21">
        <v>5.3601883874283551E-3</v>
      </c>
      <c r="J57" s="21">
        <v>8.2983078389400333E-2</v>
      </c>
      <c r="K57" s="21">
        <v>7.8309901891372435E-2</v>
      </c>
      <c r="L57" s="21">
        <v>2.4231227972629998E-2</v>
      </c>
      <c r="O57" s="21">
        <f t="shared" si="10"/>
        <v>-9.7742671460165909E-4</v>
      </c>
      <c r="P57" s="21">
        <f t="shared" si="10"/>
        <v>1.940190683884957E-3</v>
      </c>
      <c r="Q57" s="21">
        <f t="shared" si="10"/>
        <v>-1.3467962852747872E-3</v>
      </c>
      <c r="R57" s="22">
        <f t="shared" si="10"/>
        <v>2.9176173984866161E-3</v>
      </c>
      <c r="S57" s="22">
        <f t="shared" si="10"/>
        <v>-3.6936957067312814E-4</v>
      </c>
      <c r="U57" s="22">
        <f t="shared" si="6"/>
        <v>2.9176173984866161E-3</v>
      </c>
      <c r="V57" s="22">
        <f t="shared" si="7"/>
        <v>-3.6936957067312814E-4</v>
      </c>
    </row>
    <row r="58" spans="2:22" s="3" customFormat="1">
      <c r="B58" s="28">
        <f>Univariate!N50</f>
        <v>42338</v>
      </c>
      <c r="C58" s="21">
        <v>5.933333333333333E-5</v>
      </c>
      <c r="D58" s="21">
        <v>-2.4550406621516307E-3</v>
      </c>
      <c r="E58" s="21">
        <v>-1.9393666703364509E-3</v>
      </c>
      <c r="F58" s="21">
        <v>-7.1057840590915688E-4</v>
      </c>
      <c r="G58" s="21">
        <v>-4.225256655618348E-3</v>
      </c>
      <c r="H58" s="21">
        <v>-2.6917513626392164E-3</v>
      </c>
      <c r="I58" s="21">
        <v>-2.2383480101869635E-3</v>
      </c>
      <c r="J58" s="21">
        <v>5.0496306555847248E-4</v>
      </c>
      <c r="K58" s="21">
        <v>-6.6830812521982974E-3</v>
      </c>
      <c r="L58" s="21">
        <v>-6.7716769838281676E-2</v>
      </c>
      <c r="O58" s="21">
        <f t="shared" si="10"/>
        <v>-2.4550406621516307E-3</v>
      </c>
      <c r="P58" s="21">
        <f t="shared" si="10"/>
        <v>-7.1057840590915688E-4</v>
      </c>
      <c r="Q58" s="21">
        <f t="shared" si="10"/>
        <v>-2.6917513626392164E-3</v>
      </c>
      <c r="R58" s="22">
        <f t="shared" si="10"/>
        <v>1.7444622562424739E-3</v>
      </c>
      <c r="S58" s="22">
        <f t="shared" si="10"/>
        <v>-2.3671070048758569E-4</v>
      </c>
      <c r="U58" s="22">
        <f t="shared" si="6"/>
        <v>1.7444622562424739E-3</v>
      </c>
      <c r="V58" s="22">
        <f t="shared" si="7"/>
        <v>-2.3671070048758569E-4</v>
      </c>
    </row>
    <row r="59" spans="2:22" s="3" customFormat="1">
      <c r="B59" s="28">
        <f>Univariate!N51</f>
        <v>42369</v>
      </c>
      <c r="C59" s="21">
        <v>1.3983333333333334E-4</v>
      </c>
      <c r="D59" s="21">
        <v>-9.365642487412229E-4</v>
      </c>
      <c r="E59" s="21">
        <v>-1.2589213561818857E-3</v>
      </c>
      <c r="F59" s="21">
        <v>-2.4958607185572301E-3</v>
      </c>
      <c r="G59" s="21">
        <v>-1.5686691398054675E-3</v>
      </c>
      <c r="H59" s="21">
        <v>-2.4794726558212687E-3</v>
      </c>
      <c r="I59" s="21">
        <v>-8.6713379184790718E-3</v>
      </c>
      <c r="J59" s="21">
        <v>-1.7530198374358763E-2</v>
      </c>
      <c r="K59" s="21">
        <v>-1.8655571293673345E-2</v>
      </c>
      <c r="L59" s="21">
        <v>-3.4467537590278097E-3</v>
      </c>
      <c r="O59" s="21">
        <f t="shared" si="10"/>
        <v>-9.365642487412229E-4</v>
      </c>
      <c r="P59" s="21">
        <f t="shared" si="10"/>
        <v>-2.4958607185572301E-3</v>
      </c>
      <c r="Q59" s="21">
        <f t="shared" si="10"/>
        <v>-2.4794726558212687E-3</v>
      </c>
      <c r="R59" s="22">
        <f t="shared" si="10"/>
        <v>-1.5592964698160072E-3</v>
      </c>
      <c r="S59" s="22">
        <f t="shared" si="10"/>
        <v>-1.5429084070800458E-3</v>
      </c>
      <c r="U59" s="22">
        <f t="shared" si="6"/>
        <v>-1.5592964698160072E-3</v>
      </c>
      <c r="V59" s="22">
        <f t="shared" si="7"/>
        <v>-1.5429084070800458E-3</v>
      </c>
    </row>
    <row r="60" spans="2:22" s="3" customFormat="1">
      <c r="B60" s="28">
        <f>Univariate!N52</f>
        <v>42398</v>
      </c>
      <c r="C60" s="21">
        <v>1.3558333333333334E-4</v>
      </c>
      <c r="D60" s="21">
        <v>6.0925064514252281E-3</v>
      </c>
      <c r="E60" s="21">
        <v>5.905581130311699E-3</v>
      </c>
      <c r="F60" s="21">
        <v>2.6974189680679661E-3</v>
      </c>
      <c r="G60" s="21">
        <v>2.1998469118457598E-2</v>
      </c>
      <c r="H60" s="21">
        <v>1.4334016069284194E-2</v>
      </c>
      <c r="I60" s="21">
        <v>4.3871656211247334E-3</v>
      </c>
      <c r="J60" s="21">
        <v>-5.0735344481736222E-2</v>
      </c>
      <c r="K60" s="21">
        <v>-6.0506738674156013E-2</v>
      </c>
      <c r="L60" s="21">
        <v>5.3821505984356088E-2</v>
      </c>
      <c r="O60" s="21">
        <f t="shared" si="10"/>
        <v>6.0925064514252281E-3</v>
      </c>
      <c r="P60" s="21">
        <f t="shared" si="10"/>
        <v>2.6974189680679661E-3</v>
      </c>
      <c r="Q60" s="21">
        <f t="shared" si="10"/>
        <v>1.4334016069284194E-2</v>
      </c>
      <c r="R60" s="22">
        <f t="shared" si="10"/>
        <v>-3.395087483357262E-3</v>
      </c>
      <c r="S60" s="22">
        <f t="shared" si="10"/>
        <v>8.2415096178589664E-3</v>
      </c>
      <c r="U60" s="22">
        <f t="shared" si="6"/>
        <v>-3.395087483357262E-3</v>
      </c>
      <c r="V60" s="22">
        <f t="shared" si="7"/>
        <v>8.2415096178589664E-3</v>
      </c>
    </row>
    <row r="61" spans="2:22" s="3" customFormat="1">
      <c r="B61" s="28">
        <f>Univariate!N53</f>
        <v>42429</v>
      </c>
      <c r="C61" s="21">
        <v>2.5858333333333338E-4</v>
      </c>
      <c r="D61" s="21">
        <v>1.1526283550027383E-3</v>
      </c>
      <c r="E61" s="21">
        <v>6.3649925410236285E-4</v>
      </c>
      <c r="F61" s="21">
        <v>9.6042118432282386E-4</v>
      </c>
      <c r="G61" s="21">
        <v>9.8407227159911237E-3</v>
      </c>
      <c r="H61" s="21">
        <v>4.5348675578638087E-3</v>
      </c>
      <c r="I61" s="21">
        <v>7.3469230175275957E-3</v>
      </c>
      <c r="J61" s="21">
        <v>-4.1283552550199776E-3</v>
      </c>
      <c r="K61" s="21">
        <v>-9.608367793724093E-3</v>
      </c>
      <c r="L61" s="21">
        <v>0.10772574024557113</v>
      </c>
      <c r="O61" s="21">
        <f t="shared" si="10"/>
        <v>1.1526283550027383E-3</v>
      </c>
      <c r="P61" s="21">
        <f t="shared" si="10"/>
        <v>9.6042118432282386E-4</v>
      </c>
      <c r="Q61" s="21">
        <f t="shared" si="10"/>
        <v>4.5348675578638087E-3</v>
      </c>
      <c r="R61" s="22">
        <f t="shared" si="10"/>
        <v>-1.9220717067991444E-4</v>
      </c>
      <c r="S61" s="22">
        <f t="shared" si="10"/>
        <v>3.3822392028610704E-3</v>
      </c>
      <c r="U61" s="22">
        <f t="shared" si="6"/>
        <v>-1.9220717067991444E-4</v>
      </c>
      <c r="V61" s="22">
        <f t="shared" si="7"/>
        <v>3.3822392028610704E-3</v>
      </c>
    </row>
    <row r="62" spans="2:22" s="3" customFormat="1">
      <c r="B62" s="28">
        <f>Univariate!N54</f>
        <v>42460</v>
      </c>
      <c r="C62" s="21">
        <v>2.6283333333333334E-4</v>
      </c>
      <c r="D62" s="21">
        <v>1.7450488010437581E-3</v>
      </c>
      <c r="E62" s="21">
        <v>2.0434531973680947E-3</v>
      </c>
      <c r="F62" s="21">
        <v>8.4586985427637096E-3</v>
      </c>
      <c r="G62" s="21">
        <v>1.3902308915594297E-3</v>
      </c>
      <c r="H62" s="21">
        <v>2.4232475161714007E-3</v>
      </c>
      <c r="I62" s="21">
        <v>2.7141723803574269E-2</v>
      </c>
      <c r="J62" s="21">
        <v>6.5991108718941094E-2</v>
      </c>
      <c r="K62" s="21">
        <v>6.5248162774614205E-2</v>
      </c>
      <c r="L62" s="21">
        <v>-4.7793197542526089E-3</v>
      </c>
      <c r="O62" s="21">
        <f t="shared" ref="O62:S71" si="11">SUMPRODUCT(INDEX(portwts,O$19,),$C62:$L62)</f>
        <v>1.7450488010437581E-3</v>
      </c>
      <c r="P62" s="21">
        <f t="shared" si="11"/>
        <v>8.4586985427637096E-3</v>
      </c>
      <c r="Q62" s="21">
        <f t="shared" si="11"/>
        <v>2.4232475161714007E-3</v>
      </c>
      <c r="R62" s="22">
        <f t="shared" si="11"/>
        <v>6.7136497417199514E-3</v>
      </c>
      <c r="S62" s="22">
        <f t="shared" si="11"/>
        <v>6.7819871512764252E-4</v>
      </c>
      <c r="U62" s="22">
        <f t="shared" si="6"/>
        <v>6.7136497417199514E-3</v>
      </c>
      <c r="V62" s="22">
        <f t="shared" si="7"/>
        <v>6.7819871512764252E-4</v>
      </c>
    </row>
    <row r="63" spans="2:22" s="3" customFormat="1">
      <c r="B63" s="28">
        <f>Univariate!N55</f>
        <v>42489</v>
      </c>
      <c r="C63" s="21">
        <v>1.6525000000000001E-4</v>
      </c>
      <c r="D63" s="21">
        <v>3.6216580311787538E-4</v>
      </c>
      <c r="E63" s="21">
        <v>2.4757090883142929E-4</v>
      </c>
      <c r="F63" s="21">
        <v>4.1174784036310808E-3</v>
      </c>
      <c r="G63" s="21">
        <v>-1.2004718966450723E-3</v>
      </c>
      <c r="H63" s="21">
        <v>2.7608070445017674E-4</v>
      </c>
      <c r="I63" s="21">
        <v>1.3602736367879897E-2</v>
      </c>
      <c r="J63" s="21">
        <v>2.69936982337593E-3</v>
      </c>
      <c r="K63" s="21">
        <v>1.3761133898017253E-2</v>
      </c>
      <c r="L63" s="21">
        <v>4.9304400730074915E-2</v>
      </c>
      <c r="O63" s="21">
        <f t="shared" si="11"/>
        <v>3.6216580311787538E-4</v>
      </c>
      <c r="P63" s="21">
        <f t="shared" si="11"/>
        <v>4.1174784036310808E-3</v>
      </c>
      <c r="Q63" s="21">
        <f t="shared" si="11"/>
        <v>2.7608070445017674E-4</v>
      </c>
      <c r="R63" s="22">
        <f t="shared" si="11"/>
        <v>3.7553126005132054E-3</v>
      </c>
      <c r="S63" s="22">
        <f t="shared" si="11"/>
        <v>-8.6085098667698645E-5</v>
      </c>
      <c r="U63" s="22">
        <f t="shared" si="6"/>
        <v>3.7553126005132054E-3</v>
      </c>
      <c r="V63" s="22">
        <f t="shared" si="7"/>
        <v>-8.6085098667698645E-5</v>
      </c>
    </row>
    <row r="64" spans="2:22" s="3" customFormat="1">
      <c r="B64" s="28">
        <f>Univariate!N56</f>
        <v>42521</v>
      </c>
      <c r="C64" s="21">
        <v>1.7374999999999999E-4</v>
      </c>
      <c r="D64" s="21">
        <v>-1.0628856830331435E-3</v>
      </c>
      <c r="E64" s="21">
        <v>-5.5927657376853013E-4</v>
      </c>
      <c r="F64" s="21">
        <v>1.5459070746159931E-4</v>
      </c>
      <c r="G64" s="21">
        <v>3.748514902548461E-4</v>
      </c>
      <c r="H64" s="21">
        <v>3.9650403269497758E-4</v>
      </c>
      <c r="I64" s="21">
        <v>-6.4936379649593867E-4</v>
      </c>
      <c r="J64" s="21">
        <v>1.5329492083474561E-2</v>
      </c>
      <c r="K64" s="21">
        <v>2.2803447450323588E-3</v>
      </c>
      <c r="L64" s="21">
        <v>-6.0454724668156157E-2</v>
      </c>
      <c r="O64" s="21">
        <f t="shared" si="11"/>
        <v>-1.0628856830331435E-3</v>
      </c>
      <c r="P64" s="21">
        <f t="shared" si="11"/>
        <v>1.5459070746159931E-4</v>
      </c>
      <c r="Q64" s="21">
        <f t="shared" si="11"/>
        <v>3.9650403269497758E-4</v>
      </c>
      <c r="R64" s="22">
        <f t="shared" si="11"/>
        <v>1.2174763904947428E-3</v>
      </c>
      <c r="S64" s="22">
        <f t="shared" si="11"/>
        <v>1.459389715728121E-3</v>
      </c>
      <c r="U64" s="22">
        <f t="shared" si="6"/>
        <v>1.2174763904947428E-3</v>
      </c>
      <c r="V64" s="22">
        <f t="shared" si="7"/>
        <v>1.459389715728121E-3</v>
      </c>
    </row>
    <row r="65" spans="2:22" s="3" customFormat="1">
      <c r="B65" s="28">
        <f>Univariate!N57</f>
        <v>42551</v>
      </c>
      <c r="C65" s="21">
        <v>2.3741666666666665E-4</v>
      </c>
      <c r="D65" s="21">
        <v>5.9906889937983987E-3</v>
      </c>
      <c r="E65" s="21">
        <v>4.4449665516266279E-3</v>
      </c>
      <c r="F65" s="21">
        <v>6.0790218284707542E-3</v>
      </c>
      <c r="G65" s="21">
        <v>2.3245915429732422E-2</v>
      </c>
      <c r="H65" s="21">
        <v>1.2764522849498583E-2</v>
      </c>
      <c r="I65" s="21">
        <v>2.179508100404437E-2</v>
      </c>
      <c r="J65" s="21">
        <v>9.0607355409733081E-4</v>
      </c>
      <c r="K65" s="21">
        <v>-1.2767151754736861E-2</v>
      </c>
      <c r="L65" s="21">
        <v>8.768811763060258E-2</v>
      </c>
      <c r="O65" s="21">
        <f t="shared" si="11"/>
        <v>5.9906889937983987E-3</v>
      </c>
      <c r="P65" s="21">
        <f t="shared" si="11"/>
        <v>6.0790218284707542E-3</v>
      </c>
      <c r="Q65" s="21">
        <f t="shared" si="11"/>
        <v>1.2764522849498583E-2</v>
      </c>
      <c r="R65" s="22">
        <f t="shared" si="11"/>
        <v>8.8332834672355531E-5</v>
      </c>
      <c r="S65" s="22">
        <f t="shared" si="11"/>
        <v>6.7738338557001843E-3</v>
      </c>
      <c r="U65" s="22">
        <f t="shared" si="6"/>
        <v>8.8332834672355531E-5</v>
      </c>
      <c r="V65" s="22">
        <f t="shared" si="7"/>
        <v>6.7738338557001843E-3</v>
      </c>
    </row>
    <row r="66" spans="2:22" s="3" customFormat="1">
      <c r="B66" s="28">
        <f>Univariate!N58</f>
        <v>42580</v>
      </c>
      <c r="C66" s="21">
        <v>2.1558333333333333E-4</v>
      </c>
      <c r="D66" s="21">
        <v>-5.7077088298329581E-4</v>
      </c>
      <c r="E66" s="21">
        <v>-3.0581958067155135E-4</v>
      </c>
      <c r="F66" s="21">
        <v>2.2605119529390816E-3</v>
      </c>
      <c r="G66" s="21">
        <v>4.2456896419305057E-3</v>
      </c>
      <c r="H66" s="21">
        <v>2.623848785514804E-3</v>
      </c>
      <c r="I66" s="21">
        <v>1.4501917690883159E-2</v>
      </c>
      <c r="J66" s="21">
        <v>3.5609807228685897E-2</v>
      </c>
      <c r="K66" s="21">
        <v>4.1470333831348238E-2</v>
      </c>
      <c r="L66" s="21">
        <v>2.2225584386110775E-2</v>
      </c>
      <c r="O66" s="21">
        <f t="shared" si="11"/>
        <v>-5.7077088298329581E-4</v>
      </c>
      <c r="P66" s="21">
        <f t="shared" si="11"/>
        <v>2.2605119529390816E-3</v>
      </c>
      <c r="Q66" s="21">
        <f t="shared" si="11"/>
        <v>2.623848785514804E-3</v>
      </c>
      <c r="R66" s="22">
        <f t="shared" si="11"/>
        <v>2.8312828359223774E-3</v>
      </c>
      <c r="S66" s="22">
        <f t="shared" si="11"/>
        <v>3.1946196684980999E-3</v>
      </c>
      <c r="U66" s="22">
        <f t="shared" si="6"/>
        <v>2.8312828359223774E-3</v>
      </c>
      <c r="V66" s="22">
        <f t="shared" si="7"/>
        <v>3.1946196684980999E-3</v>
      </c>
    </row>
    <row r="67" spans="2:22" s="3" customFormat="1">
      <c r="B67" s="28">
        <f>Univariate!N59</f>
        <v>42613</v>
      </c>
      <c r="C67" s="21">
        <v>2.1133333333333334E-4</v>
      </c>
      <c r="D67" s="21">
        <v>-1.6602050811351798E-3</v>
      </c>
      <c r="E67" s="21">
        <v>-8.8058716350547517E-4</v>
      </c>
      <c r="F67" s="21">
        <v>3.1979744558774392E-4</v>
      </c>
      <c r="G67" s="21">
        <v>-5.7267215803793459E-3</v>
      </c>
      <c r="H67" s="21">
        <v>-1.9741681522077448E-3</v>
      </c>
      <c r="I67" s="21">
        <v>2.7415164014816806E-3</v>
      </c>
      <c r="J67" s="21">
        <v>-1.2191755612808164E-3</v>
      </c>
      <c r="K67" s="21">
        <v>-1.3183953908432189E-3</v>
      </c>
      <c r="L67" s="21">
        <v>-3.1311053223610164E-2</v>
      </c>
      <c r="O67" s="21">
        <f t="shared" si="11"/>
        <v>-1.6602050811351798E-3</v>
      </c>
      <c r="P67" s="21">
        <f t="shared" si="11"/>
        <v>3.1979744558774392E-4</v>
      </c>
      <c r="Q67" s="21">
        <f t="shared" si="11"/>
        <v>-1.9741681522077448E-3</v>
      </c>
      <c r="R67" s="22">
        <f t="shared" si="11"/>
        <v>1.9800025267229238E-3</v>
      </c>
      <c r="S67" s="22">
        <f t="shared" si="11"/>
        <v>-3.1396307107256494E-4</v>
      </c>
      <c r="U67" s="22">
        <f t="shared" si="6"/>
        <v>1.9800025267229238E-3</v>
      </c>
      <c r="V67" s="22">
        <f t="shared" si="7"/>
        <v>-3.1396307107256494E-4</v>
      </c>
    </row>
    <row r="68" spans="2:22" s="3" customFormat="1">
      <c r="B68" s="28">
        <f>Univariate!N60</f>
        <v>42643</v>
      </c>
      <c r="C68" s="21">
        <v>2.7483333333333331E-4</v>
      </c>
      <c r="D68" s="21">
        <v>1.1621035875981622E-3</v>
      </c>
      <c r="E68" s="21">
        <v>1.515090379294648E-3</v>
      </c>
      <c r="F68" s="21">
        <v>7.7099427012439214E-4</v>
      </c>
      <c r="G68" s="21">
        <v>-1.8386753168915249E-3</v>
      </c>
      <c r="H68" s="21">
        <v>6.9919808022667063E-4</v>
      </c>
      <c r="I68" s="21">
        <v>-2.8800244945604847E-3</v>
      </c>
      <c r="J68" s="21">
        <v>-1.2344825997834263E-3</v>
      </c>
      <c r="K68" s="21">
        <v>3.5765795105611176E-3</v>
      </c>
      <c r="L68" s="21">
        <v>5.2713201983236591E-3</v>
      </c>
      <c r="O68" s="21">
        <f t="shared" si="11"/>
        <v>1.1621035875981622E-3</v>
      </c>
      <c r="P68" s="21">
        <f t="shared" si="11"/>
        <v>7.7099427012439214E-4</v>
      </c>
      <c r="Q68" s="21">
        <f t="shared" si="11"/>
        <v>6.9919808022667063E-4</v>
      </c>
      <c r="R68" s="22">
        <f t="shared" si="11"/>
        <v>-3.9110931747377009E-4</v>
      </c>
      <c r="S68" s="22">
        <f t="shared" si="11"/>
        <v>-4.6290550737149161E-4</v>
      </c>
      <c r="U68" s="22">
        <f t="shared" si="6"/>
        <v>-3.9110931747377009E-4</v>
      </c>
      <c r="V68" s="22">
        <f t="shared" si="7"/>
        <v>-4.6290550737149161E-4</v>
      </c>
    </row>
    <row r="69" spans="2:22" s="3" customFormat="1">
      <c r="B69" s="28">
        <f>Univariate!N61</f>
        <v>42674</v>
      </c>
      <c r="C69" s="21">
        <v>2.2824999999999999E-4</v>
      </c>
      <c r="D69" s="21">
        <v>-6.6904014583524241E-4</v>
      </c>
      <c r="E69" s="21">
        <v>-8.8476979395957223E-5</v>
      </c>
      <c r="F69" s="21">
        <v>4.7436962881475253E-4</v>
      </c>
      <c r="G69" s="21">
        <v>-1.151288919576221E-2</v>
      </c>
      <c r="H69" s="21">
        <v>-4.5227010929861367E-3</v>
      </c>
      <c r="I69" s="21">
        <v>-8.2772866137545975E-3</v>
      </c>
      <c r="J69" s="21">
        <v>-1.9425625037472249E-2</v>
      </c>
      <c r="K69" s="21">
        <v>-2.0137106167459562E-2</v>
      </c>
      <c r="L69" s="21">
        <v>-2.9379801956120222E-2</v>
      </c>
      <c r="O69" s="21">
        <f t="shared" si="11"/>
        <v>-6.6904014583524241E-4</v>
      </c>
      <c r="P69" s="21">
        <f t="shared" si="11"/>
        <v>4.7436962881475253E-4</v>
      </c>
      <c r="Q69" s="21">
        <f t="shared" si="11"/>
        <v>-4.5227010929861367E-3</v>
      </c>
      <c r="R69" s="22">
        <f t="shared" si="11"/>
        <v>1.1434097746499949E-3</v>
      </c>
      <c r="S69" s="22">
        <f t="shared" si="11"/>
        <v>-3.8536609471508942E-3</v>
      </c>
      <c r="U69" s="22">
        <f t="shared" si="6"/>
        <v>1.1434097746499949E-3</v>
      </c>
      <c r="V69" s="22">
        <f t="shared" si="7"/>
        <v>-3.8536609471508942E-3</v>
      </c>
    </row>
    <row r="70" spans="2:22" s="3" customFormat="1">
      <c r="B70" s="28">
        <f>Univariate!N62</f>
        <v>42704</v>
      </c>
      <c r="C70" s="21">
        <v>2.4941666666666667E-4</v>
      </c>
      <c r="D70" s="21">
        <v>-3.9680668767997362E-3</v>
      </c>
      <c r="E70" s="21">
        <v>-3.9652254703520518E-3</v>
      </c>
      <c r="F70" s="21">
        <v>-4.234892489187625E-3</v>
      </c>
      <c r="G70" s="21">
        <v>-2.7309126741589806E-2</v>
      </c>
      <c r="H70" s="21">
        <v>-1.4909534956887072E-2</v>
      </c>
      <c r="I70" s="21">
        <v>-2.6791531353187459E-2</v>
      </c>
      <c r="J70" s="21">
        <v>3.4174446769983158E-2</v>
      </c>
      <c r="K70" s="21">
        <v>1.2519811700139494E-2</v>
      </c>
      <c r="L70" s="21">
        <v>-8.143531604043186E-2</v>
      </c>
      <c r="O70" s="21">
        <f t="shared" si="11"/>
        <v>-3.9680668767997362E-3</v>
      </c>
      <c r="P70" s="21">
        <f t="shared" si="11"/>
        <v>-4.234892489187625E-3</v>
      </c>
      <c r="Q70" s="21">
        <f t="shared" si="11"/>
        <v>-1.4909534956887072E-2</v>
      </c>
      <c r="R70" s="22">
        <f t="shared" si="11"/>
        <v>-2.6682561238788871E-4</v>
      </c>
      <c r="S70" s="22">
        <f t="shared" si="11"/>
        <v>-1.0941468080087335E-2</v>
      </c>
      <c r="U70" s="22">
        <f t="shared" si="6"/>
        <v>-2.6682561238788871E-4</v>
      </c>
      <c r="V70" s="22">
        <f t="shared" si="7"/>
        <v>-1.0941468080087335E-2</v>
      </c>
    </row>
    <row r="71" spans="2:22" s="3" customFormat="1">
      <c r="B71" s="28">
        <f>Univariate!N63</f>
        <v>42734</v>
      </c>
      <c r="C71" s="21">
        <v>3.9758333333333334E-4</v>
      </c>
      <c r="D71" s="21">
        <v>2.9691875786408417E-4</v>
      </c>
      <c r="E71" s="21">
        <v>6.4168917337914522E-4</v>
      </c>
      <c r="F71" s="21">
        <v>1.638235623849349E-3</v>
      </c>
      <c r="G71" s="21">
        <v>-1.1464242847030182E-3</v>
      </c>
      <c r="H71" s="21">
        <v>-1.4365171732482196E-3</v>
      </c>
      <c r="I71" s="21">
        <v>6.2562737648186317E-3</v>
      </c>
      <c r="J71" s="21">
        <v>1.8200754044233047E-2</v>
      </c>
      <c r="K71" s="21">
        <v>2.2855106916108481E-2</v>
      </c>
      <c r="L71" s="21">
        <v>-2.1905898397545198E-2</v>
      </c>
      <c r="O71" s="21">
        <f t="shared" si="11"/>
        <v>2.9691875786408417E-4</v>
      </c>
      <c r="P71" s="21">
        <f t="shared" si="11"/>
        <v>1.638235623849349E-3</v>
      </c>
      <c r="Q71" s="21">
        <f t="shared" si="11"/>
        <v>-1.4365171732482196E-3</v>
      </c>
      <c r="R71" s="22">
        <f t="shared" si="11"/>
        <v>1.3413168659852648E-3</v>
      </c>
      <c r="S71" s="22">
        <f t="shared" si="11"/>
        <v>-1.7334359311123038E-3</v>
      </c>
      <c r="U71" s="22">
        <f t="shared" si="6"/>
        <v>1.3413168659852648E-3</v>
      </c>
      <c r="V71" s="22">
        <f t="shared" si="7"/>
        <v>-1.7334359311123038E-3</v>
      </c>
    </row>
    <row r="72" spans="2:22" s="3" customFormat="1">
      <c r="B72" s="28">
        <f>Univariate!N64</f>
        <v>42766</v>
      </c>
      <c r="C72" s="21">
        <v>4.1449999999999999E-4</v>
      </c>
      <c r="D72" s="21">
        <v>1.2595942970663465E-3</v>
      </c>
      <c r="E72" s="21">
        <v>1.4926153982737222E-3</v>
      </c>
      <c r="F72" s="21">
        <v>2.8715504687633064E-3</v>
      </c>
      <c r="G72" s="21">
        <v>2.2582492213598648E-3</v>
      </c>
      <c r="H72" s="21">
        <v>2.7233480850845648E-3</v>
      </c>
      <c r="I72" s="21">
        <v>4.1011262270076454E-3</v>
      </c>
      <c r="J72" s="21">
        <v>1.7884341374735824E-2</v>
      </c>
      <c r="K72" s="21">
        <v>2.3515035232580805E-2</v>
      </c>
      <c r="L72" s="21">
        <v>5.5093681917211423E-2</v>
      </c>
      <c r="O72" s="21">
        <f t="shared" ref="O72:S81" si="12">SUMPRODUCT(INDEX(portwts,O$19,),$C72:$L72)</f>
        <v>1.2595942970663465E-3</v>
      </c>
      <c r="P72" s="21">
        <f t="shared" si="12"/>
        <v>2.8715504687633064E-3</v>
      </c>
      <c r="Q72" s="21">
        <f t="shared" si="12"/>
        <v>2.7233480850845648E-3</v>
      </c>
      <c r="R72" s="22">
        <f t="shared" si="12"/>
        <v>1.6119561716969599E-3</v>
      </c>
      <c r="S72" s="22">
        <f t="shared" si="12"/>
        <v>1.4637537880182183E-3</v>
      </c>
      <c r="U72" s="22">
        <f t="shared" si="6"/>
        <v>1.6119561716969599E-3</v>
      </c>
      <c r="V72" s="22">
        <f t="shared" si="7"/>
        <v>1.4637537880182183E-3</v>
      </c>
    </row>
    <row r="73" spans="2:22" s="3" customFormat="1">
      <c r="B73" s="28">
        <f>Univariate!N65</f>
        <v>42794</v>
      </c>
      <c r="C73" s="21">
        <v>4.2725000000000006E-4</v>
      </c>
      <c r="D73" s="21">
        <v>1.0199846529690415E-3</v>
      </c>
      <c r="E73" s="21">
        <v>1.1263017174716339E-3</v>
      </c>
      <c r="F73" s="21">
        <v>3.3637506960311203E-3</v>
      </c>
      <c r="G73" s="21">
        <v>5.1711262346592068E-3</v>
      </c>
      <c r="H73" s="21">
        <v>3.9337034794455494E-3</v>
      </c>
      <c r="I73" s="21">
        <v>1.1310662928395665E-2</v>
      </c>
      <c r="J73" s="21">
        <v>3.7198260541408734E-2</v>
      </c>
      <c r="K73" s="21">
        <v>2.5831287659004554E-2</v>
      </c>
      <c r="L73" s="21">
        <v>3.1155015197568359E-2</v>
      </c>
      <c r="O73" s="21">
        <f t="shared" si="12"/>
        <v>1.0199846529690415E-3</v>
      </c>
      <c r="P73" s="21">
        <f t="shared" si="12"/>
        <v>3.3637506960311203E-3</v>
      </c>
      <c r="Q73" s="21">
        <f t="shared" si="12"/>
        <v>3.9337034794455494E-3</v>
      </c>
      <c r="R73" s="22">
        <f t="shared" si="12"/>
        <v>2.3437660430620788E-3</v>
      </c>
      <c r="S73" s="22">
        <f t="shared" si="12"/>
        <v>2.9137188264765079E-3</v>
      </c>
      <c r="U73" s="22">
        <f t="shared" si="6"/>
        <v>2.3437660430620788E-3</v>
      </c>
      <c r="V73" s="22">
        <f t="shared" si="7"/>
        <v>2.9137188264765079E-3</v>
      </c>
    </row>
    <row r="74" spans="2:22" s="3" customFormat="1">
      <c r="B74" s="28">
        <f>Univariate!N66</f>
        <v>42825</v>
      </c>
      <c r="C74" s="21">
        <v>5.0349999999999993E-4</v>
      </c>
      <c r="D74" s="21">
        <v>3.210493334364628E-4</v>
      </c>
      <c r="E74" s="21">
        <v>4.2376566391277848E-4</v>
      </c>
      <c r="F74" s="21">
        <v>7.8579211313489772E-4</v>
      </c>
      <c r="G74" s="21">
        <v>-5.8683501589096299E-4</v>
      </c>
      <c r="H74" s="21">
        <v>7.5457879896112523E-4</v>
      </c>
      <c r="I74" s="21">
        <v>-1.2306723182694546E-3</v>
      </c>
      <c r="J74" s="21">
        <v>-3.8923017041514463E-4</v>
      </c>
      <c r="K74" s="21">
        <v>8.152499048240669E-3</v>
      </c>
      <c r="L74" s="21">
        <v>6.087597321458027E-4</v>
      </c>
      <c r="O74" s="21">
        <f t="shared" si="12"/>
        <v>3.210493334364628E-4</v>
      </c>
      <c r="P74" s="21">
        <f t="shared" si="12"/>
        <v>7.8579211313489772E-4</v>
      </c>
      <c r="Q74" s="21">
        <f t="shared" si="12"/>
        <v>7.5457879896112523E-4</v>
      </c>
      <c r="R74" s="22">
        <f t="shared" si="12"/>
        <v>4.6474277969843492E-4</v>
      </c>
      <c r="S74" s="22">
        <f t="shared" si="12"/>
        <v>4.3352946552466243E-4</v>
      </c>
      <c r="U74" s="22">
        <f t="shared" si="6"/>
        <v>4.6474277969843492E-4</v>
      </c>
      <c r="V74" s="22">
        <f t="shared" si="7"/>
        <v>4.3352946552466243E-4</v>
      </c>
    </row>
    <row r="75" spans="2:22" s="3" customFormat="1">
      <c r="B75" s="28">
        <f>Univariate!N67</f>
        <v>42853</v>
      </c>
      <c r="C75" s="21">
        <v>6.2633333333333334E-4</v>
      </c>
      <c r="D75" s="21">
        <v>1.3859044506840945E-3</v>
      </c>
      <c r="E75" s="21">
        <v>1.3466246663074166E-3</v>
      </c>
      <c r="F75" s="21">
        <v>2.5485326666316865E-3</v>
      </c>
      <c r="G75" s="21">
        <v>7.0034395590732323E-3</v>
      </c>
      <c r="H75" s="21">
        <v>5.0291985433685849E-3</v>
      </c>
      <c r="I75" s="21">
        <v>9.9762185769320944E-3</v>
      </c>
      <c r="J75" s="21">
        <v>9.0912169025529899E-3</v>
      </c>
      <c r="K75" s="21">
        <v>1.3265432731470739E-2</v>
      </c>
      <c r="L75" s="21">
        <v>1.5273775216138263E-2</v>
      </c>
      <c r="O75" s="21">
        <f t="shared" si="12"/>
        <v>1.3859044506840945E-3</v>
      </c>
      <c r="P75" s="21">
        <f t="shared" si="12"/>
        <v>2.5485326666316865E-3</v>
      </c>
      <c r="Q75" s="21">
        <f t="shared" si="12"/>
        <v>5.0291985433685849E-3</v>
      </c>
      <c r="R75" s="22">
        <f t="shared" si="12"/>
        <v>1.162628215947592E-3</v>
      </c>
      <c r="S75" s="22">
        <f t="shared" si="12"/>
        <v>3.6432940926844903E-3</v>
      </c>
      <c r="U75" s="22">
        <f t="shared" si="6"/>
        <v>1.162628215947592E-3</v>
      </c>
      <c r="V75" s="22">
        <f t="shared" si="7"/>
        <v>3.6432940926844903E-3</v>
      </c>
    </row>
    <row r="76" spans="2:22" s="3" customFormat="1">
      <c r="B76" s="28">
        <f>Univariate!N68</f>
        <v>42886</v>
      </c>
      <c r="C76" s="21">
        <v>6.6025000000000003E-4</v>
      </c>
      <c r="D76" s="21">
        <v>1.1568926377922839E-3</v>
      </c>
      <c r="E76" s="21">
        <v>1.4418865273975179E-3</v>
      </c>
      <c r="F76" s="21">
        <v>2.7321866970402287E-3</v>
      </c>
      <c r="G76" s="21">
        <v>6.7014878125990496E-3</v>
      </c>
      <c r="H76" s="21">
        <v>4.3642228758629109E-3</v>
      </c>
      <c r="I76" s="21">
        <v>1.1623927349114549E-2</v>
      </c>
      <c r="J76" s="21">
        <v>1.1576210049492719E-2</v>
      </c>
      <c r="K76" s="21">
        <v>1.7814170411227348E-2</v>
      </c>
      <c r="L76" s="21">
        <v>5.046204308196689E-4</v>
      </c>
      <c r="O76" s="21">
        <f t="shared" si="12"/>
        <v>1.1568926377922839E-3</v>
      </c>
      <c r="P76" s="21">
        <f t="shared" si="12"/>
        <v>2.7321866970402287E-3</v>
      </c>
      <c r="Q76" s="21">
        <f t="shared" si="12"/>
        <v>4.3642228758629109E-3</v>
      </c>
      <c r="R76" s="22">
        <f t="shared" si="12"/>
        <v>1.5752940592479447E-3</v>
      </c>
      <c r="S76" s="22">
        <f t="shared" si="12"/>
        <v>3.207330238070627E-3</v>
      </c>
      <c r="U76" s="22">
        <f t="shared" si="6"/>
        <v>1.5752940592479447E-3</v>
      </c>
      <c r="V76" s="22">
        <f t="shared" si="7"/>
        <v>3.207330238070627E-3</v>
      </c>
    </row>
    <row r="77" spans="2:22" s="3" customFormat="1">
      <c r="B77" s="28">
        <f>Univariate!N69</f>
        <v>42916</v>
      </c>
      <c r="C77" s="21">
        <v>8.0883333333333339E-4</v>
      </c>
      <c r="D77" s="21">
        <v>-8.0204131069117057E-4</v>
      </c>
      <c r="E77" s="21">
        <v>-2.4903126051567526E-4</v>
      </c>
      <c r="F77" s="21">
        <v>6.9842322783286725E-4</v>
      </c>
      <c r="G77" s="21">
        <v>-1.4999198156073756E-3</v>
      </c>
      <c r="H77" s="21">
        <v>-6.063772226055919E-4</v>
      </c>
      <c r="I77" s="21">
        <v>2.4540228281686449E-3</v>
      </c>
      <c r="J77" s="21">
        <v>4.8138319927024664E-3</v>
      </c>
      <c r="K77" s="21">
        <v>2.4532624729305397E-3</v>
      </c>
      <c r="L77" s="21">
        <v>-2.152223938467368E-2</v>
      </c>
      <c r="O77" s="21">
        <f t="shared" si="12"/>
        <v>-8.0204131069117057E-4</v>
      </c>
      <c r="P77" s="21">
        <f t="shared" si="12"/>
        <v>6.9842322783286725E-4</v>
      </c>
      <c r="Q77" s="21">
        <f t="shared" si="12"/>
        <v>-6.063772226055919E-4</v>
      </c>
      <c r="R77" s="22">
        <f t="shared" si="12"/>
        <v>1.5004645385240378E-3</v>
      </c>
      <c r="S77" s="22">
        <f t="shared" si="12"/>
        <v>1.9566408808557867E-4</v>
      </c>
      <c r="U77" s="22">
        <f t="shared" si="6"/>
        <v>1.5004645385240378E-3</v>
      </c>
      <c r="V77" s="22">
        <f t="shared" si="7"/>
        <v>1.9566408808557867E-4</v>
      </c>
    </row>
    <row r="78" spans="2:22" s="3" customFormat="1">
      <c r="B78" s="28">
        <f>Univariate!N70</f>
        <v>42947</v>
      </c>
      <c r="C78" s="21">
        <v>8.4275000000000007E-4</v>
      </c>
      <c r="D78" s="21">
        <v>2.1296426380839062E-3</v>
      </c>
      <c r="E78" s="21">
        <v>2.1188695263520962E-3</v>
      </c>
      <c r="F78" s="21">
        <v>3.9737789984888305E-3</v>
      </c>
      <c r="G78" s="21">
        <v>1.5204383699691792E-3</v>
      </c>
      <c r="H78" s="21">
        <v>2.7943614040748521E-3</v>
      </c>
      <c r="I78" s="21">
        <v>7.4729816467542509E-3</v>
      </c>
      <c r="J78" s="21">
        <v>1.9348768883515444E-2</v>
      </c>
      <c r="K78" s="21">
        <v>2.330896510699576E-2</v>
      </c>
      <c r="L78" s="21">
        <v>2.2414445759940893E-2</v>
      </c>
      <c r="O78" s="21">
        <f t="shared" si="12"/>
        <v>2.1296426380839062E-3</v>
      </c>
      <c r="P78" s="21">
        <f t="shared" si="12"/>
        <v>3.9737789984888305E-3</v>
      </c>
      <c r="Q78" s="21">
        <f t="shared" si="12"/>
        <v>2.7943614040748521E-3</v>
      </c>
      <c r="R78" s="22">
        <f t="shared" si="12"/>
        <v>1.8441363604049243E-3</v>
      </c>
      <c r="S78" s="22">
        <f t="shared" si="12"/>
        <v>6.6471876599094593E-4</v>
      </c>
      <c r="U78" s="22">
        <f t="shared" si="6"/>
        <v>1.8441363604049243E-3</v>
      </c>
      <c r="V78" s="22">
        <f t="shared" si="7"/>
        <v>6.6471876599094593E-4</v>
      </c>
    </row>
    <row r="79" spans="2:22" s="3" customFormat="1">
      <c r="B79" s="28">
        <f>Univariate!N71</f>
        <v>42978</v>
      </c>
      <c r="C79" s="21">
        <v>8.9366666666666663E-4</v>
      </c>
      <c r="D79" s="21">
        <v>1.8943117647360896E-3</v>
      </c>
      <c r="E79" s="21">
        <v>1.7981749232471866E-3</v>
      </c>
      <c r="F79" s="21">
        <v>2.0281311493255405E-3</v>
      </c>
      <c r="G79" s="21">
        <v>1.1306736498137848E-2</v>
      </c>
      <c r="H79" s="21">
        <v>7.3344561192607571E-3</v>
      </c>
      <c r="I79" s="21">
        <v>8.4693578904266875E-3</v>
      </c>
      <c r="J79" s="21">
        <v>5.4649232886694321E-4</v>
      </c>
      <c r="K79" s="21">
        <v>-6.9348834837590356E-4</v>
      </c>
      <c r="L79" s="21">
        <v>4.0955066801109163E-2</v>
      </c>
      <c r="O79" s="21">
        <f t="shared" si="12"/>
        <v>1.8943117647360896E-3</v>
      </c>
      <c r="P79" s="21">
        <f t="shared" si="12"/>
        <v>2.0281311493255405E-3</v>
      </c>
      <c r="Q79" s="21">
        <f t="shared" si="12"/>
        <v>7.3344561192607571E-3</v>
      </c>
      <c r="R79" s="22">
        <f t="shared" si="12"/>
        <v>1.3381938458945086E-4</v>
      </c>
      <c r="S79" s="22">
        <f t="shared" si="12"/>
        <v>5.4401443545246675E-3</v>
      </c>
      <c r="U79" s="22">
        <f t="shared" si="6"/>
        <v>1.3381938458945086E-4</v>
      </c>
      <c r="V79" s="22">
        <f t="shared" si="7"/>
        <v>5.4401443545246675E-3</v>
      </c>
    </row>
    <row r="80" spans="2:22" s="3" customFormat="1">
      <c r="B80" s="28">
        <f>Univariate!N72</f>
        <v>43007</v>
      </c>
      <c r="C80" s="21">
        <v>8.2583333333333337E-4</v>
      </c>
      <c r="D80" s="21">
        <v>-1.6364712969079154E-3</v>
      </c>
      <c r="E80" s="21">
        <v>-1.1181124001334863E-3</v>
      </c>
      <c r="F80" s="21">
        <v>1.1631655580179867E-4</v>
      </c>
      <c r="G80" s="21">
        <v>-8.7948893503050352E-3</v>
      </c>
      <c r="H80" s="21">
        <v>-5.0203692605020889E-3</v>
      </c>
      <c r="I80" s="21">
        <v>-2.2821993994576184E-3</v>
      </c>
      <c r="J80" s="21">
        <v>1.9302894827342154E-2</v>
      </c>
      <c r="K80" s="21">
        <v>2.082419096410737E-2</v>
      </c>
      <c r="L80" s="21">
        <v>-3.1541587522608161E-2</v>
      </c>
      <c r="O80" s="21">
        <f t="shared" si="12"/>
        <v>-1.6364712969079154E-3</v>
      </c>
      <c r="P80" s="21">
        <f t="shared" si="12"/>
        <v>1.1631655580179867E-4</v>
      </c>
      <c r="Q80" s="21">
        <f t="shared" si="12"/>
        <v>-5.0203692605020889E-3</v>
      </c>
      <c r="R80" s="22">
        <f t="shared" si="12"/>
        <v>1.752787852709714E-3</v>
      </c>
      <c r="S80" s="22">
        <f t="shared" si="12"/>
        <v>-3.3838979635941735E-3</v>
      </c>
      <c r="U80" s="22">
        <f t="shared" si="6"/>
        <v>1.752787852709714E-3</v>
      </c>
      <c r="V80" s="22">
        <f t="shared" si="7"/>
        <v>-3.3838979635941735E-3</v>
      </c>
    </row>
    <row r="81" spans="2:22" s="3" customFormat="1">
      <c r="B81" s="28">
        <f>Univariate!N73</f>
        <v>43039</v>
      </c>
      <c r="C81" s="21">
        <v>8.6708333333333331E-4</v>
      </c>
      <c r="D81" s="21">
        <v>-6.0763206382963286E-4</v>
      </c>
      <c r="E81" s="21">
        <v>-2.4603997481442708E-4</v>
      </c>
      <c r="F81" s="21">
        <v>8.7847160110299249E-4</v>
      </c>
      <c r="G81" s="21">
        <v>-1.0979014398193598E-3</v>
      </c>
      <c r="H81" s="21">
        <v>1.9835188819050664E-4</v>
      </c>
      <c r="I81" s="21">
        <v>4.0358258169133077E-3</v>
      </c>
      <c r="J81" s="21">
        <v>2.2188174774546043E-2</v>
      </c>
      <c r="K81" s="21">
        <v>1.8120016995326393E-2</v>
      </c>
      <c r="L81" s="21">
        <v>-6.4778277007228047E-3</v>
      </c>
      <c r="O81" s="21">
        <f t="shared" si="12"/>
        <v>-6.0763206382963286E-4</v>
      </c>
      <c r="P81" s="21">
        <f t="shared" si="12"/>
        <v>8.7847160110299249E-4</v>
      </c>
      <c r="Q81" s="21">
        <f t="shared" si="12"/>
        <v>1.9835188819050664E-4</v>
      </c>
      <c r="R81" s="22">
        <f t="shared" si="12"/>
        <v>1.4861036649326254E-3</v>
      </c>
      <c r="S81" s="22">
        <f t="shared" si="12"/>
        <v>8.059839520201395E-4</v>
      </c>
      <c r="U81" s="22">
        <f t="shared" si="6"/>
        <v>1.4861036649326254E-3</v>
      </c>
      <c r="V81" s="22">
        <f t="shared" si="7"/>
        <v>8.059839520201395E-4</v>
      </c>
    </row>
    <row r="82" spans="2:22" s="3" customFormat="1">
      <c r="B82" s="28">
        <f>Univariate!N74</f>
        <v>43069</v>
      </c>
      <c r="C82" s="21">
        <v>9.4266666666666663E-4</v>
      </c>
      <c r="D82" s="21">
        <v>-2.0146997832231062E-3</v>
      </c>
      <c r="E82" s="21">
        <v>-1.8728800366084597E-3</v>
      </c>
      <c r="F82" s="21">
        <v>-2.1559110006906801E-3</v>
      </c>
      <c r="G82" s="21">
        <v>-1.2127873382741239E-3</v>
      </c>
      <c r="H82" s="21">
        <v>-1.6044082426390771E-3</v>
      </c>
      <c r="I82" s="21">
        <v>-1.4039017808715748E-3</v>
      </c>
      <c r="J82" s="21">
        <v>2.8082601368405458E-2</v>
      </c>
      <c r="K82" s="21">
        <v>1.99135899450118E-2</v>
      </c>
      <c r="L82" s="21">
        <v>2.792065814103406E-3</v>
      </c>
      <c r="O82" s="21">
        <f t="shared" ref="O82:S91" si="13">SUMPRODUCT(INDEX(portwts,O$19,),$C82:$L82)</f>
        <v>-2.0146997832231062E-3</v>
      </c>
      <c r="P82" s="21">
        <f t="shared" si="13"/>
        <v>-2.1559110006906801E-3</v>
      </c>
      <c r="Q82" s="21">
        <f t="shared" si="13"/>
        <v>-1.6044082426390771E-3</v>
      </c>
      <c r="R82" s="22">
        <f t="shared" si="13"/>
        <v>-1.4121121746757392E-4</v>
      </c>
      <c r="S82" s="22">
        <f t="shared" si="13"/>
        <v>4.1029154058402906E-4</v>
      </c>
      <c r="U82" s="22">
        <f t="shared" si="6"/>
        <v>-1.4121121746757392E-4</v>
      </c>
      <c r="V82" s="22">
        <f t="shared" si="7"/>
        <v>4.1029154058402906E-4</v>
      </c>
    </row>
    <row r="83" spans="2:22" s="3" customFormat="1">
      <c r="B83" s="28">
        <f>Univariate!N75</f>
        <v>43098</v>
      </c>
      <c r="C83" s="21">
        <v>1.0466666666666667E-3</v>
      </c>
      <c r="D83" s="21">
        <v>1.1996068716912944E-4</v>
      </c>
      <c r="E83" s="21">
        <v>2.1268953000364021E-4</v>
      </c>
      <c r="F83" s="21">
        <v>1.0776244263113188E-3</v>
      </c>
      <c r="G83" s="21">
        <v>3.4610496714706507E-3</v>
      </c>
      <c r="H83" s="21">
        <v>1.454193244943669E-3</v>
      </c>
      <c r="I83" s="21">
        <v>8.527452873188901E-3</v>
      </c>
      <c r="J83" s="21">
        <v>9.8316198188534987E-3</v>
      </c>
      <c r="K83" s="21">
        <v>1.2559209766241697E-2</v>
      </c>
      <c r="L83" s="21">
        <v>2.1795907483078469E-2</v>
      </c>
      <c r="O83" s="21">
        <f t="shared" si="13"/>
        <v>1.1996068716912944E-4</v>
      </c>
      <c r="P83" s="21">
        <f t="shared" si="13"/>
        <v>1.0776244263113188E-3</v>
      </c>
      <c r="Q83" s="21">
        <f t="shared" si="13"/>
        <v>1.454193244943669E-3</v>
      </c>
      <c r="R83" s="22">
        <f t="shared" si="13"/>
        <v>9.5766373914218939E-4</v>
      </c>
      <c r="S83" s="22">
        <f t="shared" si="13"/>
        <v>1.3342325577745395E-3</v>
      </c>
      <c r="U83" s="22">
        <f t="shared" si="6"/>
        <v>9.5766373914218939E-4</v>
      </c>
      <c r="V83" s="22">
        <f t="shared" si="7"/>
        <v>1.3342325577745395E-3</v>
      </c>
    </row>
    <row r="84" spans="2:22" s="3" customFormat="1">
      <c r="B84" s="28">
        <f>Univariate!N76</f>
        <v>43131</v>
      </c>
      <c r="C84" s="21">
        <v>1.1464166666666667E-3</v>
      </c>
      <c r="D84" s="21">
        <v>-2.8744273635203932E-3</v>
      </c>
      <c r="E84" s="21">
        <v>-2.2571798955052236E-3</v>
      </c>
      <c r="F84" s="21">
        <v>-1.7389948786749043E-3</v>
      </c>
      <c r="G84" s="21">
        <v>-1.3959378934221722E-2</v>
      </c>
      <c r="H84" s="21">
        <v>-7.9297322504744416E-3</v>
      </c>
      <c r="I84" s="21">
        <v>-9.2413589736451973E-3</v>
      </c>
      <c r="J84" s="21">
        <v>5.6178724645703726E-2</v>
      </c>
      <c r="K84" s="21">
        <v>5.2195203118685862E-2</v>
      </c>
      <c r="L84" s="21">
        <v>3.2499232422474877E-2</v>
      </c>
      <c r="O84" s="21">
        <f t="shared" si="13"/>
        <v>-2.8744273635203932E-3</v>
      </c>
      <c r="P84" s="21">
        <f t="shared" si="13"/>
        <v>-1.7389948786749043E-3</v>
      </c>
      <c r="Q84" s="21">
        <f t="shared" si="13"/>
        <v>-7.9297322504744416E-3</v>
      </c>
      <c r="R84" s="22">
        <f t="shared" si="13"/>
        <v>1.1354324848454889E-3</v>
      </c>
      <c r="S84" s="22">
        <f t="shared" si="13"/>
        <v>-5.0553048869540484E-3</v>
      </c>
      <c r="U84" s="22">
        <f t="shared" si="6"/>
        <v>1.1354324848454889E-3</v>
      </c>
      <c r="V84" s="22">
        <f t="shared" si="7"/>
        <v>-5.0553048869540484E-3</v>
      </c>
    </row>
    <row r="85" spans="2:22" s="3" customFormat="1">
      <c r="B85" s="28">
        <f>Univariate!N77</f>
        <v>43159</v>
      </c>
      <c r="C85" s="21">
        <v>1.2125833333333333E-3</v>
      </c>
      <c r="D85" s="21">
        <v>-3.7977924686849462E-4</v>
      </c>
      <c r="E85" s="21">
        <v>1.7365770487831611E-5</v>
      </c>
      <c r="F85" s="21">
        <v>-2.2637442459962909E-3</v>
      </c>
      <c r="G85" s="21">
        <v>-7.8760874663250657E-3</v>
      </c>
      <c r="H85" s="21">
        <v>-3.0430541002997025E-3</v>
      </c>
      <c r="I85" s="21">
        <v>-1.4964540778451663E-2</v>
      </c>
      <c r="J85" s="21">
        <v>-3.8947379604151844E-2</v>
      </c>
      <c r="K85" s="21">
        <v>-4.3036453344418191E-2</v>
      </c>
      <c r="L85" s="21">
        <v>-1.9945879239335773E-2</v>
      </c>
      <c r="O85" s="21">
        <f t="shared" si="13"/>
        <v>-3.7977924686849462E-4</v>
      </c>
      <c r="P85" s="21">
        <f t="shared" si="13"/>
        <v>-2.2637442459962909E-3</v>
      </c>
      <c r="Q85" s="21">
        <f t="shared" si="13"/>
        <v>-3.0430541002997025E-3</v>
      </c>
      <c r="R85" s="22">
        <f t="shared" si="13"/>
        <v>-1.8839649991277962E-3</v>
      </c>
      <c r="S85" s="22">
        <f t="shared" si="13"/>
        <v>-2.6632748534312078E-3</v>
      </c>
      <c r="U85" s="22">
        <f t="shared" si="6"/>
        <v>-1.8839649991277962E-3</v>
      </c>
      <c r="V85" s="22">
        <f t="shared" si="7"/>
        <v>-2.6632748534312078E-3</v>
      </c>
    </row>
    <row r="86" spans="2:22" s="3" customFormat="1">
      <c r="B86" s="28">
        <f>Univariate!N78</f>
        <v>43189</v>
      </c>
      <c r="C86" s="21">
        <v>1.3764999999999999E-3</v>
      </c>
      <c r="D86" s="21">
        <v>1.9606461106831397E-3</v>
      </c>
      <c r="E86" s="21">
        <v>2.0057116605964875E-3</v>
      </c>
      <c r="F86" s="21">
        <v>1.8793704998110172E-4</v>
      </c>
      <c r="G86" s="21">
        <v>9.8789062099642333E-3</v>
      </c>
      <c r="H86" s="21">
        <v>5.662024995539916E-3</v>
      </c>
      <c r="I86" s="21">
        <v>2.1502960442794095E-3</v>
      </c>
      <c r="J86" s="21">
        <v>-2.6884513768364315E-2</v>
      </c>
      <c r="K86" s="21">
        <v>-2.4150255666929299E-2</v>
      </c>
      <c r="L86" s="21">
        <v>5.4387814702157034E-3</v>
      </c>
      <c r="O86" s="21">
        <f t="shared" si="13"/>
        <v>1.9606461106831397E-3</v>
      </c>
      <c r="P86" s="21">
        <f t="shared" si="13"/>
        <v>1.8793704998110172E-4</v>
      </c>
      <c r="Q86" s="21">
        <f t="shared" si="13"/>
        <v>5.662024995539916E-3</v>
      </c>
      <c r="R86" s="22">
        <f t="shared" si="13"/>
        <v>-1.7727090607020379E-3</v>
      </c>
      <c r="S86" s="22">
        <f t="shared" si="13"/>
        <v>3.7013788848567764E-3</v>
      </c>
      <c r="U86" s="22">
        <f t="shared" si="6"/>
        <v>-1.7727090607020379E-3</v>
      </c>
      <c r="V86" s="22">
        <f t="shared" si="7"/>
        <v>3.7013788848567764E-3</v>
      </c>
    </row>
    <row r="87" spans="2:22" s="3" customFormat="1">
      <c r="B87" s="28">
        <f>Univariate!N79</f>
        <v>43220</v>
      </c>
      <c r="C87" s="21">
        <v>1.41675E-3</v>
      </c>
      <c r="D87" s="21">
        <v>-1.5536089452187207E-3</v>
      </c>
      <c r="E87" s="21">
        <v>-1.430571212275189E-3</v>
      </c>
      <c r="F87" s="21">
        <v>9.3121018202180217E-4</v>
      </c>
      <c r="G87" s="21">
        <v>-8.2301211651442108E-3</v>
      </c>
      <c r="H87" s="21">
        <v>-5.9502690359257704E-3</v>
      </c>
      <c r="I87" s="21">
        <v>-8.5163131234153866E-3</v>
      </c>
      <c r="J87" s="21">
        <v>2.718801001185378E-3</v>
      </c>
      <c r="K87" s="21">
        <v>9.5169437402025103E-3</v>
      </c>
      <c r="L87" s="21">
        <v>-7.6123366629446965E-3</v>
      </c>
      <c r="O87" s="21">
        <f t="shared" si="13"/>
        <v>-1.5536089452187207E-3</v>
      </c>
      <c r="P87" s="21">
        <f t="shared" si="13"/>
        <v>9.3121018202180217E-4</v>
      </c>
      <c r="Q87" s="21">
        <f t="shared" si="13"/>
        <v>-5.9502690359257704E-3</v>
      </c>
      <c r="R87" s="22">
        <f t="shared" si="13"/>
        <v>2.4848191272405229E-3</v>
      </c>
      <c r="S87" s="22">
        <f t="shared" si="13"/>
        <v>-4.3966600907070497E-3</v>
      </c>
      <c r="U87" s="22">
        <f t="shared" ref="U87:U150" si="14">P87-$O87</f>
        <v>2.4848191272405229E-3</v>
      </c>
      <c r="V87" s="22">
        <f t="shared" ref="V87:V150" si="15">Q87-$O87</f>
        <v>-4.3966600907070497E-3</v>
      </c>
    </row>
    <row r="88" spans="2:22" s="3" customFormat="1">
      <c r="B88" s="28">
        <f>Univariate!N80</f>
        <v>43251</v>
      </c>
      <c r="C88" s="21">
        <v>1.4996666666666667E-3</v>
      </c>
      <c r="D88" s="21">
        <v>3.6224225896195339E-3</v>
      </c>
      <c r="E88" s="21">
        <v>3.5594628303565745E-3</v>
      </c>
      <c r="F88" s="21">
        <v>3.7776342025424015E-3</v>
      </c>
      <c r="G88" s="21">
        <v>9.0818911567323024E-3</v>
      </c>
      <c r="H88" s="21">
        <v>6.2609610427599716E-3</v>
      </c>
      <c r="I88" s="21">
        <v>4.5008293519712694E-3</v>
      </c>
      <c r="J88" s="21">
        <v>2.1608353316591389E-2</v>
      </c>
      <c r="K88" s="21">
        <v>3.0721156380750791E-3</v>
      </c>
      <c r="L88" s="21">
        <v>-1.2832696006507605E-2</v>
      </c>
      <c r="O88" s="21">
        <f t="shared" si="13"/>
        <v>3.6224225896195339E-3</v>
      </c>
      <c r="P88" s="21">
        <f t="shared" si="13"/>
        <v>3.7776342025424015E-3</v>
      </c>
      <c r="Q88" s="21">
        <f t="shared" si="13"/>
        <v>6.2609610427599716E-3</v>
      </c>
      <c r="R88" s="22">
        <f t="shared" si="13"/>
        <v>1.5521161292286756E-4</v>
      </c>
      <c r="S88" s="22">
        <f t="shared" si="13"/>
        <v>2.6385384531404377E-3</v>
      </c>
      <c r="U88" s="22">
        <f t="shared" si="14"/>
        <v>1.5521161292286756E-4</v>
      </c>
      <c r="V88" s="22">
        <f t="shared" si="15"/>
        <v>2.6385384531404377E-3</v>
      </c>
    </row>
    <row r="89" spans="2:22" s="3" customFormat="1">
      <c r="B89" s="28">
        <f>Univariate!N81</f>
        <v>43280</v>
      </c>
      <c r="C89" s="21">
        <v>1.5788333333333333E-3</v>
      </c>
      <c r="D89" s="21">
        <v>1.5495540537546759E-4</v>
      </c>
      <c r="E89" s="21">
        <v>1.7922851557128361E-4</v>
      </c>
      <c r="F89" s="21">
        <v>-1.5929184744356562E-5</v>
      </c>
      <c r="G89" s="21">
        <v>2.8901898968847206E-4</v>
      </c>
      <c r="H89" s="21">
        <v>-4.5804946934258073E-4</v>
      </c>
      <c r="I89" s="21">
        <v>-5.3952132169493572E-3</v>
      </c>
      <c r="J89" s="21">
        <v>4.8424002040461378E-3</v>
      </c>
      <c r="K89" s="21">
        <v>-1.7296408845057787E-3</v>
      </c>
      <c r="L89" s="21">
        <v>-3.5355907925237462E-2</v>
      </c>
      <c r="O89" s="21">
        <f t="shared" si="13"/>
        <v>1.5495540537546759E-4</v>
      </c>
      <c r="P89" s="21">
        <f t="shared" si="13"/>
        <v>-1.5929184744356562E-5</v>
      </c>
      <c r="Q89" s="21">
        <f t="shared" si="13"/>
        <v>-4.5804946934258073E-4</v>
      </c>
      <c r="R89" s="22">
        <f t="shared" si="13"/>
        <v>-1.7088459011982415E-4</v>
      </c>
      <c r="S89" s="22">
        <f t="shared" si="13"/>
        <v>-6.1300487471804832E-4</v>
      </c>
      <c r="U89" s="22">
        <f t="shared" si="14"/>
        <v>-1.7088459011982415E-4</v>
      </c>
      <c r="V89" s="22">
        <f t="shared" si="15"/>
        <v>-6.1300487471804832E-4</v>
      </c>
    </row>
    <row r="90" spans="2:22" s="3" customFormat="1">
      <c r="B90" s="28">
        <f>Univariate!N82</f>
        <v>43312</v>
      </c>
      <c r="C90" s="21">
        <v>1.5935833333333334E-3</v>
      </c>
      <c r="D90" s="21">
        <v>-4.6222627003156269E-5</v>
      </c>
      <c r="E90" s="21">
        <v>4.2441252268443641E-4</v>
      </c>
      <c r="F90" s="21">
        <v>2.3251080399415702E-3</v>
      </c>
      <c r="G90" s="21">
        <v>-4.5336258171457811E-3</v>
      </c>
      <c r="H90" s="21">
        <v>-1.6762821090071656E-3</v>
      </c>
      <c r="I90" s="21">
        <v>7.4082404125315193E-3</v>
      </c>
      <c r="J90" s="21">
        <v>3.6021586465418753E-2</v>
      </c>
      <c r="K90" s="21">
        <v>3.0536543339874545E-2</v>
      </c>
      <c r="L90" s="21">
        <v>-2.2712757464473765E-2</v>
      </c>
      <c r="O90" s="21">
        <f t="shared" si="13"/>
        <v>-4.6222627003156269E-5</v>
      </c>
      <c r="P90" s="21">
        <f t="shared" si="13"/>
        <v>2.3251080399415702E-3</v>
      </c>
      <c r="Q90" s="21">
        <f t="shared" si="13"/>
        <v>-1.6762821090071656E-3</v>
      </c>
      <c r="R90" s="22">
        <f t="shared" si="13"/>
        <v>2.3713306669447265E-3</v>
      </c>
      <c r="S90" s="22">
        <f t="shared" si="13"/>
        <v>-1.6300594820040093E-3</v>
      </c>
      <c r="U90" s="22">
        <f t="shared" si="14"/>
        <v>2.3713306669447265E-3</v>
      </c>
      <c r="V90" s="22">
        <f t="shared" si="15"/>
        <v>-1.6300594820040093E-3</v>
      </c>
    </row>
    <row r="91" spans="2:22" s="3" customFormat="1">
      <c r="B91" s="28">
        <f>Univariate!N83</f>
        <v>43343</v>
      </c>
      <c r="C91" s="21">
        <v>1.6835833333333336E-3</v>
      </c>
      <c r="D91" s="21">
        <v>3.1818045634115499E-3</v>
      </c>
      <c r="E91" s="21">
        <v>3.2210243328749666E-3</v>
      </c>
      <c r="F91" s="21">
        <v>4.1414643219559455E-3</v>
      </c>
      <c r="G91" s="21">
        <v>7.8100533909761793E-3</v>
      </c>
      <c r="H91" s="21">
        <v>5.6560103378373583E-3</v>
      </c>
      <c r="I91" s="21">
        <v>5.4391709754060269E-3</v>
      </c>
      <c r="J91" s="21">
        <v>3.0263218631604083E-2</v>
      </c>
      <c r="K91" s="21">
        <v>1.0403604105708064E-2</v>
      </c>
      <c r="L91" s="21">
        <v>-1.8788547155168867E-2</v>
      </c>
      <c r="O91" s="21">
        <f t="shared" si="13"/>
        <v>3.1818045634115499E-3</v>
      </c>
      <c r="P91" s="21">
        <f t="shared" si="13"/>
        <v>4.1414643219559455E-3</v>
      </c>
      <c r="Q91" s="21">
        <f t="shared" si="13"/>
        <v>5.6560103378373583E-3</v>
      </c>
      <c r="R91" s="22">
        <f t="shared" si="13"/>
        <v>9.5965975854439556E-4</v>
      </c>
      <c r="S91" s="22">
        <f t="shared" si="13"/>
        <v>2.4742057744258084E-3</v>
      </c>
      <c r="U91" s="22">
        <f t="shared" si="14"/>
        <v>9.5965975854439556E-4</v>
      </c>
      <c r="V91" s="22">
        <f t="shared" si="15"/>
        <v>2.4742057744258084E-3</v>
      </c>
    </row>
    <row r="92" spans="2:22" s="3" customFormat="1">
      <c r="B92" s="28">
        <f>Univariate!N84</f>
        <v>43371</v>
      </c>
      <c r="C92" s="21">
        <v>1.7448333333333333E-3</v>
      </c>
      <c r="D92" s="21">
        <v>-1.1835258660558567E-3</v>
      </c>
      <c r="E92" s="21">
        <v>-4.2991823722560163E-4</v>
      </c>
      <c r="F92" s="21">
        <v>7.3272870514529131E-4</v>
      </c>
      <c r="G92" s="21">
        <v>-9.780070004711594E-3</v>
      </c>
      <c r="H92" s="21">
        <v>-4.0927431544552917E-3</v>
      </c>
      <c r="I92" s="21">
        <v>-3.2512414993325356E-3</v>
      </c>
      <c r="J92" s="21">
        <v>4.2943009181395375E-3</v>
      </c>
      <c r="K92" s="21">
        <v>3.9117444265686085E-3</v>
      </c>
      <c r="L92" s="21">
        <v>-8.5501394496940719E-3</v>
      </c>
      <c r="O92" s="21">
        <f t="shared" ref="O92:S101" si="16">SUMPRODUCT(INDEX(portwts,O$19,),$C92:$L92)</f>
        <v>-1.1835258660558567E-3</v>
      </c>
      <c r="P92" s="21">
        <f t="shared" si="16"/>
        <v>7.3272870514529131E-4</v>
      </c>
      <c r="Q92" s="21">
        <f t="shared" si="16"/>
        <v>-4.0927431544552917E-3</v>
      </c>
      <c r="R92" s="22">
        <f t="shared" si="16"/>
        <v>1.9162545712011481E-3</v>
      </c>
      <c r="S92" s="22">
        <f t="shared" si="16"/>
        <v>-2.9092172883994349E-3</v>
      </c>
      <c r="U92" s="22">
        <f t="shared" si="14"/>
        <v>1.9162545712011481E-3</v>
      </c>
      <c r="V92" s="22">
        <f t="shared" si="15"/>
        <v>-2.9092172883994349E-3</v>
      </c>
    </row>
    <row r="93" spans="2:22" s="3" customFormat="1">
      <c r="B93" s="28">
        <f>Univariate!N85</f>
        <v>43404</v>
      </c>
      <c r="C93" s="21">
        <v>1.8303333333333333E-3</v>
      </c>
      <c r="D93" s="21">
        <v>1.5164006202290636E-3</v>
      </c>
      <c r="E93" s="21">
        <v>1.2362527596325723E-3</v>
      </c>
      <c r="F93" s="21">
        <v>2.1380012441407636E-4</v>
      </c>
      <c r="G93" s="21">
        <v>-5.2709561006659689E-3</v>
      </c>
      <c r="H93" s="21">
        <v>-1.2742312416149648E-3</v>
      </c>
      <c r="I93" s="21">
        <v>-1.3513314082477024E-2</v>
      </c>
      <c r="J93" s="21">
        <v>-6.9403358979814644E-2</v>
      </c>
      <c r="K93" s="21">
        <v>-7.4189220745326301E-2</v>
      </c>
      <c r="L93" s="21">
        <v>2.0052398226521495E-2</v>
      </c>
      <c r="O93" s="21">
        <f t="shared" si="16"/>
        <v>1.5164006202290636E-3</v>
      </c>
      <c r="P93" s="21">
        <f t="shared" si="16"/>
        <v>2.1380012441407636E-4</v>
      </c>
      <c r="Q93" s="21">
        <f t="shared" si="16"/>
        <v>-1.2742312416149648E-3</v>
      </c>
      <c r="R93" s="22">
        <f t="shared" si="16"/>
        <v>-1.3026004958149873E-3</v>
      </c>
      <c r="S93" s="22">
        <f t="shared" si="16"/>
        <v>-2.7906318618440284E-3</v>
      </c>
      <c r="U93" s="22">
        <f t="shared" si="14"/>
        <v>-1.3026004958149873E-3</v>
      </c>
      <c r="V93" s="22">
        <f t="shared" si="15"/>
        <v>-2.7906318618440284E-3</v>
      </c>
    </row>
    <row r="94" spans="2:22" s="3" customFormat="1">
      <c r="B94" s="28">
        <f>Univariate!N86</f>
        <v>43434</v>
      </c>
      <c r="C94" s="21">
        <v>1.9375833333333333E-3</v>
      </c>
      <c r="D94" s="21">
        <v>3.4649538091462428E-3</v>
      </c>
      <c r="E94" s="21">
        <v>3.5915043317140682E-3</v>
      </c>
      <c r="F94" s="21">
        <v>8.6614463737011427E-4</v>
      </c>
      <c r="G94" s="21">
        <v>9.0031053371659731E-3</v>
      </c>
      <c r="H94" s="21">
        <v>6.3138220733944816E-3</v>
      </c>
      <c r="I94" s="21">
        <v>-1.9074072227153183E-3</v>
      </c>
      <c r="J94" s="21">
        <v>1.785938179914015E-2</v>
      </c>
      <c r="K94" s="21">
        <v>9.5846645367412275E-3</v>
      </c>
      <c r="L94" s="21">
        <v>4.7416773683690572E-3</v>
      </c>
      <c r="O94" s="21">
        <f t="shared" si="16"/>
        <v>3.4649538091462428E-3</v>
      </c>
      <c r="P94" s="21">
        <f t="shared" si="16"/>
        <v>8.6614463737011427E-4</v>
      </c>
      <c r="Q94" s="21">
        <f t="shared" si="16"/>
        <v>6.3138220733944816E-3</v>
      </c>
      <c r="R94" s="22">
        <f t="shared" si="16"/>
        <v>-2.5988091717761286E-3</v>
      </c>
      <c r="S94" s="22">
        <f t="shared" si="16"/>
        <v>2.8488682642482388E-3</v>
      </c>
      <c r="U94" s="22">
        <f t="shared" si="14"/>
        <v>-2.5988091717761286E-3</v>
      </c>
      <c r="V94" s="22">
        <f t="shared" si="15"/>
        <v>2.8488682642482388E-3</v>
      </c>
    </row>
    <row r="95" spans="2:22" s="3" customFormat="1">
      <c r="B95" s="28">
        <f>Univariate!N87</f>
        <v>43465</v>
      </c>
      <c r="C95" s="21">
        <v>1.952E-3</v>
      </c>
      <c r="D95" s="21">
        <v>7.896311710921422E-3</v>
      </c>
      <c r="E95" s="21">
        <v>7.5697447228533221E-3</v>
      </c>
      <c r="F95" s="21">
        <v>6.9781620857483073E-3</v>
      </c>
      <c r="G95" s="21">
        <v>2.219667593196295E-2</v>
      </c>
      <c r="H95" s="21">
        <v>1.4366555259428315E-2</v>
      </c>
      <c r="I95" s="21">
        <v>1.5011129069729678E-2</v>
      </c>
      <c r="J95" s="21">
        <v>-9.1776955767217339E-2</v>
      </c>
      <c r="K95" s="21">
        <v>-7.7134851275620031E-2</v>
      </c>
      <c r="L95" s="21">
        <v>5.0773440828499439E-2</v>
      </c>
      <c r="O95" s="21">
        <f t="shared" si="16"/>
        <v>7.896311710921422E-3</v>
      </c>
      <c r="P95" s="21">
        <f t="shared" si="16"/>
        <v>6.9781620857483073E-3</v>
      </c>
      <c r="Q95" s="21">
        <f t="shared" si="16"/>
        <v>1.4366555259428315E-2</v>
      </c>
      <c r="R95" s="22">
        <f t="shared" si="16"/>
        <v>-9.1814962517311471E-4</v>
      </c>
      <c r="S95" s="22">
        <f t="shared" si="16"/>
        <v>6.4702435485068932E-3</v>
      </c>
      <c r="U95" s="22">
        <f t="shared" si="14"/>
        <v>-9.1814962517311471E-4</v>
      </c>
      <c r="V95" s="22">
        <f t="shared" si="15"/>
        <v>6.4702435485068932E-3</v>
      </c>
    </row>
    <row r="96" spans="2:22" s="3" customFormat="1">
      <c r="B96" s="28">
        <f>Univariate!N88</f>
        <v>43496</v>
      </c>
      <c r="C96" s="21">
        <v>1.962416666666667E-3</v>
      </c>
      <c r="D96" s="21">
        <v>2.693012589601862E-3</v>
      </c>
      <c r="E96" s="21">
        <v>2.7841509229560302E-3</v>
      </c>
      <c r="F96" s="21">
        <v>7.0274240371139829E-3</v>
      </c>
      <c r="G96" s="21">
        <v>4.6694430922893382E-3</v>
      </c>
      <c r="H96" s="21">
        <v>3.7222012815680827E-3</v>
      </c>
      <c r="I96" s="21">
        <v>2.0932190041150545E-2</v>
      </c>
      <c r="J96" s="21">
        <v>7.8684404731036883E-2</v>
      </c>
      <c r="K96" s="21">
        <v>7.6750358299272792E-2</v>
      </c>
      <c r="L96" s="21">
        <v>3.0222457874915287E-2</v>
      </c>
      <c r="O96" s="21">
        <f t="shared" si="16"/>
        <v>2.693012589601862E-3</v>
      </c>
      <c r="P96" s="21">
        <f t="shared" si="16"/>
        <v>7.0274240371139829E-3</v>
      </c>
      <c r="Q96" s="21">
        <f t="shared" si="16"/>
        <v>3.7222012815680827E-3</v>
      </c>
      <c r="R96" s="22">
        <f t="shared" si="16"/>
        <v>4.3344114475121209E-3</v>
      </c>
      <c r="S96" s="22">
        <f t="shared" si="16"/>
        <v>1.0291886919662208E-3</v>
      </c>
      <c r="U96" s="22">
        <f t="shared" si="14"/>
        <v>4.3344114475121209E-3</v>
      </c>
      <c r="V96" s="22">
        <f t="shared" si="15"/>
        <v>1.0291886919662208E-3</v>
      </c>
    </row>
    <row r="97" spans="2:22" s="3" customFormat="1">
      <c r="B97" s="28">
        <f>Univariate!N89</f>
        <v>43524</v>
      </c>
      <c r="C97" s="21">
        <v>1.9865833333333333E-3</v>
      </c>
      <c r="D97" s="21">
        <v>1.0051696844186608E-3</v>
      </c>
      <c r="E97" s="21">
        <v>1.2578004850634095E-3</v>
      </c>
      <c r="F97" s="21">
        <v>3.5059253369462695E-3</v>
      </c>
      <c r="G97" s="21">
        <v>-2.7752785488605047E-3</v>
      </c>
      <c r="H97" s="21">
        <v>3.5532293312900975E-4</v>
      </c>
      <c r="I97" s="21">
        <v>3.595733609209395E-3</v>
      </c>
      <c r="J97" s="21">
        <v>2.9728930143116061E-2</v>
      </c>
      <c r="K97" s="21">
        <v>2.8272261633037532E-2</v>
      </c>
      <c r="L97" s="21">
        <v>-6.0018921475875064E-3</v>
      </c>
      <c r="O97" s="21">
        <f t="shared" si="16"/>
        <v>1.0051696844186608E-3</v>
      </c>
      <c r="P97" s="21">
        <f t="shared" si="16"/>
        <v>3.5059253369462695E-3</v>
      </c>
      <c r="Q97" s="21">
        <f t="shared" si="16"/>
        <v>3.5532293312900975E-4</v>
      </c>
      <c r="R97" s="22">
        <f t="shared" si="16"/>
        <v>2.5007556525276087E-3</v>
      </c>
      <c r="S97" s="22">
        <f t="shared" si="16"/>
        <v>-6.4984675128965108E-4</v>
      </c>
      <c r="U97" s="22">
        <f t="shared" si="14"/>
        <v>2.5007556525276087E-3</v>
      </c>
      <c r="V97" s="22">
        <f t="shared" si="15"/>
        <v>-6.4984675128965108E-4</v>
      </c>
    </row>
    <row r="98" spans="2:22" s="3" customFormat="1">
      <c r="B98" s="28">
        <f>Univariate!N90</f>
        <v>43553</v>
      </c>
      <c r="C98" s="21">
        <v>2.0271666666666667E-3</v>
      </c>
      <c r="D98" s="21">
        <v>6.1140339599461413E-3</v>
      </c>
      <c r="E98" s="21">
        <v>5.6005851058500422E-3</v>
      </c>
      <c r="F98" s="21">
        <v>7.8061480891151724E-3</v>
      </c>
      <c r="G98" s="21">
        <v>1.9871317951636103E-2</v>
      </c>
      <c r="H98" s="21">
        <v>1.4119884433976049E-2</v>
      </c>
      <c r="I98" s="21">
        <v>2.4897397534795696E-2</v>
      </c>
      <c r="J98" s="21">
        <v>1.7924287751078349E-2</v>
      </c>
      <c r="K98" s="21">
        <v>1.0499367161431294E-2</v>
      </c>
      <c r="L98" s="21">
        <v>-1.5944324307860858E-2</v>
      </c>
      <c r="O98" s="21">
        <f t="shared" si="16"/>
        <v>6.1140339599461413E-3</v>
      </c>
      <c r="P98" s="21">
        <f t="shared" si="16"/>
        <v>7.8061480891151724E-3</v>
      </c>
      <c r="Q98" s="21">
        <f t="shared" si="16"/>
        <v>1.4119884433976049E-2</v>
      </c>
      <c r="R98" s="22">
        <f t="shared" si="16"/>
        <v>1.6921141291690311E-3</v>
      </c>
      <c r="S98" s="22">
        <f t="shared" si="16"/>
        <v>8.0058504740299075E-3</v>
      </c>
      <c r="U98" s="22">
        <f t="shared" si="14"/>
        <v>1.6921141291690311E-3</v>
      </c>
      <c r="V98" s="22">
        <f t="shared" si="15"/>
        <v>8.0058504740299075E-3</v>
      </c>
    </row>
    <row r="99" spans="2:22" s="3" customFormat="1">
      <c r="B99" s="28">
        <f>Univariate!N91</f>
        <v>43585</v>
      </c>
      <c r="C99" s="21">
        <v>1.9840833333333334E-3</v>
      </c>
      <c r="D99" s="21">
        <v>2.032029732946361E-3</v>
      </c>
      <c r="E99" s="21">
        <v>2.0692667898007944E-3</v>
      </c>
      <c r="F99" s="21">
        <v>3.2555151484721101E-3</v>
      </c>
      <c r="G99" s="21">
        <v>-3.235594213409243E-3</v>
      </c>
      <c r="H99" s="21">
        <v>2.1207871847783721E-5</v>
      </c>
      <c r="I99" s="21">
        <v>5.5683250661680006E-3</v>
      </c>
      <c r="J99" s="21">
        <v>3.9313434942139347E-2</v>
      </c>
      <c r="K99" s="21">
        <v>3.3652158235835783E-2</v>
      </c>
      <c r="L99" s="21">
        <v>-6.8478311332581532E-3</v>
      </c>
      <c r="O99" s="21">
        <f t="shared" si="16"/>
        <v>2.032029732946361E-3</v>
      </c>
      <c r="P99" s="21">
        <f t="shared" si="16"/>
        <v>3.2555151484721101E-3</v>
      </c>
      <c r="Q99" s="21">
        <f t="shared" si="16"/>
        <v>2.1207871847783721E-5</v>
      </c>
      <c r="R99" s="22">
        <f t="shared" si="16"/>
        <v>1.2234854155257491E-3</v>
      </c>
      <c r="S99" s="22">
        <f t="shared" si="16"/>
        <v>-2.0108218610985773E-3</v>
      </c>
      <c r="U99" s="22">
        <f t="shared" si="14"/>
        <v>1.2234854155257491E-3</v>
      </c>
      <c r="V99" s="22">
        <f t="shared" si="15"/>
        <v>-2.0108218610985773E-3</v>
      </c>
    </row>
    <row r="100" spans="2:22" s="3" customFormat="1">
      <c r="B100" s="28">
        <f>Univariate!N92</f>
        <v>43616</v>
      </c>
      <c r="C100" s="21">
        <v>2.0082500000000001E-3</v>
      </c>
      <c r="D100" s="21">
        <v>7.0972646150306851E-3</v>
      </c>
      <c r="E100" s="21">
        <v>6.6454558664943431E-3</v>
      </c>
      <c r="F100" s="21">
        <v>5.5851148528454075E-3</v>
      </c>
      <c r="G100" s="21">
        <v>2.4430574842440933E-2</v>
      </c>
      <c r="H100" s="21">
        <v>1.5931915178023504E-2</v>
      </c>
      <c r="I100" s="21">
        <v>1.4346665352576782E-2</v>
      </c>
      <c r="J100" s="21">
        <v>-6.5777726481161536E-2</v>
      </c>
      <c r="K100" s="21">
        <v>-6.0780200764686709E-2</v>
      </c>
      <c r="L100" s="21">
        <v>1.7179185527412599E-2</v>
      </c>
      <c r="O100" s="21">
        <f t="shared" si="16"/>
        <v>7.0972646150306851E-3</v>
      </c>
      <c r="P100" s="21">
        <f t="shared" si="16"/>
        <v>5.5851148528454075E-3</v>
      </c>
      <c r="Q100" s="21">
        <f t="shared" si="16"/>
        <v>1.5931915178023504E-2</v>
      </c>
      <c r="R100" s="22">
        <f t="shared" si="16"/>
        <v>-1.5121497621852775E-3</v>
      </c>
      <c r="S100" s="22">
        <f t="shared" si="16"/>
        <v>8.8346505629928185E-3</v>
      </c>
      <c r="U100" s="22">
        <f t="shared" si="14"/>
        <v>-1.5121497621852775E-3</v>
      </c>
      <c r="V100" s="22">
        <f t="shared" si="15"/>
        <v>8.8346505629928185E-3</v>
      </c>
    </row>
    <row r="101" spans="2:22" s="3" customFormat="1">
      <c r="B101" s="28">
        <f>Univariate!N93</f>
        <v>43644</v>
      </c>
      <c r="C101" s="21">
        <v>1.9499166666666666E-3</v>
      </c>
      <c r="D101" s="21">
        <v>5.1917075031886473E-3</v>
      </c>
      <c r="E101" s="21">
        <v>4.2090899628399736E-3</v>
      </c>
      <c r="F101" s="21">
        <v>7.0753769980971271E-3</v>
      </c>
      <c r="G101" s="21">
        <v>9.2802295657687939E-3</v>
      </c>
      <c r="H101" s="21">
        <v>7.1252807034192234E-3</v>
      </c>
      <c r="I101" s="21">
        <v>2.2998364645352432E-2</v>
      </c>
      <c r="J101" s="21">
        <v>6.8930183208214979E-2</v>
      </c>
      <c r="K101" s="21">
        <v>6.4557116676847937E-2</v>
      </c>
      <c r="L101" s="21">
        <v>7.9635104704422588E-2</v>
      </c>
      <c r="O101" s="21">
        <f t="shared" si="16"/>
        <v>5.1917075031886473E-3</v>
      </c>
      <c r="P101" s="21">
        <f t="shared" si="16"/>
        <v>7.0753769980971271E-3</v>
      </c>
      <c r="Q101" s="21">
        <f t="shared" si="16"/>
        <v>7.1252807034192234E-3</v>
      </c>
      <c r="R101" s="22">
        <f t="shared" si="16"/>
        <v>1.8836694949084798E-3</v>
      </c>
      <c r="S101" s="22">
        <f t="shared" si="16"/>
        <v>1.9335732002305761E-3</v>
      </c>
      <c r="U101" s="22">
        <f t="shared" si="14"/>
        <v>1.8836694949084798E-3</v>
      </c>
      <c r="V101" s="22">
        <f t="shared" si="15"/>
        <v>1.9335732002305761E-3</v>
      </c>
    </row>
    <row r="102" spans="2:22" s="3" customFormat="1">
      <c r="B102" s="28">
        <f>Univariate!N94</f>
        <v>43677</v>
      </c>
      <c r="C102" s="21">
        <v>1.7390000000000001E-3</v>
      </c>
      <c r="D102" s="21">
        <v>-1.1790413866580307E-3</v>
      </c>
      <c r="E102" s="21">
        <v>-4.6832241463723445E-4</v>
      </c>
      <c r="F102" s="21">
        <v>1.2056677051768272E-3</v>
      </c>
      <c r="G102" s="21">
        <v>-1.0532070272051275E-3</v>
      </c>
      <c r="H102" s="21">
        <v>-9.7982933382922965E-5</v>
      </c>
      <c r="I102" s="21">
        <v>6.5538327166687615E-3</v>
      </c>
      <c r="J102" s="21">
        <v>1.3128195366039375E-2</v>
      </c>
      <c r="K102" s="21">
        <v>4.2279707117773846E-3</v>
      </c>
      <c r="L102" s="21">
        <v>3.0009577524741093E-3</v>
      </c>
      <c r="O102" s="21">
        <f t="shared" ref="O102:S111" si="17">SUMPRODUCT(INDEX(portwts,O$19,),$C102:$L102)</f>
        <v>-1.1790413866580307E-3</v>
      </c>
      <c r="P102" s="21">
        <f t="shared" si="17"/>
        <v>1.2056677051768272E-3</v>
      </c>
      <c r="Q102" s="21">
        <f t="shared" si="17"/>
        <v>-9.7982933382922965E-5</v>
      </c>
      <c r="R102" s="22">
        <f t="shared" si="17"/>
        <v>2.3847090918348579E-3</v>
      </c>
      <c r="S102" s="22">
        <f t="shared" si="17"/>
        <v>1.0810584532751077E-3</v>
      </c>
      <c r="U102" s="22">
        <f t="shared" si="14"/>
        <v>2.3847090918348579E-3</v>
      </c>
      <c r="V102" s="22">
        <f t="shared" si="15"/>
        <v>1.0810584532751077E-3</v>
      </c>
    </row>
    <row r="103" spans="2:22" s="3" customFormat="1">
      <c r="B103" s="28">
        <f>Univariate!N95</f>
        <v>43707</v>
      </c>
      <c r="C103" s="21">
        <v>1.7179999999999999E-3</v>
      </c>
      <c r="D103" s="21">
        <v>8.0651942026881418E-3</v>
      </c>
      <c r="E103" s="21">
        <v>7.2430967663801304E-3</v>
      </c>
      <c r="F103" s="21">
        <v>7.590990648397522E-3</v>
      </c>
      <c r="G103" s="21">
        <v>3.5535343864688151E-2</v>
      </c>
      <c r="H103" s="21">
        <v>2.2414536061881041E-2</v>
      </c>
      <c r="I103" s="21">
        <v>3.0361290462434187E-2</v>
      </c>
      <c r="J103" s="21">
        <v>-1.8091652742267761E-2</v>
      </c>
      <c r="K103" s="21">
        <v>-2.2417670829600111E-2</v>
      </c>
      <c r="L103" s="21">
        <v>7.5400698835745406E-2</v>
      </c>
      <c r="O103" s="21">
        <f t="shared" si="17"/>
        <v>8.0651942026881418E-3</v>
      </c>
      <c r="P103" s="21">
        <f t="shared" si="17"/>
        <v>7.590990648397522E-3</v>
      </c>
      <c r="Q103" s="21">
        <f t="shared" si="17"/>
        <v>2.2414536061881041E-2</v>
      </c>
      <c r="R103" s="22">
        <f t="shared" si="17"/>
        <v>-4.7420355429061978E-4</v>
      </c>
      <c r="S103" s="22">
        <f t="shared" si="17"/>
        <v>1.4349341859192899E-2</v>
      </c>
      <c r="U103" s="22">
        <f t="shared" si="14"/>
        <v>-4.7420355429061978E-4</v>
      </c>
      <c r="V103" s="22">
        <f t="shared" si="15"/>
        <v>1.4349341859192899E-2</v>
      </c>
    </row>
    <row r="104" spans="2:22" s="3" customFormat="1">
      <c r="B104" s="28">
        <f>Univariate!N96</f>
        <v>43738</v>
      </c>
      <c r="C104" s="21">
        <v>1.6470833333333333E-3</v>
      </c>
      <c r="D104" s="21">
        <v>-1.1088414569325744E-3</v>
      </c>
      <c r="E104" s="21">
        <v>-5.3130370807907834E-4</v>
      </c>
      <c r="F104" s="21">
        <v>1.1734338582427561E-3</v>
      </c>
      <c r="G104" s="21">
        <v>-9.0342588454982442E-3</v>
      </c>
      <c r="H104" s="21">
        <v>-4.7823813727966291E-3</v>
      </c>
      <c r="I104" s="21">
        <v>-6.1853316184858897E-3</v>
      </c>
      <c r="J104" s="21">
        <v>1.7181167690656807E-2</v>
      </c>
      <c r="K104" s="21">
        <v>1.9405944297925748E-2</v>
      </c>
      <c r="L104" s="21">
        <v>-3.1498704271300637E-2</v>
      </c>
      <c r="O104" s="21">
        <f t="shared" si="17"/>
        <v>-1.1088414569325744E-3</v>
      </c>
      <c r="P104" s="21">
        <f t="shared" si="17"/>
        <v>1.1734338582427561E-3</v>
      </c>
      <c r="Q104" s="21">
        <f t="shared" si="17"/>
        <v>-4.7823813727966291E-3</v>
      </c>
      <c r="R104" s="22">
        <f t="shared" si="17"/>
        <v>2.2822753151753306E-3</v>
      </c>
      <c r="S104" s="22">
        <f t="shared" si="17"/>
        <v>-3.6735399158640547E-3</v>
      </c>
      <c r="U104" s="22">
        <f t="shared" si="14"/>
        <v>2.2822753151753306E-3</v>
      </c>
      <c r="V104" s="22">
        <f t="shared" si="15"/>
        <v>-3.6735399158640547E-3</v>
      </c>
    </row>
    <row r="105" spans="2:22" s="3" customFormat="1">
      <c r="B105" s="28">
        <f>Univariate!N97</f>
        <v>43769</v>
      </c>
      <c r="C105" s="21">
        <v>1.5059166666666667E-3</v>
      </c>
      <c r="D105" s="21">
        <v>3.2941970067341675E-3</v>
      </c>
      <c r="E105" s="21">
        <v>2.9962811526773603E-3</v>
      </c>
      <c r="F105" s="21">
        <v>4.4146796438231384E-3</v>
      </c>
      <c r="G105" s="21">
        <v>3.0695886693599128E-4</v>
      </c>
      <c r="H105" s="21">
        <v>1.9779523748084671E-3</v>
      </c>
      <c r="I105" s="21">
        <v>6.1161127474222976E-3</v>
      </c>
      <c r="J105" s="21">
        <v>2.0431747482144935E-2</v>
      </c>
      <c r="K105" s="21">
        <v>2.4545646370216945E-2</v>
      </c>
      <c r="L105" s="21">
        <v>2.7504431269482321E-2</v>
      </c>
      <c r="O105" s="21">
        <f t="shared" si="17"/>
        <v>3.2941970067341675E-3</v>
      </c>
      <c r="P105" s="21">
        <f t="shared" si="17"/>
        <v>4.4146796438231384E-3</v>
      </c>
      <c r="Q105" s="21">
        <f t="shared" si="17"/>
        <v>1.9779523748084671E-3</v>
      </c>
      <c r="R105" s="22">
        <f t="shared" si="17"/>
        <v>1.1204826370889709E-3</v>
      </c>
      <c r="S105" s="22">
        <f t="shared" si="17"/>
        <v>-1.3162446319257004E-3</v>
      </c>
      <c r="U105" s="22">
        <f t="shared" si="14"/>
        <v>1.1204826370889709E-3</v>
      </c>
      <c r="V105" s="22">
        <f t="shared" si="15"/>
        <v>-1.3162446319257004E-3</v>
      </c>
    </row>
    <row r="106" spans="2:22" s="3" customFormat="1">
      <c r="B106" s="28">
        <f>Univariate!N98</f>
        <v>43798</v>
      </c>
      <c r="C106" s="21">
        <v>1.2700000000000001E-3</v>
      </c>
      <c r="D106" s="21">
        <v>-3.1985221522146112E-4</v>
      </c>
      <c r="E106" s="21">
        <v>3.6057863500360554E-4</v>
      </c>
      <c r="F106" s="21">
        <v>9.0396543563886489E-4</v>
      </c>
      <c r="G106" s="21">
        <v>-3.0761312252364226E-3</v>
      </c>
      <c r="H106" s="21">
        <v>-1.2057464260430972E-3</v>
      </c>
      <c r="I106" s="21">
        <v>2.1668924942224166E-3</v>
      </c>
      <c r="J106" s="21">
        <v>3.404706409091518E-2</v>
      </c>
      <c r="K106" s="21">
        <v>2.6294699421991252E-2</v>
      </c>
      <c r="L106" s="21">
        <v>-3.2392811585007175E-2</v>
      </c>
      <c r="O106" s="21">
        <f t="shared" si="17"/>
        <v>-3.1985221522146112E-4</v>
      </c>
      <c r="P106" s="21">
        <f t="shared" si="17"/>
        <v>9.0396543563886489E-4</v>
      </c>
      <c r="Q106" s="21">
        <f t="shared" si="17"/>
        <v>-1.2057464260430972E-3</v>
      </c>
      <c r="R106" s="22">
        <f t="shared" si="17"/>
        <v>1.223817650860326E-3</v>
      </c>
      <c r="S106" s="22">
        <f t="shared" si="17"/>
        <v>-8.8589421082163611E-4</v>
      </c>
      <c r="U106" s="22">
        <f t="shared" si="14"/>
        <v>1.223817650860326E-3</v>
      </c>
      <c r="V106" s="22">
        <f t="shared" si="15"/>
        <v>-8.8589421082163611E-4</v>
      </c>
    </row>
    <row r="107" spans="2:22" s="3" customFormat="1">
      <c r="B107" s="28">
        <f>Univariate!N99</f>
        <v>43830</v>
      </c>
      <c r="C107" s="21">
        <v>1.3059999999999999E-3</v>
      </c>
      <c r="D107" s="21">
        <v>2.1205151268308686E-3</v>
      </c>
      <c r="E107" s="21">
        <v>2.0915015047420216E-3</v>
      </c>
      <c r="F107" s="21">
        <v>3.4688001557421355E-3</v>
      </c>
      <c r="G107" s="21">
        <v>-6.162005891732214E-3</v>
      </c>
      <c r="H107" s="21">
        <v>-2.0535388229255824E-3</v>
      </c>
      <c r="I107" s="21">
        <v>3.1502213769212251E-3</v>
      </c>
      <c r="J107" s="21">
        <v>2.8589803182446305E-2</v>
      </c>
      <c r="K107" s="21">
        <v>2.8884157992548731E-2</v>
      </c>
      <c r="L107" s="21">
        <v>3.640077050232926E-2</v>
      </c>
      <c r="O107" s="21">
        <f t="shared" si="17"/>
        <v>2.1205151268308686E-3</v>
      </c>
      <c r="P107" s="21">
        <f t="shared" si="17"/>
        <v>3.4688001557421355E-3</v>
      </c>
      <c r="Q107" s="21">
        <f t="shared" si="17"/>
        <v>-2.0535388229255824E-3</v>
      </c>
      <c r="R107" s="22">
        <f t="shared" si="17"/>
        <v>1.3482850289112669E-3</v>
      </c>
      <c r="S107" s="22">
        <f t="shared" si="17"/>
        <v>-4.1740539497564511E-3</v>
      </c>
      <c r="U107" s="22">
        <f t="shared" si="14"/>
        <v>1.3482850289112669E-3</v>
      </c>
      <c r="V107" s="22">
        <f t="shared" si="15"/>
        <v>-4.1740539497564511E-3</v>
      </c>
    </row>
    <row r="108" spans="2:22" s="3" customFormat="1">
      <c r="B108" s="28">
        <f>Univariate!N100</f>
        <v>43861</v>
      </c>
      <c r="C108" s="21">
        <v>1.2863333333333333E-3</v>
      </c>
      <c r="D108" s="21">
        <v>5.4097992135349049E-3</v>
      </c>
      <c r="E108" s="21">
        <v>4.2842005056689114E-3</v>
      </c>
      <c r="F108" s="21">
        <v>5.7110103120057154E-3</v>
      </c>
      <c r="G108" s="21">
        <v>2.5643424492520994E-2</v>
      </c>
      <c r="H108" s="21">
        <v>1.565730710389257E-2</v>
      </c>
      <c r="I108" s="21">
        <v>2.3757911224389527E-2</v>
      </c>
      <c r="J108" s="21">
        <v>-1.6280898111292741E-3</v>
      </c>
      <c r="K108" s="21">
        <v>-6.8094993788345715E-3</v>
      </c>
      <c r="L108" s="21">
        <v>4.7381151673729915E-2</v>
      </c>
      <c r="O108" s="21">
        <f t="shared" si="17"/>
        <v>5.4097992135349049E-3</v>
      </c>
      <c r="P108" s="21">
        <f t="shared" si="17"/>
        <v>5.7110103120057154E-3</v>
      </c>
      <c r="Q108" s="21">
        <f t="shared" si="17"/>
        <v>1.565730710389257E-2</v>
      </c>
      <c r="R108" s="22">
        <f t="shared" si="17"/>
        <v>3.0121109847081051E-4</v>
      </c>
      <c r="S108" s="22">
        <f t="shared" si="17"/>
        <v>1.0247507890357666E-2</v>
      </c>
      <c r="U108" s="22">
        <f t="shared" si="14"/>
        <v>3.0121109847081051E-4</v>
      </c>
      <c r="V108" s="22">
        <f t="shared" si="15"/>
        <v>1.0247507890357666E-2</v>
      </c>
    </row>
    <row r="109" spans="2:22" s="3" customFormat="1">
      <c r="B109" s="28">
        <f>Univariate!N101</f>
        <v>43889</v>
      </c>
      <c r="C109" s="21">
        <v>1.2818333333333334E-3</v>
      </c>
      <c r="D109" s="21">
        <v>8.7077755112952016E-3</v>
      </c>
      <c r="E109" s="21">
        <v>6.9867636458949001E-3</v>
      </c>
      <c r="F109" s="21">
        <v>5.7640709532034151E-3</v>
      </c>
      <c r="G109" s="21">
        <v>2.7281550152716161E-2</v>
      </c>
      <c r="H109" s="21">
        <v>1.6583845828477273E-2</v>
      </c>
      <c r="I109" s="21">
        <v>1.2903863943770189E-2</v>
      </c>
      <c r="J109" s="21">
        <v>-8.4110469009648137E-2</v>
      </c>
      <c r="K109" s="21">
        <v>-8.5932864016120103E-2</v>
      </c>
      <c r="L109" s="21">
        <v>-2.1835435072616871E-3</v>
      </c>
      <c r="O109" s="21">
        <f t="shared" si="17"/>
        <v>8.7077755112952016E-3</v>
      </c>
      <c r="P109" s="21">
        <f t="shared" si="17"/>
        <v>5.7640709532034151E-3</v>
      </c>
      <c r="Q109" s="21">
        <f t="shared" si="17"/>
        <v>1.6583845828477273E-2</v>
      </c>
      <c r="R109" s="22">
        <f t="shared" si="17"/>
        <v>-2.9437045580917864E-3</v>
      </c>
      <c r="S109" s="22">
        <f t="shared" si="17"/>
        <v>7.8760703171820712E-3</v>
      </c>
      <c r="U109" s="22">
        <f t="shared" si="14"/>
        <v>-2.9437045580917864E-3</v>
      </c>
      <c r="V109" s="22">
        <f t="shared" si="15"/>
        <v>7.8760703171820712E-3</v>
      </c>
    </row>
    <row r="110" spans="2:22" s="3" customFormat="1">
      <c r="B110" s="28">
        <f>Univariate!N102</f>
        <v>43921</v>
      </c>
      <c r="C110" s="21">
        <v>1.0558333333333333E-3</v>
      </c>
      <c r="D110" s="21">
        <v>1.3718685826674903E-2</v>
      </c>
      <c r="E110" s="21">
        <v>8.1095810185372041E-3</v>
      </c>
      <c r="F110" s="21">
        <v>-2.7939758182719765E-2</v>
      </c>
      <c r="G110" s="21">
        <v>3.2641882382009157E-2</v>
      </c>
      <c r="H110" s="21">
        <v>9.480625065106052E-3</v>
      </c>
      <c r="I110" s="21">
        <v>-7.4740274503774518E-2</v>
      </c>
      <c r="J110" s="21">
        <v>-0.12511932083595656</v>
      </c>
      <c r="K110" s="21">
        <v>-0.13469118965774918</v>
      </c>
      <c r="L110" s="21">
        <v>-5.366748860117676E-3</v>
      </c>
      <c r="O110" s="21">
        <f t="shared" si="17"/>
        <v>1.3718685826674903E-2</v>
      </c>
      <c r="P110" s="21">
        <f t="shared" si="17"/>
        <v>-2.7939758182719765E-2</v>
      </c>
      <c r="Q110" s="21">
        <f t="shared" si="17"/>
        <v>9.480625065106052E-3</v>
      </c>
      <c r="R110" s="22">
        <f t="shared" si="17"/>
        <v>-4.1658444009394668E-2</v>
      </c>
      <c r="S110" s="22">
        <f t="shared" si="17"/>
        <v>-4.2380607615688515E-3</v>
      </c>
      <c r="U110" s="22">
        <f t="shared" si="14"/>
        <v>-4.1658444009394668E-2</v>
      </c>
      <c r="V110" s="22">
        <f t="shared" si="15"/>
        <v>-4.2380607615688515E-3</v>
      </c>
    </row>
    <row r="111" spans="2:22" s="3" customFormat="1">
      <c r="B111" s="28">
        <f>Univariate!N103</f>
        <v>43951</v>
      </c>
      <c r="C111" s="21">
        <v>5.0833333333333333E-5</v>
      </c>
      <c r="D111" s="21">
        <v>4.1830231056572131E-4</v>
      </c>
      <c r="E111" s="21">
        <v>2.2672626635900084E-3</v>
      </c>
      <c r="F111" s="21">
        <v>2.3727111036870641E-2</v>
      </c>
      <c r="G111" s="21">
        <v>4.0531345700494104E-3</v>
      </c>
      <c r="H111" s="21">
        <v>6.7602108896387403E-3</v>
      </c>
      <c r="I111" s="21">
        <v>5.2725029544570923E-2</v>
      </c>
      <c r="J111" s="21">
        <v>0.12684410293315374</v>
      </c>
      <c r="K111" s="21">
        <v>0.10801357996038274</v>
      </c>
      <c r="L111" s="21">
        <v>6.9313585006150147E-2</v>
      </c>
      <c r="O111" s="21">
        <f t="shared" si="17"/>
        <v>4.1830231056572131E-4</v>
      </c>
      <c r="P111" s="21">
        <f t="shared" si="17"/>
        <v>2.3727111036870641E-2</v>
      </c>
      <c r="Q111" s="21">
        <f t="shared" si="17"/>
        <v>6.7602108896387403E-3</v>
      </c>
      <c r="R111" s="22">
        <f t="shared" si="17"/>
        <v>2.3308808726304919E-2</v>
      </c>
      <c r="S111" s="22">
        <f t="shared" si="17"/>
        <v>6.341908579073019E-3</v>
      </c>
      <c r="U111" s="22">
        <f t="shared" si="14"/>
        <v>2.3308808726304919E-2</v>
      </c>
      <c r="V111" s="22">
        <f t="shared" si="15"/>
        <v>6.341908579073019E-3</v>
      </c>
    </row>
    <row r="112" spans="2:22" s="3" customFormat="1">
      <c r="B112" s="28">
        <f>Univariate!N104</f>
        <v>43980</v>
      </c>
      <c r="C112" s="21">
        <v>6.5666666666666659E-5</v>
      </c>
      <c r="D112" s="21">
        <v>6.5332407328955178E-4</v>
      </c>
      <c r="E112" s="21">
        <v>1.1219188398201574E-3</v>
      </c>
      <c r="F112" s="21">
        <v>1.1510566044761195E-2</v>
      </c>
      <c r="G112" s="21">
        <v>-3.0809051435478629E-3</v>
      </c>
      <c r="H112" s="21">
        <v>1.2924211926443885E-3</v>
      </c>
      <c r="I112" s="21">
        <v>1.7481872879328675E-2</v>
      </c>
      <c r="J112" s="21">
        <v>4.528177501261843E-2</v>
      </c>
      <c r="K112" s="21">
        <v>4.6291740750663779E-2</v>
      </c>
      <c r="L112" s="21">
        <v>2.5953157426623186E-2</v>
      </c>
      <c r="O112" s="21">
        <f t="shared" ref="O112:S121" si="18">SUMPRODUCT(INDEX(portwts,O$19,),$C112:$L112)</f>
        <v>6.5332407328955178E-4</v>
      </c>
      <c r="P112" s="21">
        <f t="shared" si="18"/>
        <v>1.1510566044761195E-2</v>
      </c>
      <c r="Q112" s="21">
        <f t="shared" si="18"/>
        <v>1.2924211926443885E-3</v>
      </c>
      <c r="R112" s="22">
        <f t="shared" si="18"/>
        <v>1.0857241971471643E-2</v>
      </c>
      <c r="S112" s="22">
        <f t="shared" si="18"/>
        <v>6.3909711935483671E-4</v>
      </c>
      <c r="U112" s="22">
        <f t="shared" si="14"/>
        <v>1.0857241971471643E-2</v>
      </c>
      <c r="V112" s="22">
        <f t="shared" si="15"/>
        <v>6.3909711935483671E-4</v>
      </c>
    </row>
    <row r="113" spans="2:22" s="3" customFormat="1">
      <c r="B113" s="28">
        <f>Univariate!N105</f>
        <v>44012</v>
      </c>
      <c r="C113" s="21">
        <v>1.0383333333333334E-4</v>
      </c>
      <c r="D113" s="21">
        <v>2.5720205318457978E-4</v>
      </c>
      <c r="E113" s="21">
        <v>3.4943001969378606E-4</v>
      </c>
      <c r="F113" s="21">
        <v>8.0694229120292782E-3</v>
      </c>
      <c r="G113" s="21">
        <v>1.0868782264197296E-3</v>
      </c>
      <c r="H113" s="21">
        <v>2.0532032618281182E-3</v>
      </c>
      <c r="I113" s="21">
        <v>2.0152707876929243E-2</v>
      </c>
      <c r="J113" s="21">
        <v>1.8388403283502663E-2</v>
      </c>
      <c r="K113" s="21">
        <v>2.5099167551259738E-2</v>
      </c>
      <c r="L113" s="21">
        <v>2.9296005825680371E-2</v>
      </c>
      <c r="O113" s="21">
        <f t="shared" si="18"/>
        <v>2.5720205318457978E-4</v>
      </c>
      <c r="P113" s="21">
        <f t="shared" si="18"/>
        <v>8.0694229120292782E-3</v>
      </c>
      <c r="Q113" s="21">
        <f t="shared" si="18"/>
        <v>2.0532032618281182E-3</v>
      </c>
      <c r="R113" s="22">
        <f t="shared" si="18"/>
        <v>7.8122208588446984E-3</v>
      </c>
      <c r="S113" s="22">
        <f t="shared" si="18"/>
        <v>1.7960012086435384E-3</v>
      </c>
      <c r="U113" s="22">
        <f t="shared" si="14"/>
        <v>7.8122208588446984E-3</v>
      </c>
      <c r="V113" s="22">
        <f t="shared" si="15"/>
        <v>1.7960012086435384E-3</v>
      </c>
    </row>
    <row r="114" spans="2:22" s="3" customFormat="1">
      <c r="B114" s="28">
        <f>Univariate!N106</f>
        <v>44043</v>
      </c>
      <c r="C114" s="21">
        <v>1.0775E-4</v>
      </c>
      <c r="D114" s="21">
        <v>1.0103463581248029E-3</v>
      </c>
      <c r="E114" s="21">
        <v>1.4125780096754248E-3</v>
      </c>
      <c r="F114" s="21">
        <v>4.9928822698981357E-3</v>
      </c>
      <c r="G114" s="21">
        <v>1.2115901614529578E-2</v>
      </c>
      <c r="H114" s="21">
        <v>4.0932956725081571E-3</v>
      </c>
      <c r="I114" s="21">
        <v>3.1507368893236354E-2</v>
      </c>
      <c r="J114" s="21">
        <v>5.5101296975444303E-2</v>
      </c>
      <c r="K114" s="21">
        <v>4.6866413236503091E-2</v>
      </c>
      <c r="L114" s="21">
        <v>0.10943536070433924</v>
      </c>
      <c r="O114" s="21">
        <f t="shared" si="18"/>
        <v>1.0103463581248029E-3</v>
      </c>
      <c r="P114" s="21">
        <f t="shared" si="18"/>
        <v>4.9928822698981357E-3</v>
      </c>
      <c r="Q114" s="21">
        <f t="shared" si="18"/>
        <v>4.0932956725081571E-3</v>
      </c>
      <c r="R114" s="22">
        <f t="shared" si="18"/>
        <v>3.9825359117733328E-3</v>
      </c>
      <c r="S114" s="22">
        <f t="shared" si="18"/>
        <v>3.0829493143833542E-3</v>
      </c>
      <c r="U114" s="22">
        <f t="shared" si="14"/>
        <v>3.9825359117733328E-3</v>
      </c>
      <c r="V114" s="22">
        <f t="shared" si="15"/>
        <v>3.0829493143833542E-3</v>
      </c>
    </row>
    <row r="115" spans="2:22" s="3" customFormat="1">
      <c r="B115" s="28">
        <f>Univariate!N107</f>
        <v>44074</v>
      </c>
      <c r="C115" s="21">
        <v>6.9750000000000001E-5</v>
      </c>
      <c r="D115" s="21">
        <v>-2.4264938349671805E-4</v>
      </c>
      <c r="E115" s="21">
        <v>2.9189559186559855E-4</v>
      </c>
      <c r="F115" s="21">
        <v>2.5177005785046447E-3</v>
      </c>
      <c r="G115" s="21">
        <v>-1.2016152135081337E-2</v>
      </c>
      <c r="H115" s="21">
        <v>-1.7319156027352234E-3</v>
      </c>
      <c r="I115" s="21">
        <v>-1.1540921161941387E-2</v>
      </c>
      <c r="J115" s="21">
        <v>7.0064687324219221E-2</v>
      </c>
      <c r="K115" s="21">
        <v>6.5306423483067144E-2</v>
      </c>
      <c r="L115" s="21">
        <v>-4.0792363831445577E-3</v>
      </c>
      <c r="O115" s="21">
        <f t="shared" si="18"/>
        <v>-2.4264938349671805E-4</v>
      </c>
      <c r="P115" s="21">
        <f t="shared" si="18"/>
        <v>2.5177005785046447E-3</v>
      </c>
      <c r="Q115" s="21">
        <f t="shared" si="18"/>
        <v>-1.7319156027352234E-3</v>
      </c>
      <c r="R115" s="22">
        <f t="shared" si="18"/>
        <v>2.7603499620013627E-3</v>
      </c>
      <c r="S115" s="22">
        <f t="shared" si="18"/>
        <v>-1.4892662192385053E-3</v>
      </c>
      <c r="U115" s="22">
        <f t="shared" si="14"/>
        <v>2.7603499620013627E-3</v>
      </c>
      <c r="V115" s="22">
        <f t="shared" si="15"/>
        <v>-1.4892662192385053E-3</v>
      </c>
    </row>
    <row r="116" spans="2:22" s="3" customFormat="1">
      <c r="B116" s="28">
        <f>Univariate!N108</f>
        <v>44104</v>
      </c>
      <c r="C116" s="21">
        <v>7.8166666666666665E-5</v>
      </c>
      <c r="D116" s="21">
        <v>2.7037860119394352E-4</v>
      </c>
      <c r="E116" s="21">
        <v>3.0931903851394438E-4</v>
      </c>
      <c r="F116" s="21">
        <v>-1.1885340045969528E-4</v>
      </c>
      <c r="G116" s="21">
        <v>1.8500889599100123E-3</v>
      </c>
      <c r="H116" s="21">
        <v>1.6540901537707153E-3</v>
      </c>
      <c r="I116" s="21">
        <v>-2.6417169576633537E-3</v>
      </c>
      <c r="J116" s="21">
        <v>-3.9227954095494399E-2</v>
      </c>
      <c r="K116" s="21">
        <v>-3.5935508305810271E-2</v>
      </c>
      <c r="L116" s="21">
        <v>-4.1660737879865906E-2</v>
      </c>
      <c r="O116" s="21">
        <f t="shared" si="18"/>
        <v>2.7037860119394352E-4</v>
      </c>
      <c r="P116" s="21">
        <f t="shared" si="18"/>
        <v>-1.1885340045969528E-4</v>
      </c>
      <c r="Q116" s="21">
        <f t="shared" si="18"/>
        <v>1.6540901537707153E-3</v>
      </c>
      <c r="R116" s="22">
        <f t="shared" si="18"/>
        <v>-3.892320016536388E-4</v>
      </c>
      <c r="S116" s="22">
        <f t="shared" si="18"/>
        <v>1.3837115525767718E-3</v>
      </c>
      <c r="U116" s="22">
        <f t="shared" si="14"/>
        <v>-3.892320016536388E-4</v>
      </c>
      <c r="V116" s="22">
        <f t="shared" si="15"/>
        <v>1.3837115525767718E-3</v>
      </c>
    </row>
    <row r="117" spans="2:22" s="3" customFormat="1">
      <c r="B117" s="28">
        <f>Univariate!N109</f>
        <v>44134</v>
      </c>
      <c r="C117" s="21">
        <v>7.6249999999999997E-5</v>
      </c>
      <c r="D117" s="21">
        <v>-4.2126561468813772E-4</v>
      </c>
      <c r="E117" s="21">
        <v>-6.7095641189895971E-5</v>
      </c>
      <c r="F117" s="21">
        <v>1.8149952186470308E-3</v>
      </c>
      <c r="G117" s="21">
        <v>-1.0096313199052798E-2</v>
      </c>
      <c r="H117" s="21">
        <v>-3.5705368143630345E-3</v>
      </c>
      <c r="I117" s="21">
        <v>-1.7153852038643835E-3</v>
      </c>
      <c r="J117" s="21">
        <v>-2.7665774606006499E-2</v>
      </c>
      <c r="K117" s="21">
        <v>-3.1403261985324948E-2</v>
      </c>
      <c r="L117" s="21">
        <v>-3.7172158530506261E-3</v>
      </c>
      <c r="O117" s="21">
        <f t="shared" si="18"/>
        <v>-4.2126561468813772E-4</v>
      </c>
      <c r="P117" s="21">
        <f t="shared" si="18"/>
        <v>1.8149952186470308E-3</v>
      </c>
      <c r="Q117" s="21">
        <f t="shared" si="18"/>
        <v>-3.5705368143630345E-3</v>
      </c>
      <c r="R117" s="22">
        <f t="shared" si="18"/>
        <v>2.2362608333351686E-3</v>
      </c>
      <c r="S117" s="22">
        <f t="shared" si="18"/>
        <v>-3.1492711996748968E-3</v>
      </c>
      <c r="U117" s="22">
        <f t="shared" si="14"/>
        <v>2.2362608333351686E-3</v>
      </c>
      <c r="V117" s="22">
        <f t="shared" si="15"/>
        <v>-3.1492711996748968E-3</v>
      </c>
    </row>
    <row r="118" spans="2:22" s="3" customFormat="1">
      <c r="B118" s="28">
        <f>Univariate!N110</f>
        <v>44165</v>
      </c>
      <c r="C118" s="21">
        <v>7.2000000000000002E-5</v>
      </c>
      <c r="D118" s="21">
        <v>4.6018745918008364E-4</v>
      </c>
      <c r="E118" s="21">
        <v>5.1200326748523928E-4</v>
      </c>
      <c r="F118" s="21">
        <v>3.404200074170971E-3</v>
      </c>
      <c r="G118" s="21">
        <v>3.8089454052951943E-3</v>
      </c>
      <c r="H118" s="21">
        <v>2.67018622641646E-3</v>
      </c>
      <c r="I118" s="21">
        <v>2.6657871609712336E-2</v>
      </c>
      <c r="J118" s="21">
        <v>0.10754565805086314</v>
      </c>
      <c r="K118" s="21">
        <v>0.1265673177986244</v>
      </c>
      <c r="L118" s="21">
        <v>-5.4215168111730216E-2</v>
      </c>
      <c r="O118" s="21">
        <f t="shared" si="18"/>
        <v>4.6018745918008364E-4</v>
      </c>
      <c r="P118" s="21">
        <f t="shared" si="18"/>
        <v>3.404200074170971E-3</v>
      </c>
      <c r="Q118" s="21">
        <f t="shared" si="18"/>
        <v>2.67018622641646E-3</v>
      </c>
      <c r="R118" s="22">
        <f t="shared" si="18"/>
        <v>2.9440126149908874E-3</v>
      </c>
      <c r="S118" s="22">
        <f t="shared" si="18"/>
        <v>2.2099987672363763E-3</v>
      </c>
      <c r="U118" s="22">
        <f t="shared" si="14"/>
        <v>2.9440126149908874E-3</v>
      </c>
      <c r="V118" s="22">
        <f t="shared" si="15"/>
        <v>2.2099987672363763E-3</v>
      </c>
    </row>
    <row r="119" spans="2:22" s="3" customFormat="1">
      <c r="B119" s="28">
        <f>Univariate!N111</f>
        <v>44196</v>
      </c>
      <c r="C119" s="21">
        <v>5.933333333333333E-5</v>
      </c>
      <c r="D119" s="21">
        <v>4.6392746608669988E-4</v>
      </c>
      <c r="E119" s="21">
        <v>8.7550035100192325E-4</v>
      </c>
      <c r="F119" s="21">
        <v>2.1523553682416541E-3</v>
      </c>
      <c r="G119" s="21">
        <v>-2.8269958831873554E-3</v>
      </c>
      <c r="H119" s="21">
        <v>1.2765202794648989E-3</v>
      </c>
      <c r="I119" s="21">
        <v>4.9127003486577614E-3</v>
      </c>
      <c r="J119" s="21">
        <v>3.712140665943231E-2</v>
      </c>
      <c r="K119" s="21">
        <v>4.1383742267163237E-2</v>
      </c>
      <c r="L119" s="21">
        <v>6.8324938799628532E-2</v>
      </c>
      <c r="O119" s="21">
        <f t="shared" si="18"/>
        <v>4.6392746608669988E-4</v>
      </c>
      <c r="P119" s="21">
        <f t="shared" si="18"/>
        <v>2.1523553682416541E-3</v>
      </c>
      <c r="Q119" s="21">
        <f t="shared" si="18"/>
        <v>1.2765202794648989E-3</v>
      </c>
      <c r="R119" s="22">
        <f t="shared" si="18"/>
        <v>1.6884279021549542E-3</v>
      </c>
      <c r="S119" s="22">
        <f t="shared" si="18"/>
        <v>8.12592813378199E-4</v>
      </c>
      <c r="U119" s="22">
        <f t="shared" si="14"/>
        <v>1.6884279021549542E-3</v>
      </c>
      <c r="V119" s="22">
        <f t="shared" si="15"/>
        <v>8.12592813378199E-4</v>
      </c>
    </row>
    <row r="120" spans="2:22" s="3" customFormat="1">
      <c r="B120" s="28">
        <f>Univariate!N112</f>
        <v>44225</v>
      </c>
      <c r="C120" s="21">
        <v>4.8583333333333333E-5</v>
      </c>
      <c r="D120" s="21">
        <v>1.5009428290868598E-4</v>
      </c>
      <c r="E120" s="21">
        <v>4.1806629045537669E-4</v>
      </c>
      <c r="F120" s="21">
        <v>5.7198793586965557E-4</v>
      </c>
      <c r="G120" s="21">
        <v>-1.1228896488291951E-2</v>
      </c>
      <c r="H120" s="21">
        <v>-2.711704697170525E-3</v>
      </c>
      <c r="I120" s="21">
        <v>-1.2198864959817701E-2</v>
      </c>
      <c r="J120" s="21">
        <v>-1.1136640158463607E-2</v>
      </c>
      <c r="K120" s="21">
        <v>-1.0538876745327164E-2</v>
      </c>
      <c r="L120" s="21">
        <v>-2.6712530816072722E-2</v>
      </c>
      <c r="O120" s="21">
        <f t="shared" si="18"/>
        <v>1.5009428290868598E-4</v>
      </c>
      <c r="P120" s="21">
        <f t="shared" si="18"/>
        <v>5.7198793586965557E-4</v>
      </c>
      <c r="Q120" s="21">
        <f t="shared" si="18"/>
        <v>-2.711704697170525E-3</v>
      </c>
      <c r="R120" s="22">
        <f t="shared" si="18"/>
        <v>4.2189365296096959E-4</v>
      </c>
      <c r="S120" s="22">
        <f t="shared" si="18"/>
        <v>-2.861798980079211E-3</v>
      </c>
      <c r="U120" s="22">
        <f t="shared" si="14"/>
        <v>4.2189365296096959E-4</v>
      </c>
      <c r="V120" s="22">
        <f t="shared" si="15"/>
        <v>-2.861798980079211E-3</v>
      </c>
    </row>
    <row r="121" spans="2:22" s="3" customFormat="1">
      <c r="B121" s="28">
        <f>Univariate!N113</f>
        <v>44253</v>
      </c>
      <c r="C121" s="21">
        <v>4.0166666666666669E-5</v>
      </c>
      <c r="D121" s="21">
        <v>-8.032788309566552E-4</v>
      </c>
      <c r="E121" s="21">
        <v>-6.6979138910350233E-4</v>
      </c>
      <c r="F121" s="21">
        <v>3.9661953240144321E-4</v>
      </c>
      <c r="G121" s="21">
        <v>-2.2862166673725981E-2</v>
      </c>
      <c r="H121" s="21">
        <v>-9.3254001979963252E-3</v>
      </c>
      <c r="I121" s="21">
        <v>-1.9555030410549623E-2</v>
      </c>
      <c r="J121" s="21">
        <v>2.6091474971999817E-2</v>
      </c>
      <c r="K121" s="21">
        <v>2.4503229151403794E-2</v>
      </c>
      <c r="L121" s="21">
        <v>-6.1488918355749211E-2</v>
      </c>
      <c r="O121" s="21">
        <f t="shared" si="18"/>
        <v>-8.032788309566552E-4</v>
      </c>
      <c r="P121" s="21">
        <f t="shared" si="18"/>
        <v>3.9661953240144321E-4</v>
      </c>
      <c r="Q121" s="21">
        <f t="shared" si="18"/>
        <v>-9.3254001979963252E-3</v>
      </c>
      <c r="R121" s="22">
        <f t="shared" si="18"/>
        <v>1.1998983633580984E-3</v>
      </c>
      <c r="S121" s="22">
        <f t="shared" si="18"/>
        <v>-8.52212136703967E-3</v>
      </c>
      <c r="U121" s="22">
        <f t="shared" si="14"/>
        <v>1.1998983633580984E-3</v>
      </c>
      <c r="V121" s="22">
        <f t="shared" si="15"/>
        <v>-8.52212136703967E-3</v>
      </c>
    </row>
    <row r="122" spans="2:22" s="3" customFormat="1">
      <c r="B122" s="28">
        <f>Univariate!N114</f>
        <v>44286</v>
      </c>
      <c r="C122" s="21">
        <v>2.7500000000000001E-5</v>
      </c>
      <c r="D122" s="21">
        <v>1.8655477596030146E-4</v>
      </c>
      <c r="E122" s="21">
        <v>2.6226794750616733E-5</v>
      </c>
      <c r="F122" s="21">
        <v>-8.1406923077331772E-4</v>
      </c>
      <c r="G122" s="21">
        <v>-1.2653570914514911E-2</v>
      </c>
      <c r="H122" s="21">
        <v>-5.7461233487734464E-3</v>
      </c>
      <c r="I122" s="21">
        <v>-1.3870140935728026E-2</v>
      </c>
      <c r="J122" s="21">
        <v>4.2438634008107767E-2</v>
      </c>
      <c r="K122" s="21">
        <v>3.109380214235169E-2</v>
      </c>
      <c r="L122" s="21">
        <v>-1.5184194136236728E-2</v>
      </c>
      <c r="O122" s="21">
        <f t="shared" ref="O122:S131" si="19">SUMPRODUCT(INDEX(portwts,O$19,),$C122:$L122)</f>
        <v>1.8655477596030146E-4</v>
      </c>
      <c r="P122" s="21">
        <f t="shared" si="19"/>
        <v>-8.1406923077331772E-4</v>
      </c>
      <c r="Q122" s="21">
        <f t="shared" si="19"/>
        <v>-5.7461233487734464E-3</v>
      </c>
      <c r="R122" s="22">
        <f t="shared" si="19"/>
        <v>-1.0006240067336192E-3</v>
      </c>
      <c r="S122" s="22">
        <f t="shared" si="19"/>
        <v>-5.9326781247337479E-3</v>
      </c>
      <c r="U122" s="22">
        <f t="shared" si="14"/>
        <v>-1.0006240067336192E-3</v>
      </c>
      <c r="V122" s="22">
        <f t="shared" si="15"/>
        <v>-5.9326781247337479E-3</v>
      </c>
    </row>
    <row r="123" spans="2:22" s="3" customFormat="1">
      <c r="B123" s="28">
        <f>Univariate!N115</f>
        <v>44316</v>
      </c>
      <c r="C123" s="21">
        <v>1.2666666666666667E-5</v>
      </c>
      <c r="D123" s="21">
        <v>4.5049317147194401E-4</v>
      </c>
      <c r="E123" s="21">
        <v>4.0650465731939533E-4</v>
      </c>
      <c r="F123" s="21">
        <v>2.0728063989299272E-3</v>
      </c>
      <c r="G123" s="21">
        <v>8.4046100400529955E-3</v>
      </c>
      <c r="H123" s="21">
        <v>4.3196222963681752E-3</v>
      </c>
      <c r="I123" s="21">
        <v>1.1898975953755331E-2</v>
      </c>
      <c r="J123" s="21">
        <v>5.242531255584737E-2</v>
      </c>
      <c r="K123" s="21">
        <v>4.5189742860191506E-2</v>
      </c>
      <c r="L123" s="21">
        <v>3.5966294042899527E-2</v>
      </c>
      <c r="O123" s="21">
        <f t="shared" si="19"/>
        <v>4.5049317147194401E-4</v>
      </c>
      <c r="P123" s="21">
        <f t="shared" si="19"/>
        <v>2.0728063989299272E-3</v>
      </c>
      <c r="Q123" s="21">
        <f t="shared" si="19"/>
        <v>4.3196222963681752E-3</v>
      </c>
      <c r="R123" s="22">
        <f t="shared" si="19"/>
        <v>1.6223132274579832E-3</v>
      </c>
      <c r="S123" s="22">
        <f t="shared" si="19"/>
        <v>3.8691291248962312E-3</v>
      </c>
      <c r="U123" s="22">
        <f t="shared" si="14"/>
        <v>1.6223132274579832E-3</v>
      </c>
      <c r="V123" s="22">
        <f t="shared" si="15"/>
        <v>3.8691291248962312E-3</v>
      </c>
    </row>
    <row r="124" spans="2:22" s="3" customFormat="1">
      <c r="B124" s="28">
        <f>Univariate!N116</f>
        <v>44347</v>
      </c>
      <c r="C124" s="21">
        <v>2.0833333333333334E-6</v>
      </c>
      <c r="D124" s="21">
        <v>7.5601374570455349E-4</v>
      </c>
      <c r="E124" s="21">
        <v>7.7117116067437763E-4</v>
      </c>
      <c r="F124" s="21">
        <v>2.1318730865014235E-3</v>
      </c>
      <c r="G124" s="21">
        <v>2.9767087748440169E-3</v>
      </c>
      <c r="H124" s="21">
        <v>2.9418212628797846E-3</v>
      </c>
      <c r="I124" s="21">
        <v>7.0206864587414319E-3</v>
      </c>
      <c r="J124" s="21">
        <v>5.4865025818131574E-3</v>
      </c>
      <c r="K124" s="21">
        <v>1.2569927452394714E-2</v>
      </c>
      <c r="L124" s="21">
        <v>7.7857477969397237E-2</v>
      </c>
      <c r="O124" s="21">
        <f t="shared" si="19"/>
        <v>7.5601374570455349E-4</v>
      </c>
      <c r="P124" s="21">
        <f t="shared" si="19"/>
        <v>2.1318730865014235E-3</v>
      </c>
      <c r="Q124" s="21">
        <f t="shared" si="19"/>
        <v>2.9418212628797846E-3</v>
      </c>
      <c r="R124" s="22">
        <f t="shared" si="19"/>
        <v>1.37585934079687E-3</v>
      </c>
      <c r="S124" s="22">
        <f t="shared" si="19"/>
        <v>2.1858075171752311E-3</v>
      </c>
      <c r="U124" s="22">
        <f t="shared" si="14"/>
        <v>1.37585934079687E-3</v>
      </c>
      <c r="V124" s="22">
        <f t="shared" si="15"/>
        <v>2.1858075171752311E-3</v>
      </c>
    </row>
    <row r="125" spans="2:22" s="3" customFormat="1">
      <c r="B125" s="28">
        <f>Univariate!N117</f>
        <v>44377</v>
      </c>
      <c r="C125" s="21">
        <v>2.0833333333333334E-6</v>
      </c>
      <c r="D125" s="21">
        <v>-1.5448288492249107E-3</v>
      </c>
      <c r="E125" s="21">
        <v>-1.1198469033213421E-3</v>
      </c>
      <c r="F125" s="21">
        <v>-7.9920048341874939E-4</v>
      </c>
      <c r="G125" s="21">
        <v>8.6882529944476428E-3</v>
      </c>
      <c r="H125" s="21">
        <v>2.6803411128408783E-3</v>
      </c>
      <c r="I125" s="21">
        <v>1.6647095909956722E-2</v>
      </c>
      <c r="J125" s="21">
        <v>2.221397632316946E-2</v>
      </c>
      <c r="K125" s="21">
        <v>1.3956380011425962E-2</v>
      </c>
      <c r="L125" s="21">
        <v>-7.171962430579959E-2</v>
      </c>
      <c r="O125" s="21">
        <f t="shared" si="19"/>
        <v>-1.5448288492249107E-3</v>
      </c>
      <c r="P125" s="21">
        <f t="shared" si="19"/>
        <v>-7.9920048341874939E-4</v>
      </c>
      <c r="Q125" s="21">
        <f t="shared" si="19"/>
        <v>2.6803411128408783E-3</v>
      </c>
      <c r="R125" s="22">
        <f t="shared" si="19"/>
        <v>7.4562836580616132E-4</v>
      </c>
      <c r="S125" s="22">
        <f t="shared" si="19"/>
        <v>4.225169962065789E-3</v>
      </c>
      <c r="U125" s="22">
        <f t="shared" si="14"/>
        <v>7.4562836580616132E-4</v>
      </c>
      <c r="V125" s="22">
        <f t="shared" si="15"/>
        <v>4.225169962065789E-3</v>
      </c>
    </row>
    <row r="126" spans="2:22" s="3" customFormat="1">
      <c r="B126" s="28">
        <f>Univariate!N118</f>
        <v>44407</v>
      </c>
      <c r="C126" s="21">
        <v>3.3833333333333334E-5</v>
      </c>
      <c r="D126" s="21">
        <v>1.6626477447918564E-3</v>
      </c>
      <c r="E126" s="21">
        <v>1.647780086191597E-3</v>
      </c>
      <c r="F126" s="21">
        <v>1.6872030917995939E-3</v>
      </c>
      <c r="G126" s="21">
        <v>1.3395155145788706E-2</v>
      </c>
      <c r="H126" s="21">
        <v>7.0237893228504156E-3</v>
      </c>
      <c r="I126" s="21">
        <v>1.2096097926917571E-2</v>
      </c>
      <c r="J126" s="21">
        <v>2.274810936591054E-2</v>
      </c>
      <c r="K126" s="21">
        <v>1.7240979308836168E-2</v>
      </c>
      <c r="L126" s="21">
        <v>2.4902407195033227E-2</v>
      </c>
      <c r="O126" s="21">
        <f t="shared" si="19"/>
        <v>1.6626477447918564E-3</v>
      </c>
      <c r="P126" s="21">
        <f t="shared" si="19"/>
        <v>1.6872030917995939E-3</v>
      </c>
      <c r="Q126" s="21">
        <f t="shared" si="19"/>
        <v>7.0237893228504156E-3</v>
      </c>
      <c r="R126" s="22">
        <f t="shared" si="19"/>
        <v>2.4555347007737538E-5</v>
      </c>
      <c r="S126" s="22">
        <f t="shared" si="19"/>
        <v>5.3611415780585592E-3</v>
      </c>
      <c r="U126" s="22">
        <f t="shared" si="14"/>
        <v>2.4555347007737538E-5</v>
      </c>
      <c r="V126" s="22">
        <f t="shared" si="15"/>
        <v>5.3611415780585592E-3</v>
      </c>
    </row>
    <row r="127" spans="2:22" s="3" customFormat="1">
      <c r="B127" s="28">
        <f>Univariate!N119</f>
        <v>44439</v>
      </c>
      <c r="C127" s="21">
        <v>3.3833333333333334E-5</v>
      </c>
      <c r="D127" s="21">
        <v>-7.8140230932000065E-5</v>
      </c>
      <c r="E127" s="21">
        <v>-2.4726949029107992E-5</v>
      </c>
      <c r="F127" s="21">
        <v>4.2424848539091009E-4</v>
      </c>
      <c r="G127" s="21">
        <v>-1.5608667247386521E-3</v>
      </c>
      <c r="H127" s="21">
        <v>-9.0512669140796476E-4</v>
      </c>
      <c r="I127" s="21">
        <v>-1.9806785867538812E-3</v>
      </c>
      <c r="J127" s="21">
        <v>2.8990321391681118E-2</v>
      </c>
      <c r="K127" s="21">
        <v>2.349108088295182E-2</v>
      </c>
      <c r="L127" s="21">
        <v>-3.1418980371411553E-4</v>
      </c>
      <c r="O127" s="21">
        <f t="shared" si="19"/>
        <v>-7.8140230932000065E-5</v>
      </c>
      <c r="P127" s="21">
        <f t="shared" si="19"/>
        <v>4.2424848539091009E-4</v>
      </c>
      <c r="Q127" s="21">
        <f t="shared" si="19"/>
        <v>-9.0512669140796476E-4</v>
      </c>
      <c r="R127" s="22">
        <f t="shared" si="19"/>
        <v>5.0238871632291016E-4</v>
      </c>
      <c r="S127" s="22">
        <f t="shared" si="19"/>
        <v>-8.2698646047596469E-4</v>
      </c>
      <c r="U127" s="22">
        <f t="shared" si="14"/>
        <v>5.0238871632291016E-4</v>
      </c>
      <c r="V127" s="22">
        <f t="shared" si="15"/>
        <v>-8.2698646047596469E-4</v>
      </c>
    </row>
    <row r="128" spans="2:22" s="3" customFormat="1">
      <c r="B128" s="28">
        <f>Univariate!N120</f>
        <v>44469</v>
      </c>
      <c r="C128" s="21">
        <v>2.9583333333333332E-5</v>
      </c>
      <c r="D128" s="21">
        <v>-1.0048513877685128E-3</v>
      </c>
      <c r="E128" s="21">
        <v>-7.6437253088035284E-4</v>
      </c>
      <c r="F128" s="21">
        <v>-2.8779840011450286E-4</v>
      </c>
      <c r="G128" s="21">
        <v>-1.2014615583012089E-2</v>
      </c>
      <c r="H128" s="21">
        <v>-6.0025556246581235E-3</v>
      </c>
      <c r="I128" s="21">
        <v>-1.0569251398916846E-2</v>
      </c>
      <c r="J128" s="21">
        <v>-4.7569140421166334E-2</v>
      </c>
      <c r="K128" s="21">
        <v>-4.2895570375793834E-2</v>
      </c>
      <c r="L128" s="21">
        <v>-3.124689846825679E-2</v>
      </c>
      <c r="O128" s="21">
        <f t="shared" si="19"/>
        <v>-1.0048513877685128E-3</v>
      </c>
      <c r="P128" s="21">
        <f t="shared" si="19"/>
        <v>-2.8779840011450286E-4</v>
      </c>
      <c r="Q128" s="21">
        <f t="shared" si="19"/>
        <v>-6.0025556246581235E-3</v>
      </c>
      <c r="R128" s="22">
        <f t="shared" si="19"/>
        <v>7.1705298765400993E-4</v>
      </c>
      <c r="S128" s="22">
        <f t="shared" si="19"/>
        <v>-4.9977042368896107E-3</v>
      </c>
      <c r="U128" s="22">
        <f t="shared" si="14"/>
        <v>7.1705298765400993E-4</v>
      </c>
      <c r="V128" s="22">
        <f t="shared" si="15"/>
        <v>-4.9977042368896107E-3</v>
      </c>
    </row>
    <row r="129" spans="2:22" s="3" customFormat="1">
      <c r="B129" s="28">
        <f>Univariate!N121</f>
        <v>44498</v>
      </c>
      <c r="C129" s="21">
        <v>2.7500000000000001E-5</v>
      </c>
      <c r="D129" s="21">
        <v>-3.0397106151245357E-3</v>
      </c>
      <c r="E129" s="21">
        <v>-2.7381247848330403E-3</v>
      </c>
      <c r="F129" s="21">
        <v>-3.2666890866690501E-3</v>
      </c>
      <c r="G129" s="21">
        <v>3.1127562849819768E-4</v>
      </c>
      <c r="H129" s="21">
        <v>-3.2191243321966212E-3</v>
      </c>
      <c r="I129" s="21">
        <v>2.4950726425574388E-3</v>
      </c>
      <c r="J129" s="21">
        <v>6.9143873301234615E-2</v>
      </c>
      <c r="K129" s="21">
        <v>5.5920308654293871E-2</v>
      </c>
      <c r="L129" s="21">
        <v>1.5043114488175524E-2</v>
      </c>
      <c r="O129" s="21">
        <f t="shared" si="19"/>
        <v>-3.0397106151245357E-3</v>
      </c>
      <c r="P129" s="21">
        <f t="shared" si="19"/>
        <v>-3.2666890866690501E-3</v>
      </c>
      <c r="Q129" s="21">
        <f t="shared" si="19"/>
        <v>-3.2191243321966212E-3</v>
      </c>
      <c r="R129" s="22">
        <f t="shared" si="19"/>
        <v>-2.2697847154451445E-4</v>
      </c>
      <c r="S129" s="22">
        <f t="shared" si="19"/>
        <v>-1.7941371707208553E-4</v>
      </c>
      <c r="U129" s="22">
        <f t="shared" si="14"/>
        <v>-2.2697847154451445E-4</v>
      </c>
      <c r="V129" s="22">
        <f t="shared" si="15"/>
        <v>-1.7941371707208553E-4</v>
      </c>
    </row>
    <row r="130" spans="2:22" s="3" customFormat="1">
      <c r="B130" s="28">
        <f>Univariate!N122</f>
        <v>44530</v>
      </c>
      <c r="C130" s="21">
        <v>4.0166666666666669E-5</v>
      </c>
      <c r="D130" s="21">
        <v>1.9179953936432348E-4</v>
      </c>
      <c r="E130" s="21">
        <v>-4.641756393909402E-4</v>
      </c>
      <c r="F130" s="21">
        <v>-1.5428627549128882E-3</v>
      </c>
      <c r="G130" s="21">
        <v>8.9050093712257361E-3</v>
      </c>
      <c r="H130" s="21">
        <v>1.7489296007073829E-3</v>
      </c>
      <c r="I130" s="21">
        <v>9.181251245917732E-4</v>
      </c>
      <c r="J130" s="21">
        <v>-8.3337314184714906E-3</v>
      </c>
      <c r="K130" s="21">
        <v>-2.2972032267310816E-2</v>
      </c>
      <c r="L130" s="21">
        <v>-4.9680942928597149E-3</v>
      </c>
      <c r="O130" s="21">
        <f t="shared" si="19"/>
        <v>1.9179953936432348E-4</v>
      </c>
      <c r="P130" s="21">
        <f t="shared" si="19"/>
        <v>-1.5428627549128882E-3</v>
      </c>
      <c r="Q130" s="21">
        <f t="shared" si="19"/>
        <v>1.7489296007073829E-3</v>
      </c>
      <c r="R130" s="22">
        <f t="shared" si="19"/>
        <v>-1.7346622942772116E-3</v>
      </c>
      <c r="S130" s="22">
        <f t="shared" si="19"/>
        <v>1.5571300613430594E-3</v>
      </c>
      <c r="U130" s="22">
        <f t="shared" si="14"/>
        <v>-1.7346622942772116E-3</v>
      </c>
      <c r="V130" s="22">
        <f t="shared" si="15"/>
        <v>1.5571300613430594E-3</v>
      </c>
    </row>
    <row r="131" spans="2:22" s="3" customFormat="1">
      <c r="B131" s="28">
        <f>Univariate!N123</f>
        <v>44561</v>
      </c>
      <c r="C131" s="21">
        <v>3.8000000000000002E-5</v>
      </c>
      <c r="D131" s="21">
        <v>-2.4802373420731438E-3</v>
      </c>
      <c r="E131" s="21">
        <v>-1.7502290923563368E-3</v>
      </c>
      <c r="F131" s="21">
        <v>-6.6421288657614319E-4</v>
      </c>
      <c r="G131" s="21">
        <v>-5.7005265768458324E-3</v>
      </c>
      <c r="H131" s="21">
        <v>-2.2361847737648599E-3</v>
      </c>
      <c r="I131" s="21">
        <v>-1.7142201738967744E-3</v>
      </c>
      <c r="J131" s="21">
        <v>4.3612874972629889E-2</v>
      </c>
      <c r="K131" s="21">
        <v>4.188858082403768E-2</v>
      </c>
      <c r="L131" s="21">
        <v>3.0813966593783215E-2</v>
      </c>
      <c r="O131" s="21">
        <f t="shared" si="19"/>
        <v>-2.4802373420731438E-3</v>
      </c>
      <c r="P131" s="21">
        <f t="shared" si="19"/>
        <v>-6.6421288657614319E-4</v>
      </c>
      <c r="Q131" s="21">
        <f t="shared" si="19"/>
        <v>-2.2361847737648599E-3</v>
      </c>
      <c r="R131" s="22">
        <f t="shared" si="19"/>
        <v>1.8160244554970006E-3</v>
      </c>
      <c r="S131" s="22">
        <f t="shared" si="19"/>
        <v>2.4405256830828392E-4</v>
      </c>
      <c r="U131" s="22">
        <f t="shared" si="14"/>
        <v>1.8160244554970006E-3</v>
      </c>
      <c r="V131" s="22">
        <f t="shared" si="15"/>
        <v>2.4405256830828392E-4</v>
      </c>
    </row>
    <row r="132" spans="2:22" s="3" customFormat="1">
      <c r="B132" s="28">
        <f>Univariate!N124</f>
        <v>44592</v>
      </c>
      <c r="C132" s="21">
        <v>2.5333333333333334E-5</v>
      </c>
      <c r="D132" s="21">
        <v>-6.5472663058070424E-3</v>
      </c>
      <c r="E132" s="21">
        <v>-6.7111001230306666E-3</v>
      </c>
      <c r="F132" s="21">
        <v>-7.4958829530974436E-3</v>
      </c>
      <c r="G132" s="21">
        <v>-1.8864479239942833E-2</v>
      </c>
      <c r="H132" s="21">
        <v>-1.2502210150905135E-2</v>
      </c>
      <c r="I132" s="21">
        <v>-3.124768304575265E-2</v>
      </c>
      <c r="J132" s="21">
        <v>-5.2585089106999772E-2</v>
      </c>
      <c r="K132" s="21">
        <v>-5.343268156683878E-2</v>
      </c>
      <c r="L132" s="21">
        <v>-1.7510387054450072E-2</v>
      </c>
      <c r="O132" s="21">
        <f t="shared" ref="O132:S141" si="20">SUMPRODUCT(INDEX(portwts,O$19,),$C132:$L132)</f>
        <v>-6.5472663058070424E-3</v>
      </c>
      <c r="P132" s="21">
        <f t="shared" si="20"/>
        <v>-7.4958829530974436E-3</v>
      </c>
      <c r="Q132" s="21">
        <f t="shared" si="20"/>
        <v>-1.2502210150905135E-2</v>
      </c>
      <c r="R132" s="22">
        <f t="shared" si="20"/>
        <v>-9.4861664729040118E-4</v>
      </c>
      <c r="S132" s="22">
        <f t="shared" si="20"/>
        <v>-5.9549438450980929E-3</v>
      </c>
      <c r="U132" s="22">
        <f t="shared" si="14"/>
        <v>-9.4861664729040118E-4</v>
      </c>
      <c r="V132" s="22">
        <f t="shared" si="15"/>
        <v>-5.9549438450980929E-3</v>
      </c>
    </row>
    <row r="133" spans="2:22" s="3" customFormat="1">
      <c r="B133" s="28">
        <f>Univariate!N125</f>
        <v>44620</v>
      </c>
      <c r="C133" s="21">
        <v>1.4999999999999999E-4</v>
      </c>
      <c r="D133" s="21">
        <v>-3.742991386562089E-3</v>
      </c>
      <c r="E133" s="21">
        <v>-3.7629891241512947E-3</v>
      </c>
      <c r="F133" s="21">
        <v>-7.7055182536860389E-3</v>
      </c>
      <c r="G133" s="21">
        <v>-7.5924389532928682E-3</v>
      </c>
      <c r="H133" s="21">
        <v>-6.6560114592384423E-3</v>
      </c>
      <c r="I133" s="21">
        <v>-2.180899029682648E-2</v>
      </c>
      <c r="J133" s="21">
        <v>-3.1360520866782648E-2</v>
      </c>
      <c r="K133" s="21">
        <v>-2.6511498667887157E-2</v>
      </c>
      <c r="L133" s="21">
        <v>6.2220045961149939E-2</v>
      </c>
      <c r="O133" s="21">
        <f t="shared" si="20"/>
        <v>-3.742991386562089E-3</v>
      </c>
      <c r="P133" s="21">
        <f t="shared" si="20"/>
        <v>-7.7055182536860389E-3</v>
      </c>
      <c r="Q133" s="21">
        <f t="shared" si="20"/>
        <v>-6.6560114592384423E-3</v>
      </c>
      <c r="R133" s="22">
        <f t="shared" si="20"/>
        <v>-3.96252686712395E-3</v>
      </c>
      <c r="S133" s="22">
        <f t="shared" si="20"/>
        <v>-2.9130200726763533E-3</v>
      </c>
      <c r="U133" s="22">
        <f t="shared" si="14"/>
        <v>-3.96252686712395E-3</v>
      </c>
      <c r="V133" s="22">
        <f t="shared" si="15"/>
        <v>-2.9130200726763533E-3</v>
      </c>
    </row>
    <row r="134" spans="2:22" s="3" customFormat="1">
      <c r="B134" s="28">
        <f>Univariate!N126</f>
        <v>44651</v>
      </c>
      <c r="C134" s="21">
        <v>2.4308333333333335E-4</v>
      </c>
      <c r="D134" s="21">
        <v>-1.331462698738195E-2</v>
      </c>
      <c r="E134" s="21">
        <v>-1.2512815509149955E-2</v>
      </c>
      <c r="F134" s="21">
        <v>-1.6666603979287431E-2</v>
      </c>
      <c r="G134" s="21">
        <v>-3.0054746669558874E-2</v>
      </c>
      <c r="H134" s="21">
        <v>-2.3889501110438749E-2</v>
      </c>
      <c r="I134" s="21">
        <v>-2.6390902135604244E-2</v>
      </c>
      <c r="J134" s="21">
        <v>3.5773238773280092E-2</v>
      </c>
      <c r="K134" s="21">
        <v>2.5225406739535661E-2</v>
      </c>
      <c r="L134" s="21">
        <v>1.4903168691297486E-2</v>
      </c>
      <c r="O134" s="21">
        <f t="shared" si="20"/>
        <v>-1.331462698738195E-2</v>
      </c>
      <c r="P134" s="21">
        <f t="shared" si="20"/>
        <v>-1.6666603979287431E-2</v>
      </c>
      <c r="Q134" s="21">
        <f t="shared" si="20"/>
        <v>-2.3889501110438749E-2</v>
      </c>
      <c r="R134" s="22">
        <f t="shared" si="20"/>
        <v>-3.3519769919054809E-3</v>
      </c>
      <c r="S134" s="22">
        <f t="shared" si="20"/>
        <v>-1.0574874123056799E-2</v>
      </c>
      <c r="U134" s="22">
        <f t="shared" si="14"/>
        <v>-3.3519769919054809E-3</v>
      </c>
      <c r="V134" s="22">
        <f t="shared" si="15"/>
        <v>-1.0574874123056799E-2</v>
      </c>
    </row>
    <row r="135" spans="2:22" s="3" customFormat="1">
      <c r="B135" s="28">
        <f>Univariate!N127</f>
        <v>44680</v>
      </c>
      <c r="C135" s="21">
        <v>4.0183333333333336E-4</v>
      </c>
      <c r="D135" s="21">
        <v>-4.7505397231347724E-3</v>
      </c>
      <c r="E135" s="21">
        <v>-5.0721410258810495E-3</v>
      </c>
      <c r="F135" s="21">
        <v>-7.2898890697563612E-3</v>
      </c>
      <c r="G135" s="21">
        <v>-3.2081456896948302E-2</v>
      </c>
      <c r="H135" s="21">
        <v>-1.6836959045835598E-2</v>
      </c>
      <c r="I135" s="21">
        <v>-4.9716282037125747E-2</v>
      </c>
      <c r="J135" s="21">
        <v>-8.7956719149039353E-2</v>
      </c>
      <c r="K135" s="21">
        <v>-8.4324958156871688E-2</v>
      </c>
      <c r="L135" s="21">
        <v>-2.090903460236182E-2</v>
      </c>
      <c r="O135" s="21">
        <f t="shared" si="20"/>
        <v>-4.7505397231347724E-3</v>
      </c>
      <c r="P135" s="21">
        <f t="shared" si="20"/>
        <v>-7.2898890697563612E-3</v>
      </c>
      <c r="Q135" s="21">
        <f t="shared" si="20"/>
        <v>-1.6836959045835598E-2</v>
      </c>
      <c r="R135" s="22">
        <f t="shared" si="20"/>
        <v>-2.5393493466215888E-3</v>
      </c>
      <c r="S135" s="22">
        <f t="shared" si="20"/>
        <v>-1.2086419322700825E-2</v>
      </c>
      <c r="U135" s="22">
        <f t="shared" si="14"/>
        <v>-2.5393493466215888E-3</v>
      </c>
      <c r="V135" s="22">
        <f t="shared" si="15"/>
        <v>-1.2086419322700825E-2</v>
      </c>
    </row>
    <row r="136" spans="2:22" s="3" customFormat="1">
      <c r="B136" s="28">
        <f>Univariate!N128</f>
        <v>44712</v>
      </c>
      <c r="C136" s="21">
        <v>6.8574999999999994E-4</v>
      </c>
      <c r="D136" s="21">
        <v>5.530063898964821E-3</v>
      </c>
      <c r="E136" s="21">
        <v>4.8060826889988473E-3</v>
      </c>
      <c r="F136" s="21">
        <v>5.7730161036764205E-3</v>
      </c>
      <c r="G136" s="21">
        <v>6.2212665030525471E-4</v>
      </c>
      <c r="H136" s="21">
        <v>3.571800989249363E-3</v>
      </c>
      <c r="I136" s="21">
        <v>5.3524782687703887E-3</v>
      </c>
      <c r="J136" s="21">
        <v>5.3243883608722342E-5</v>
      </c>
      <c r="K136" s="21">
        <v>-1.6490080912282545E-3</v>
      </c>
      <c r="L136" s="21">
        <v>-3.1408644493998272E-2</v>
      </c>
      <c r="O136" s="21">
        <f t="shared" si="20"/>
        <v>5.530063898964821E-3</v>
      </c>
      <c r="P136" s="21">
        <f t="shared" si="20"/>
        <v>5.7730161036764205E-3</v>
      </c>
      <c r="Q136" s="21">
        <f t="shared" si="20"/>
        <v>3.571800989249363E-3</v>
      </c>
      <c r="R136" s="22">
        <f t="shared" si="20"/>
        <v>2.4295220471159951E-4</v>
      </c>
      <c r="S136" s="22">
        <f t="shared" si="20"/>
        <v>-1.958262909715458E-3</v>
      </c>
      <c r="U136" s="22">
        <f t="shared" si="14"/>
        <v>2.4295220471159951E-4</v>
      </c>
      <c r="V136" s="22">
        <f t="shared" si="15"/>
        <v>-1.958262909715458E-3</v>
      </c>
    </row>
    <row r="137" spans="2:22" s="3" customFormat="1">
      <c r="B137" s="28">
        <f>Univariate!N129</f>
        <v>44742</v>
      </c>
      <c r="C137" s="21">
        <v>8.6599999999999991E-4</v>
      </c>
      <c r="D137" s="21">
        <v>-5.7825175166225096E-3</v>
      </c>
      <c r="E137" s="21">
        <v>-5.5318572229748897E-3</v>
      </c>
      <c r="F137" s="21">
        <v>-8.5627533909510278E-3</v>
      </c>
      <c r="G137" s="21">
        <v>-7.2396013408896343E-3</v>
      </c>
      <c r="H137" s="21">
        <v>-6.6055332999498395E-3</v>
      </c>
      <c r="I137" s="21">
        <v>-2.3502828776662321E-2</v>
      </c>
      <c r="J137" s="21">
        <v>-8.3919993223866451E-2</v>
      </c>
      <c r="K137" s="21">
        <v>-8.7717349633286923E-2</v>
      </c>
      <c r="L137" s="21">
        <v>-1.6371404468391915E-2</v>
      </c>
      <c r="O137" s="21">
        <f t="shared" si="20"/>
        <v>-5.7825175166225096E-3</v>
      </c>
      <c r="P137" s="21">
        <f t="shared" si="20"/>
        <v>-8.5627533909510278E-3</v>
      </c>
      <c r="Q137" s="21">
        <f t="shared" si="20"/>
        <v>-6.6055332999498395E-3</v>
      </c>
      <c r="R137" s="22">
        <f t="shared" si="20"/>
        <v>-2.7802358743285183E-3</v>
      </c>
      <c r="S137" s="22">
        <f t="shared" si="20"/>
        <v>-8.2301578332732994E-4</v>
      </c>
      <c r="U137" s="22">
        <f t="shared" si="14"/>
        <v>-2.7802358743285183E-3</v>
      </c>
      <c r="V137" s="22">
        <f t="shared" si="15"/>
        <v>-8.2301578332732994E-4</v>
      </c>
    </row>
    <row r="138" spans="2:22" s="3" customFormat="1">
      <c r="B138" s="28">
        <f>Univariate!N130</f>
        <v>44771</v>
      </c>
      <c r="C138" s="21">
        <v>1.3551666666666668E-3</v>
      </c>
      <c r="D138" s="21">
        <v>3.3528295068618874E-3</v>
      </c>
      <c r="E138" s="21">
        <v>2.6352464971926004E-3</v>
      </c>
      <c r="F138" s="21">
        <v>7.4658997444205788E-3</v>
      </c>
      <c r="G138" s="21">
        <v>1.65865653968571E-2</v>
      </c>
      <c r="H138" s="21">
        <v>1.0522057632823767E-2</v>
      </c>
      <c r="I138" s="21">
        <v>2.9487751054719125E-2</v>
      </c>
      <c r="J138" s="21">
        <v>9.1116347632205885E-2</v>
      </c>
      <c r="K138" s="21">
        <v>7.8619427458280766E-2</v>
      </c>
      <c r="L138" s="21">
        <v>-2.2868746783823113E-2</v>
      </c>
      <c r="O138" s="21">
        <f t="shared" si="20"/>
        <v>3.3528295068618874E-3</v>
      </c>
      <c r="P138" s="21">
        <f t="shared" si="20"/>
        <v>7.4658997444205788E-3</v>
      </c>
      <c r="Q138" s="21">
        <f t="shared" si="20"/>
        <v>1.0522057632823767E-2</v>
      </c>
      <c r="R138" s="22">
        <f t="shared" si="20"/>
        <v>4.1130702375586914E-3</v>
      </c>
      <c r="S138" s="22">
        <f t="shared" si="20"/>
        <v>7.1692281259618795E-3</v>
      </c>
      <c r="U138" s="22">
        <f t="shared" si="14"/>
        <v>4.1130702375586914E-3</v>
      </c>
      <c r="V138" s="22">
        <f t="shared" si="15"/>
        <v>7.1692281259618795E-3</v>
      </c>
    </row>
    <row r="139" spans="2:22" s="3" customFormat="1">
      <c r="B139" s="28">
        <f>Univariate!N131</f>
        <v>44804</v>
      </c>
      <c r="C139" s="21">
        <v>1.9306666666666669E-3</v>
      </c>
      <c r="D139" s="21">
        <v>-7.2039287934703156E-3</v>
      </c>
      <c r="E139" s="21">
        <v>-7.9638102833402558E-3</v>
      </c>
      <c r="F139" s="21">
        <v>-5.7503855963663142E-3</v>
      </c>
      <c r="G139" s="21">
        <v>-2.6175212402140158E-2</v>
      </c>
      <c r="H139" s="21">
        <v>-1.7493418533857663E-2</v>
      </c>
      <c r="I139" s="21">
        <v>-2.6611677035771941E-2</v>
      </c>
      <c r="J139" s="21">
        <v>-4.2440119216810457E-2</v>
      </c>
      <c r="K139" s="21">
        <v>-4.3348128620688264E-2</v>
      </c>
      <c r="L139" s="21">
        <v>-3.1088258944245051E-2</v>
      </c>
      <c r="O139" s="21">
        <f t="shared" si="20"/>
        <v>-7.2039287934703156E-3</v>
      </c>
      <c r="P139" s="21">
        <f t="shared" si="20"/>
        <v>-5.7503855963663142E-3</v>
      </c>
      <c r="Q139" s="21">
        <f t="shared" si="20"/>
        <v>-1.7493418533857663E-2</v>
      </c>
      <c r="R139" s="22">
        <f t="shared" si="20"/>
        <v>1.4535431971040014E-3</v>
      </c>
      <c r="S139" s="22">
        <f t="shared" si="20"/>
        <v>-1.0289489740387348E-2</v>
      </c>
      <c r="U139" s="22">
        <f t="shared" si="14"/>
        <v>1.4535431971040014E-3</v>
      </c>
      <c r="V139" s="22">
        <f t="shared" si="15"/>
        <v>-1.0289489740387348E-2</v>
      </c>
    </row>
    <row r="140" spans="2:22" s="3" customFormat="1">
      <c r="B140" s="28">
        <f>Univariate!N132</f>
        <v>44834</v>
      </c>
      <c r="C140" s="21">
        <v>2.4169166666666666E-3</v>
      </c>
      <c r="D140" s="21">
        <v>-1.178178702337318E-2</v>
      </c>
      <c r="E140" s="21">
        <v>-1.1024613866002952E-2</v>
      </c>
      <c r="F140" s="21">
        <v>-1.4531577207097968E-2</v>
      </c>
      <c r="G140" s="21">
        <v>-3.7510852028801778E-2</v>
      </c>
      <c r="H140" s="21">
        <v>-2.3715309664140927E-2</v>
      </c>
      <c r="I140" s="21">
        <v>-5.3080632783768955E-2</v>
      </c>
      <c r="J140" s="21">
        <v>-9.3395701643489315E-2</v>
      </c>
      <c r="K140" s="21">
        <v>-9.4647777963856705E-2</v>
      </c>
      <c r="L140" s="21">
        <v>-2.9473302786609312E-2</v>
      </c>
      <c r="O140" s="21">
        <f t="shared" si="20"/>
        <v>-1.178178702337318E-2</v>
      </c>
      <c r="P140" s="21">
        <f t="shared" si="20"/>
        <v>-1.4531577207097968E-2</v>
      </c>
      <c r="Q140" s="21">
        <f t="shared" si="20"/>
        <v>-2.3715309664140927E-2</v>
      </c>
      <c r="R140" s="22">
        <f t="shared" si="20"/>
        <v>-2.7497901837247873E-3</v>
      </c>
      <c r="S140" s="22">
        <f t="shared" si="20"/>
        <v>-1.1933522640767746E-2</v>
      </c>
      <c r="U140" s="22">
        <f t="shared" si="14"/>
        <v>-2.7497901837247873E-3</v>
      </c>
      <c r="V140" s="22">
        <f t="shared" si="15"/>
        <v>-1.1933522640767746E-2</v>
      </c>
    </row>
    <row r="141" spans="2:22" s="3" customFormat="1">
      <c r="B141" s="28">
        <f>Univariate!N133</f>
        <v>44865</v>
      </c>
      <c r="C141" s="21">
        <v>2.7055E-3</v>
      </c>
      <c r="D141" s="21">
        <v>-9.8749969893285883E-4</v>
      </c>
      <c r="E141" s="21">
        <v>-1.6226807911334795E-3</v>
      </c>
      <c r="F141" s="21">
        <v>-2.2720778243974227E-3</v>
      </c>
      <c r="G141" s="21">
        <v>-1.5219530427619032E-2</v>
      </c>
      <c r="H141" s="21">
        <v>-7.3248596036072922E-3</v>
      </c>
      <c r="I141" s="21">
        <v>-1.1149135715035507E-2</v>
      </c>
      <c r="J141" s="21">
        <v>7.9863454576893256E-2</v>
      </c>
      <c r="K141" s="21">
        <v>7.1078132554179829E-2</v>
      </c>
      <c r="L141" s="21">
        <v>-1.6289194934391515E-2</v>
      </c>
      <c r="O141" s="21">
        <f t="shared" si="20"/>
        <v>-9.8749969893285883E-4</v>
      </c>
      <c r="P141" s="21">
        <f t="shared" si="20"/>
        <v>-2.2720778243974227E-3</v>
      </c>
      <c r="Q141" s="21">
        <f t="shared" si="20"/>
        <v>-7.3248596036072922E-3</v>
      </c>
      <c r="R141" s="22">
        <f t="shared" si="20"/>
        <v>-1.2845781254645638E-3</v>
      </c>
      <c r="S141" s="22">
        <f t="shared" si="20"/>
        <v>-6.3373599046744333E-3</v>
      </c>
      <c r="U141" s="22">
        <f t="shared" si="14"/>
        <v>-1.2845781254645638E-3</v>
      </c>
      <c r="V141" s="22">
        <f t="shared" si="15"/>
        <v>-6.3373599046744333E-3</v>
      </c>
    </row>
    <row r="142" spans="2:22" s="3" customFormat="1">
      <c r="B142" s="28">
        <f>Univariate!N134</f>
        <v>44895</v>
      </c>
      <c r="C142" s="21">
        <v>3.3799166666666669E-3</v>
      </c>
      <c r="D142" s="21">
        <v>6.2875043022390109E-3</v>
      </c>
      <c r="E142" s="21">
        <v>6.2505749946333289E-3</v>
      </c>
      <c r="F142" s="21">
        <v>1.3179812663381529E-2</v>
      </c>
      <c r="G142" s="21">
        <v>2.8126175985148771E-2</v>
      </c>
      <c r="H142" s="21">
        <v>1.5199845454158423E-2</v>
      </c>
      <c r="I142" s="21">
        <v>4.9175445389133987E-2</v>
      </c>
      <c r="J142" s="21">
        <v>5.3752860293699856E-2</v>
      </c>
      <c r="K142" s="21">
        <v>6.7970577614494543E-2</v>
      </c>
      <c r="L142" s="21">
        <v>8.2617106197507395E-2</v>
      </c>
      <c r="O142" s="21">
        <f t="shared" ref="O142:S152" si="21">SUMPRODUCT(INDEX(portwts,O$19,),$C142:$L142)</f>
        <v>6.2875043022390109E-3</v>
      </c>
      <c r="P142" s="21">
        <f t="shared" si="21"/>
        <v>1.3179812663381529E-2</v>
      </c>
      <c r="Q142" s="21">
        <f t="shared" si="21"/>
        <v>1.5199845454158423E-2</v>
      </c>
      <c r="R142" s="22">
        <f t="shared" si="21"/>
        <v>6.8923083611425184E-3</v>
      </c>
      <c r="S142" s="22">
        <f t="shared" si="21"/>
        <v>8.9123411519194118E-3</v>
      </c>
      <c r="U142" s="22">
        <f t="shared" si="14"/>
        <v>6.8923083611425184E-3</v>
      </c>
      <c r="V142" s="22">
        <f t="shared" si="15"/>
        <v>8.9123411519194118E-3</v>
      </c>
    </row>
    <row r="143" spans="2:22" s="3" customFormat="1">
      <c r="B143" s="28">
        <f>Univariate!N135</f>
        <v>44925</v>
      </c>
      <c r="C143" s="21">
        <v>3.5996666666666668E-3</v>
      </c>
      <c r="D143" s="21">
        <v>2.0455625090360918E-3</v>
      </c>
      <c r="E143" s="21">
        <v>2.5523556719058149E-3</v>
      </c>
      <c r="F143" s="21">
        <v>3.0386964971180763E-3</v>
      </c>
      <c r="G143" s="21">
        <v>-5.2423174935820605E-3</v>
      </c>
      <c r="H143" s="21">
        <v>1.4255618068126363E-3</v>
      </c>
      <c r="I143" s="21">
        <v>-2.1183511393275678E-3</v>
      </c>
      <c r="J143" s="21">
        <v>-5.8971449299161094E-2</v>
      </c>
      <c r="K143" s="21">
        <v>-4.3441667983637688E-2</v>
      </c>
      <c r="L143" s="21">
        <v>3.1382172664148555E-2</v>
      </c>
      <c r="O143" s="21">
        <f t="shared" si="21"/>
        <v>2.0455625090360918E-3</v>
      </c>
      <c r="P143" s="21">
        <f t="shared" si="21"/>
        <v>3.0386964971180763E-3</v>
      </c>
      <c r="Q143" s="21">
        <f t="shared" si="21"/>
        <v>1.4255618068126363E-3</v>
      </c>
      <c r="R143" s="22">
        <f t="shared" si="21"/>
        <v>9.931339880819845E-4</v>
      </c>
      <c r="S143" s="22">
        <f t="shared" si="21"/>
        <v>-6.2000070222345549E-4</v>
      </c>
      <c r="U143" s="22">
        <f t="shared" si="14"/>
        <v>9.931339880819845E-4</v>
      </c>
      <c r="V143" s="22">
        <f t="shared" si="15"/>
        <v>-6.2000070222345549E-4</v>
      </c>
    </row>
    <row r="144" spans="2:22" s="3" customFormat="1">
      <c r="B144" s="28">
        <f>Univariate!N136</f>
        <v>44957</v>
      </c>
      <c r="C144" s="21">
        <v>3.6190833333333335E-3</v>
      </c>
      <c r="D144" s="21">
        <v>6.8529912993722242E-3</v>
      </c>
      <c r="E144" s="21">
        <v>7.4985009837649219E-3</v>
      </c>
      <c r="F144" s="21">
        <v>1.0432522821833157E-2</v>
      </c>
      <c r="G144" s="21">
        <v>2.5942010417448813E-2</v>
      </c>
      <c r="H144" s="21">
        <v>1.4634042651866963E-2</v>
      </c>
      <c r="I144" s="21">
        <v>3.889132644369897E-2</v>
      </c>
      <c r="J144" s="21">
        <v>6.1752832400052027E-2</v>
      </c>
      <c r="K144" s="21">
        <v>7.004675931440163E-2</v>
      </c>
      <c r="L144" s="21">
        <v>5.720332013903362E-2</v>
      </c>
      <c r="O144" s="21">
        <f t="shared" si="21"/>
        <v>6.8529912993722242E-3</v>
      </c>
      <c r="P144" s="21">
        <f t="shared" si="21"/>
        <v>1.0432522821833157E-2</v>
      </c>
      <c r="Q144" s="21">
        <f t="shared" si="21"/>
        <v>1.4634042651866963E-2</v>
      </c>
      <c r="R144" s="22">
        <f t="shared" si="21"/>
        <v>3.5795315224609325E-3</v>
      </c>
      <c r="S144" s="22">
        <f t="shared" si="21"/>
        <v>7.7810513524947389E-3</v>
      </c>
      <c r="U144" s="22">
        <f t="shared" si="14"/>
        <v>3.5795315224609325E-3</v>
      </c>
      <c r="V144" s="22">
        <f t="shared" si="15"/>
        <v>7.7810513524947389E-3</v>
      </c>
    </row>
    <row r="145" spans="2:22" s="3" customFormat="1">
      <c r="B145" s="28">
        <f>Univariate!N137</f>
        <v>44985</v>
      </c>
      <c r="C145" s="21">
        <v>3.8679166666666666E-3</v>
      </c>
      <c r="D145" s="21">
        <v>-7.2206895930521098E-3</v>
      </c>
      <c r="E145" s="21">
        <v>-7.9186561366191288E-3</v>
      </c>
      <c r="F145" s="21">
        <v>-6.3179141658825655E-3</v>
      </c>
      <c r="G145" s="21">
        <v>-2.4088299362497012E-2</v>
      </c>
      <c r="H145" s="21">
        <v>-1.5144791597230811E-2</v>
      </c>
      <c r="I145" s="21">
        <v>-2.9128853320997239E-2</v>
      </c>
      <c r="J145" s="21">
        <v>-2.6112446646715304E-2</v>
      </c>
      <c r="K145" s="21">
        <v>-2.5289048473967624E-2</v>
      </c>
      <c r="L145" s="21">
        <v>-5.2604285506855475E-2</v>
      </c>
      <c r="O145" s="21">
        <f t="shared" si="21"/>
        <v>-7.2206895930521098E-3</v>
      </c>
      <c r="P145" s="21">
        <f t="shared" si="21"/>
        <v>-6.3179141658825655E-3</v>
      </c>
      <c r="Q145" s="21">
        <f t="shared" si="21"/>
        <v>-1.5144791597230811E-2</v>
      </c>
      <c r="R145" s="22">
        <f t="shared" si="21"/>
        <v>9.0277542716954429E-4</v>
      </c>
      <c r="S145" s="22">
        <f t="shared" si="21"/>
        <v>-7.9241020041787014E-3</v>
      </c>
      <c r="U145" s="22">
        <f t="shared" si="14"/>
        <v>9.0277542716954429E-4</v>
      </c>
      <c r="V145" s="22">
        <f t="shared" si="15"/>
        <v>-7.9241020041787014E-3</v>
      </c>
    </row>
    <row r="146" spans="2:22" s="3" customFormat="1">
      <c r="B146" s="28">
        <f>Univariate!N138</f>
        <v>45016</v>
      </c>
      <c r="C146" s="21">
        <v>3.9739166666666664E-3</v>
      </c>
      <c r="D146" s="21">
        <v>1.5952721678990756E-2</v>
      </c>
      <c r="E146" s="21">
        <v>1.6285339772754925E-2</v>
      </c>
      <c r="F146" s="21">
        <v>8.7837685668412657E-3</v>
      </c>
      <c r="G146" s="21">
        <v>2.9576955176613406E-2</v>
      </c>
      <c r="H146" s="21">
        <v>2.1121753530337406E-2</v>
      </c>
      <c r="I146" s="21">
        <v>2.5627855244890752E-2</v>
      </c>
      <c r="J146" s="21">
        <v>3.5051572358727023E-2</v>
      </c>
      <c r="K146" s="21">
        <v>2.8317560423934518E-2</v>
      </c>
      <c r="L146" s="21">
        <v>7.7923499660631057E-2</v>
      </c>
      <c r="O146" s="21">
        <f t="shared" si="21"/>
        <v>1.5952721678990756E-2</v>
      </c>
      <c r="P146" s="21">
        <f t="shared" si="21"/>
        <v>8.7837685668412657E-3</v>
      </c>
      <c r="Q146" s="21">
        <f t="shared" si="21"/>
        <v>2.1121753530337406E-2</v>
      </c>
      <c r="R146" s="22">
        <f t="shared" si="21"/>
        <v>-7.1689531121494898E-3</v>
      </c>
      <c r="S146" s="22">
        <f t="shared" si="21"/>
        <v>5.1690318513466504E-3</v>
      </c>
      <c r="U146" s="22">
        <f t="shared" si="14"/>
        <v>-7.1689531121494898E-3</v>
      </c>
      <c r="V146" s="22">
        <f t="shared" si="15"/>
        <v>5.1690318513466504E-3</v>
      </c>
    </row>
    <row r="147" spans="2:22" s="3" customFormat="1">
      <c r="B147" s="28">
        <f>Univariate!N139</f>
        <v>45044</v>
      </c>
      <c r="C147" s="21">
        <v>3.910833333333333E-3</v>
      </c>
      <c r="D147" s="21">
        <v>2.5906525424277405E-3</v>
      </c>
      <c r="E147" s="21">
        <v>1.6892966077157734E-3</v>
      </c>
      <c r="F147" s="21">
        <v>5.9787379091187365E-3</v>
      </c>
      <c r="G147" s="21">
        <v>5.4692115776100447E-3</v>
      </c>
      <c r="H147" s="21">
        <v>3.9277674600057821E-3</v>
      </c>
      <c r="I147" s="21">
        <v>8.4788423636714683E-3</v>
      </c>
      <c r="J147" s="21">
        <v>1.464236088297044E-2</v>
      </c>
      <c r="K147" s="21">
        <v>1.5938010489209731E-2</v>
      </c>
      <c r="L147" s="21">
        <v>1.0521611959700916E-2</v>
      </c>
      <c r="O147" s="21">
        <f t="shared" si="21"/>
        <v>2.5906525424277405E-3</v>
      </c>
      <c r="P147" s="21">
        <f t="shared" si="21"/>
        <v>5.9787379091187365E-3</v>
      </c>
      <c r="Q147" s="21">
        <f t="shared" si="21"/>
        <v>3.9277674600057821E-3</v>
      </c>
      <c r="R147" s="22">
        <f t="shared" si="21"/>
        <v>3.388085366690996E-3</v>
      </c>
      <c r="S147" s="22">
        <f t="shared" si="21"/>
        <v>1.3371149175780417E-3</v>
      </c>
      <c r="U147" s="22">
        <f t="shared" si="14"/>
        <v>3.388085366690996E-3</v>
      </c>
      <c r="V147" s="22">
        <f t="shared" si="15"/>
        <v>1.3371149175780417E-3</v>
      </c>
    </row>
    <row r="148" spans="2:22" s="3" customFormat="1">
      <c r="B148" s="28">
        <f>Univariate!N140</f>
        <v>45077</v>
      </c>
      <c r="C148" s="21">
        <v>4.191833333333333E-3</v>
      </c>
      <c r="D148" s="21">
        <v>-3.4479770869045856E-3</v>
      </c>
      <c r="E148" s="21">
        <v>-3.2227731683034389E-3</v>
      </c>
      <c r="F148" s="21">
        <v>-1.7737598295631818E-3</v>
      </c>
      <c r="G148" s="21">
        <v>-1.2280652613657628E-2</v>
      </c>
      <c r="H148" s="21">
        <v>-5.1693738650140375E-3</v>
      </c>
      <c r="I148" s="21">
        <v>-1.3282449996727785E-2</v>
      </c>
      <c r="J148" s="21">
        <v>2.4823239348792381E-3</v>
      </c>
      <c r="K148" s="21">
        <v>-1.247209909976621E-2</v>
      </c>
      <c r="L148" s="21">
        <v>-1.370351758793964E-2</v>
      </c>
      <c r="O148" s="21">
        <f t="shared" si="21"/>
        <v>-3.4479770869045856E-3</v>
      </c>
      <c r="P148" s="21">
        <f t="shared" si="21"/>
        <v>-1.7737598295631818E-3</v>
      </c>
      <c r="Q148" s="21">
        <f t="shared" si="21"/>
        <v>-5.1693738650140375E-3</v>
      </c>
      <c r="R148" s="22">
        <f t="shared" si="21"/>
        <v>1.6742172573414038E-3</v>
      </c>
      <c r="S148" s="22">
        <f t="shared" si="21"/>
        <v>-1.7213967781094519E-3</v>
      </c>
      <c r="U148" s="22">
        <f t="shared" si="14"/>
        <v>1.6742172573414038E-3</v>
      </c>
      <c r="V148" s="22">
        <f t="shared" si="15"/>
        <v>-1.7213967781094519E-3</v>
      </c>
    </row>
    <row r="149" spans="2:22" s="3" customFormat="1">
      <c r="B149" s="28">
        <f>Univariate!N141</f>
        <v>45107</v>
      </c>
      <c r="C149" s="21">
        <v>4.4903333333333332E-3</v>
      </c>
      <c r="D149" s="21">
        <v>-4.8445195255588658E-3</v>
      </c>
      <c r="E149" s="21">
        <v>-1.3030179964843569E-3</v>
      </c>
      <c r="F149" s="21">
        <v>-1.368606954410323E-3</v>
      </c>
      <c r="G149" s="21">
        <v>-7.2523719399045783E-3</v>
      </c>
      <c r="H149" s="21">
        <v>-2.996004695004828E-3</v>
      </c>
      <c r="I149" s="21">
        <v>2.8447957469166507E-3</v>
      </c>
      <c r="J149" s="21">
        <v>6.4727512841431301E-2</v>
      </c>
      <c r="K149" s="21">
        <v>5.9330990944668205E-2</v>
      </c>
      <c r="L149" s="21">
        <v>-2.2101868316069972E-2</v>
      </c>
      <c r="O149" s="21">
        <f t="shared" si="21"/>
        <v>-4.8445195255588658E-3</v>
      </c>
      <c r="P149" s="21">
        <f t="shared" si="21"/>
        <v>-1.368606954410323E-3</v>
      </c>
      <c r="Q149" s="21">
        <f t="shared" si="21"/>
        <v>-2.996004695004828E-3</v>
      </c>
      <c r="R149" s="22">
        <f t="shared" si="21"/>
        <v>3.4759125711485428E-3</v>
      </c>
      <c r="S149" s="22">
        <f t="shared" si="21"/>
        <v>1.8485148305540378E-3</v>
      </c>
      <c r="U149" s="22">
        <f t="shared" si="14"/>
        <v>3.4759125711485428E-3</v>
      </c>
      <c r="V149" s="22">
        <f t="shared" si="15"/>
        <v>1.8485148305540378E-3</v>
      </c>
    </row>
    <row r="150" spans="2:22" s="3" customFormat="1">
      <c r="B150" s="28">
        <f>Univariate!N142</f>
        <v>45138</v>
      </c>
      <c r="C150" s="21">
        <v>4.4029999999999998E-3</v>
      </c>
      <c r="D150" s="21">
        <v>3.5600351757603121E-3</v>
      </c>
      <c r="E150" s="21">
        <v>3.4279797877487805E-3</v>
      </c>
      <c r="F150" s="21">
        <v>6.7704229871852206E-3</v>
      </c>
      <c r="G150" s="21">
        <v>-3.9619306898106554E-3</v>
      </c>
      <c r="H150" s="21">
        <v>2.6690047401789485E-4</v>
      </c>
      <c r="I150" s="21">
        <v>4.3345170855186854E-3</v>
      </c>
      <c r="J150" s="21">
        <v>3.1138913980379268E-2</v>
      </c>
      <c r="K150" s="21">
        <v>3.2891543522813205E-2</v>
      </c>
      <c r="L150" s="21">
        <v>2.3830984447859915E-2</v>
      </c>
      <c r="O150" s="21">
        <f t="shared" si="21"/>
        <v>3.5600351757603121E-3</v>
      </c>
      <c r="P150" s="21">
        <f t="shared" si="21"/>
        <v>6.7704229871852206E-3</v>
      </c>
      <c r="Q150" s="21">
        <f t="shared" si="21"/>
        <v>2.6690047401789485E-4</v>
      </c>
      <c r="R150" s="22">
        <f t="shared" si="21"/>
        <v>3.2103878114249085E-3</v>
      </c>
      <c r="S150" s="22">
        <f t="shared" si="21"/>
        <v>-3.2931347017424173E-3</v>
      </c>
      <c r="U150" s="22">
        <f t="shared" si="14"/>
        <v>3.2103878114249085E-3</v>
      </c>
      <c r="V150" s="22">
        <f t="shared" si="15"/>
        <v>-3.2931347017424173E-3</v>
      </c>
    </row>
    <row r="151" spans="2:22" s="3" customFormat="1">
      <c r="B151" s="28">
        <f>Univariate!N143</f>
        <v>45169</v>
      </c>
      <c r="C151" s="21">
        <v>4.5000833333333334E-3</v>
      </c>
      <c r="D151" s="21">
        <v>3.9273692971986129E-3</v>
      </c>
      <c r="E151" s="21">
        <v>3.9583557645146428E-3</v>
      </c>
      <c r="F151" s="21">
        <v>3.0283320281572212E-3</v>
      </c>
      <c r="G151" s="21">
        <v>-5.8212682970623097E-3</v>
      </c>
      <c r="H151" s="21">
        <v>1.6821017779320435E-3</v>
      </c>
      <c r="I151" s="21">
        <v>-6.8291158690111375E-3</v>
      </c>
      <c r="J151" s="21">
        <v>-1.771643248143373E-2</v>
      </c>
      <c r="K151" s="21">
        <v>-2.5545801651274402E-2</v>
      </c>
      <c r="L151" s="21">
        <v>-1.2671175366013698E-2</v>
      </c>
      <c r="O151" s="21">
        <f t="shared" si="21"/>
        <v>3.9273692971986129E-3</v>
      </c>
      <c r="P151" s="21">
        <f t="shared" si="21"/>
        <v>3.0283320281572212E-3</v>
      </c>
      <c r="Q151" s="21">
        <f t="shared" si="21"/>
        <v>1.6821017779320435E-3</v>
      </c>
      <c r="R151" s="22">
        <f t="shared" si="21"/>
        <v>-8.990372690413917E-4</v>
      </c>
      <c r="S151" s="22">
        <f t="shared" si="21"/>
        <v>-2.2452675192665694E-3</v>
      </c>
      <c r="U151" s="22">
        <f t="shared" ref="U151:U152" si="22">P151-$O151</f>
        <v>-8.990372690413917E-4</v>
      </c>
      <c r="V151" s="22">
        <f t="shared" ref="V151:V152" si="23">Q151-$O151</f>
        <v>-2.2452675192665694E-3</v>
      </c>
    </row>
    <row r="152" spans="2:22" s="3" customFormat="1">
      <c r="B152" s="28">
        <f>Univariate!N144</f>
        <v>45198</v>
      </c>
      <c r="C152" s="21">
        <v>4.5294999999999997E-3</v>
      </c>
      <c r="D152" s="21">
        <v>-8.7527777912765892E-5</v>
      </c>
      <c r="E152" s="21">
        <v>7.3954471452686299E-4</v>
      </c>
      <c r="F152" s="21">
        <v>-6.7481426476689865E-4</v>
      </c>
      <c r="G152" s="21">
        <v>-2.3814615369661118E-2</v>
      </c>
      <c r="H152" s="21">
        <v>-7.8838704615544763E-3</v>
      </c>
      <c r="I152" s="21">
        <v>-2.4496905181951245E-2</v>
      </c>
      <c r="J152" s="21">
        <v>-4.871929116215501E-2</v>
      </c>
      <c r="K152" s="21">
        <v>-4.4467217232302625E-2</v>
      </c>
      <c r="L152" s="21">
        <v>-4.7191254464768906E-2</v>
      </c>
      <c r="O152" s="21">
        <f t="shared" si="21"/>
        <v>-8.7527777912765892E-5</v>
      </c>
      <c r="P152" s="21">
        <f t="shared" si="21"/>
        <v>-6.7481426476689865E-4</v>
      </c>
      <c r="Q152" s="21">
        <f t="shared" si="21"/>
        <v>-7.8838704615544763E-3</v>
      </c>
      <c r="R152" s="22">
        <f t="shared" si="21"/>
        <v>-5.8728648685413276E-4</v>
      </c>
      <c r="S152" s="22">
        <f t="shared" si="21"/>
        <v>-7.7963426836417105E-3</v>
      </c>
      <c r="U152" s="22">
        <f t="shared" si="22"/>
        <v>-5.8728648685413276E-4</v>
      </c>
      <c r="V152" s="22">
        <f t="shared" si="23"/>
        <v>-7.7963426836417105E-3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B2:C15"/>
  <sheetViews>
    <sheetView showGridLines="0" zoomScale="150" zoomScaleNormal="150" workbookViewId="0">
      <selection activeCell="C20" sqref="C20"/>
    </sheetView>
  </sheetViews>
  <sheetFormatPr baseColWidth="10" defaultColWidth="9" defaultRowHeight="15"/>
  <cols>
    <col min="1" max="1" width="9" style="3" customWidth="1"/>
    <col min="2" max="2" width="17.1640625" style="3" bestFit="1" customWidth="1"/>
    <col min="3" max="3" width="72.33203125" style="3" bestFit="1" customWidth="1"/>
    <col min="4" max="16384" width="9" style="3"/>
  </cols>
  <sheetData>
    <row r="2" spans="2:3" s="3" customFormat="1">
      <c r="B2" s="2" t="s">
        <v>29</v>
      </c>
      <c r="C2" s="2"/>
    </row>
    <row r="3" spans="2:3" s="3" customFormat="1">
      <c r="B3" s="4" t="s">
        <v>10</v>
      </c>
      <c r="C3" s="5" t="s">
        <v>18</v>
      </c>
    </row>
    <row r="4" spans="2:3" s="3" customFormat="1">
      <c r="B4" s="4" t="s">
        <v>19</v>
      </c>
      <c r="C4" s="5" t="s">
        <v>20</v>
      </c>
    </row>
    <row r="5" spans="2:3" s="3" customFormat="1">
      <c r="B5" s="4" t="s">
        <v>11</v>
      </c>
      <c r="C5" s="5" t="s">
        <v>21</v>
      </c>
    </row>
    <row r="6" spans="2:3" s="3" customFormat="1">
      <c r="B6" s="4" t="s">
        <v>22</v>
      </c>
      <c r="C6" s="5" t="s">
        <v>23</v>
      </c>
    </row>
    <row r="7" spans="2:3" s="3" customFormat="1">
      <c r="B7" s="4" t="s">
        <v>12</v>
      </c>
      <c r="C7" s="5" t="s">
        <v>24</v>
      </c>
    </row>
    <row r="8" spans="2:3" s="3" customFormat="1">
      <c r="B8" s="4" t="s">
        <v>13</v>
      </c>
      <c r="C8" s="5" t="s">
        <v>25</v>
      </c>
    </row>
    <row r="9" spans="2:3" s="3" customFormat="1">
      <c r="B9" s="4" t="s">
        <v>14</v>
      </c>
      <c r="C9" s="5" t="s">
        <v>26</v>
      </c>
    </row>
    <row r="10" spans="2:3" s="3" customFormat="1">
      <c r="B10" s="4" t="s">
        <v>15</v>
      </c>
      <c r="C10" s="5" t="s">
        <v>27</v>
      </c>
    </row>
    <row r="11" spans="2:3" s="3" customFormat="1">
      <c r="B11" s="4" t="s">
        <v>16</v>
      </c>
      <c r="C11" s="5" t="s">
        <v>28</v>
      </c>
    </row>
    <row r="12" spans="2:3" s="3" customFormat="1">
      <c r="B12" s="4" t="s">
        <v>30</v>
      </c>
      <c r="C12" s="5" t="s">
        <v>33</v>
      </c>
    </row>
    <row r="13" spans="2:3" s="3" customFormat="1">
      <c r="B13" s="4" t="s">
        <v>11</v>
      </c>
      <c r="C13" s="5" t="s">
        <v>34</v>
      </c>
    </row>
    <row r="14" spans="2:3" s="3" customFormat="1">
      <c r="B14" s="4" t="s">
        <v>31</v>
      </c>
      <c r="C14" s="5" t="s">
        <v>35</v>
      </c>
    </row>
    <row r="15" spans="2:3" s="3" customFormat="1">
      <c r="B15" s="4" t="s">
        <v>36</v>
      </c>
      <c r="C15" s="6" t="s">
        <v>37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M62"/>
  <sheetViews>
    <sheetView showGridLines="0" zoomScale="75" zoomScaleNormal="75" workbookViewId="0">
      <selection activeCell="L32" sqref="L32"/>
    </sheetView>
  </sheetViews>
  <sheetFormatPr baseColWidth="10" defaultColWidth="9" defaultRowHeight="15"/>
  <cols>
    <col min="1" max="3" width="9" style="7" customWidth="1"/>
    <col min="4" max="16384" width="9" style="7"/>
  </cols>
  <sheetData>
    <row r="1" spans="1:13">
      <c r="A1" s="7" t="s">
        <v>79</v>
      </c>
      <c r="B1" s="8">
        <v>-3.5</v>
      </c>
      <c r="C1" s="8"/>
    </row>
    <row r="2" spans="1:13">
      <c r="A2" s="7" t="s">
        <v>80</v>
      </c>
      <c r="B2" s="8">
        <v>3.5</v>
      </c>
      <c r="C2" s="8"/>
    </row>
    <row r="3" spans="1:13">
      <c r="D3" s="7" t="s">
        <v>97</v>
      </c>
      <c r="G3" s="7" t="s">
        <v>98</v>
      </c>
    </row>
    <row r="4" spans="1:13">
      <c r="B4" s="7" t="s">
        <v>75</v>
      </c>
      <c r="D4" s="9">
        <f>meana</f>
        <v>0.03</v>
      </c>
      <c r="G4" s="9">
        <f>meanb</f>
        <v>0.03</v>
      </c>
    </row>
    <row r="5" spans="1:13">
      <c r="B5" s="7" t="s">
        <v>76</v>
      </c>
      <c r="D5" s="9">
        <f>vola</f>
        <v>0.04</v>
      </c>
      <c r="G5" s="9">
        <f>volb</f>
        <v>0.04</v>
      </c>
    </row>
    <row r="6" spans="1:13">
      <c r="B6" s="7" t="s">
        <v>64</v>
      </c>
      <c r="D6" s="9">
        <f>D4+_xlfn.NORM.S.INV(1-confidence)*D5</f>
        <v>-3.5794145078058864E-2</v>
      </c>
      <c r="G6" s="9">
        <f>G4+_xlfn.NORM.S.INV(1-confidence)*G5</f>
        <v>-3.5794145078058864E-2</v>
      </c>
    </row>
    <row r="7" spans="1:13">
      <c r="B7" s="7" t="s">
        <v>77</v>
      </c>
      <c r="D7" s="9">
        <f>D4-D5*EXP(-0.5*NORMSINV(1-confidence)^2)/((1-confidence)*SQRT(2*PI()))</f>
        <v>-5.2508512300297142E-2</v>
      </c>
      <c r="G7" s="9">
        <f>G4-G5*EXP(-0.5*NORMSINV(1-confidence)^2)/((1-confidence)*SQRT(2*PI()))</f>
        <v>-5.2508512300297142E-2</v>
      </c>
    </row>
    <row r="9" spans="1:13">
      <c r="B9" s="7">
        <v>0</v>
      </c>
      <c r="C9" s="7" t="s">
        <v>86</v>
      </c>
      <c r="D9" s="9">
        <f t="shared" ref="D9:D15" si="0">meana+$B9*vola</f>
        <v>0.03</v>
      </c>
      <c r="E9" s="10">
        <v>0</v>
      </c>
      <c r="F9" s="7" t="s">
        <v>87</v>
      </c>
      <c r="G9" s="9">
        <f t="shared" ref="G9:G18" si="1">G$4+$B9*G$5</f>
        <v>0.03</v>
      </c>
      <c r="H9" s="10">
        <v>0</v>
      </c>
    </row>
    <row r="10" spans="1:13">
      <c r="B10" s="7">
        <v>0</v>
      </c>
      <c r="D10" s="9">
        <f t="shared" si="0"/>
        <v>0.03</v>
      </c>
      <c r="E10" s="10">
        <f>(1/(vola*SQRT(2*PI())))*EXP(-(((meana+$B10*vola)-meana)^2)/(2*vola^2))</f>
        <v>9.9735570100358188</v>
      </c>
      <c r="G10" s="9">
        <f t="shared" si="1"/>
        <v>0.03</v>
      </c>
      <c r="H10" s="10">
        <f>(1/(volb*SQRT(2*PI())))*EXP(-(((meanb+$B10*volb)-meanb)^2)/(2*volb^2))</f>
        <v>9.9735570100358188</v>
      </c>
    </row>
    <row r="11" spans="1:13">
      <c r="B11" s="7">
        <v>-1</v>
      </c>
      <c r="C11" s="7" t="s">
        <v>88</v>
      </c>
      <c r="D11" s="9">
        <f t="shared" si="0"/>
        <v>-1.0000000000000002E-2</v>
      </c>
      <c r="E11" s="10">
        <v>0</v>
      </c>
      <c r="F11" s="7" t="s">
        <v>89</v>
      </c>
      <c r="G11" s="9">
        <f t="shared" si="1"/>
        <v>-1.0000000000000002E-2</v>
      </c>
      <c r="H11" s="10">
        <v>0</v>
      </c>
      <c r="J11" s="7" t="s">
        <v>94</v>
      </c>
    </row>
    <row r="12" spans="1:13">
      <c r="B12" s="7">
        <v>-1</v>
      </c>
      <c r="D12" s="9">
        <f t="shared" si="0"/>
        <v>-1.0000000000000002E-2</v>
      </c>
      <c r="E12" s="10">
        <f>(1/(vola*SQRT(2*PI())))*EXP(-(((meana+$B12*vola)-meana)^2)/(2*vola^2))</f>
        <v>6.0492681129785852</v>
      </c>
      <c r="G12" s="9">
        <f t="shared" si="1"/>
        <v>-1.0000000000000002E-2</v>
      </c>
      <c r="H12" s="10">
        <f>(1/(volb*SQRT(2*PI())))*EXP(-(((meanb+$B12*volb)-meanb)^2)/(2*volb^2))</f>
        <v>6.0492681129785852</v>
      </c>
      <c r="J12" s="7" t="s">
        <v>92</v>
      </c>
      <c r="K12" s="7" t="s">
        <v>93</v>
      </c>
      <c r="L12" s="7" t="s">
        <v>95</v>
      </c>
      <c r="M12" s="7" t="s">
        <v>96</v>
      </c>
    </row>
    <row r="13" spans="1:13">
      <c r="B13" s="7">
        <v>1</v>
      </c>
      <c r="C13" s="7" t="s">
        <v>90</v>
      </c>
      <c r="D13" s="9">
        <f t="shared" si="0"/>
        <v>7.0000000000000007E-2</v>
      </c>
      <c r="E13" s="10">
        <v>0</v>
      </c>
      <c r="F13" s="7" t="s">
        <v>91</v>
      </c>
      <c r="G13" s="9">
        <f t="shared" si="1"/>
        <v>7.0000000000000007E-2</v>
      </c>
      <c r="H13" s="10">
        <v>0</v>
      </c>
      <c r="J13" s="9">
        <f>vola</f>
        <v>0.04</v>
      </c>
      <c r="K13" s="9">
        <f>volb</f>
        <v>0.04</v>
      </c>
      <c r="L13" s="9">
        <f>_xlfn.NORM.DIST(D15,meana,vola,TRUE)</f>
        <v>0.22662735237686821</v>
      </c>
      <c r="M13" s="9">
        <f>_xlfn.NORM.DIST(G16,meanb,volb,TRUE)</f>
        <v>0.22662735237686821</v>
      </c>
    </row>
    <row r="14" spans="1:13">
      <c r="B14" s="7">
        <v>1</v>
      </c>
      <c r="D14" s="9">
        <f t="shared" si="0"/>
        <v>7.0000000000000007E-2</v>
      </c>
      <c r="E14" s="10">
        <f>(1/(vola*SQRT(2*PI())))*EXP(-(((meana+$B14*vola)-meana)^2)/(2*vola^2))</f>
        <v>6.0492681129785835</v>
      </c>
      <c r="G14" s="9">
        <f t="shared" si="1"/>
        <v>7.0000000000000007E-2</v>
      </c>
      <c r="H14" s="10">
        <f>(1/(volb*SQRT(2*PI())))*EXP(-(((meanb+$B14*volb)-meanb)^2)/(2*volb^2))</f>
        <v>6.0492681129785835</v>
      </c>
      <c r="J14" s="9">
        <f>vola</f>
        <v>0.04</v>
      </c>
      <c r="K14" s="9">
        <f>volb</f>
        <v>0.04</v>
      </c>
    </row>
    <row r="15" spans="1:13">
      <c r="B15" s="7">
        <f>-meana/vola</f>
        <v>-0.75</v>
      </c>
      <c r="C15" s="7" t="s">
        <v>95</v>
      </c>
      <c r="D15" s="9">
        <f t="shared" si="0"/>
        <v>0</v>
      </c>
      <c r="E15" s="10">
        <f>(1/(vola*SQRT(2*PI())))*EXP(-(((meana+$B15*vola)-meana)^2)/(2*vola^2))</f>
        <v>7.5284358038701118</v>
      </c>
      <c r="G15" s="9"/>
      <c r="H15" s="10"/>
      <c r="J15" s="9"/>
      <c r="K15" s="9"/>
      <c r="L15" s="9"/>
    </row>
    <row r="16" spans="1:13">
      <c r="B16" s="7">
        <f>-meanb/volb</f>
        <v>-0.75</v>
      </c>
      <c r="D16" s="9"/>
      <c r="F16" s="7" t="s">
        <v>96</v>
      </c>
      <c r="G16" s="9">
        <f t="shared" si="1"/>
        <v>0</v>
      </c>
      <c r="H16" s="10">
        <f>(1/(volb*SQRT(2*PI())))*EXP(-(((meanb+$B16*volb)-meanb)^2)/(2*volb^2))</f>
        <v>7.5284358038701118</v>
      </c>
      <c r="J16" s="9"/>
      <c r="K16" s="9"/>
      <c r="L16" s="9"/>
    </row>
    <row r="17" spans="2:12">
      <c r="B17" s="7">
        <f>_xlfn.NORM.S.INV(1-confidence)</f>
        <v>-1.6448536269514715</v>
      </c>
      <c r="C17" s="7" t="str">
        <f>_xlfn.CONCAT("VaR",confidence*100," A")</f>
        <v>VaR95 A</v>
      </c>
      <c r="D17" s="9">
        <f>meana+$B17*vola</f>
        <v>-3.5794145078058864E-2</v>
      </c>
      <c r="E17" s="10">
        <f>0</f>
        <v>0</v>
      </c>
      <c r="F17" s="7" t="str">
        <f>_xlfn.CONCAT("VaR",confidence*100," B")</f>
        <v>VaR95 B</v>
      </c>
      <c r="G17" s="9">
        <f t="shared" si="1"/>
        <v>-3.5794145078058864E-2</v>
      </c>
      <c r="H17" s="10">
        <v>0</v>
      </c>
    </row>
    <row r="18" spans="2:12">
      <c r="B18" s="7">
        <f>_xlfn.NORM.S.INV(1-confidence)</f>
        <v>-1.6448536269514715</v>
      </c>
      <c r="D18" s="9">
        <f>meana+$B18*vola</f>
        <v>-3.5794145078058864E-2</v>
      </c>
      <c r="E18" s="10">
        <f>(1/(vola*SQRT(2*PI())))*EXP(-(((meana+$B18*vola)-meana)^2)/(2*vola^2))</f>
        <v>2.5783910093842883</v>
      </c>
      <c r="G18" s="9">
        <f t="shared" si="1"/>
        <v>-3.5794145078058864E-2</v>
      </c>
      <c r="H18" s="10">
        <f>(1/(volb*SQRT(2*PI())))*EXP(-(((meanb+$B18*volb)-meanb)^2)/(2*volb^2))</f>
        <v>2.5783910093842883</v>
      </c>
      <c r="J18" s="7" t="s">
        <v>101</v>
      </c>
    </row>
    <row r="19" spans="2:12">
      <c r="B19" s="7">
        <f>-EXP(-0.5*NORMSINV(1-confidence)^2)/((1-confidence)*SQRT(2*PI()))</f>
        <v>-2.0627128075074284</v>
      </c>
      <c r="C19" s="7" t="str">
        <f>_xlfn.CONCAT("CVaR",confidence*100," A")</f>
        <v>CVaR95 A</v>
      </c>
      <c r="D19" s="9">
        <f>meana+$B19*vola</f>
        <v>-5.2508512300297142E-2</v>
      </c>
      <c r="E19" s="10">
        <f>0.5*(1/(vola*SQRT(2*PI())))*EXP(-(((meana+$B19*vola)-meana)^2)/(2*vola^2))</f>
        <v>0.59416278281256385</v>
      </c>
      <c r="F19" s="7" t="str">
        <f>_xlfn.CONCAT("CVaR",confidence*100," B")</f>
        <v>CVaR95 B</v>
      </c>
      <c r="G19" s="9">
        <f>G$4+$B19*G$5</f>
        <v>-5.2508512300297142E-2</v>
      </c>
      <c r="H19" s="10">
        <f>0.5*(1/(volb*SQRT(2*PI())))*EXP(-(((meanb+$B19*volb)-meanb)^2)/(2*volb^2))</f>
        <v>0.59416278281256385</v>
      </c>
      <c r="J19" s="7">
        <f>1-_xlfn.NORM.S.DIST(-1,TRUE)</f>
        <v>0.84134474606854304</v>
      </c>
    </row>
    <row r="21" spans="2:12">
      <c r="B21" s="7" t="s">
        <v>81</v>
      </c>
      <c r="D21" s="7" t="s">
        <v>82</v>
      </c>
      <c r="E21" s="7" t="s">
        <v>83</v>
      </c>
      <c r="G21" s="7" t="s">
        <v>84</v>
      </c>
      <c r="H21" s="7" t="s">
        <v>85</v>
      </c>
      <c r="J21" s="11" t="s">
        <v>103</v>
      </c>
    </row>
    <row r="22" spans="2:12">
      <c r="B22" s="7">
        <f>zmin</f>
        <v>-3.5</v>
      </c>
      <c r="D22" s="9">
        <f t="shared" ref="D22:D62" si="2">meana+$B22*vola</f>
        <v>-0.11000000000000001</v>
      </c>
      <c r="E22" s="7">
        <f t="shared" ref="E22:E62" si="3">(1/(vola*SQRT(2*PI())))*EXP(-(((meana+$B22*vola)-meana)^2)/(2*vola^2))</f>
        <v>2.1817067376143987E-2</v>
      </c>
      <c r="G22" s="9">
        <f t="shared" ref="G22:G62" si="4">meanb+$B22*volb</f>
        <v>-0.11000000000000001</v>
      </c>
      <c r="H22" s="7">
        <f t="shared" ref="H22:H62" si="5">(1/(volb*SQRT(2*PI())))*EXP(-(((meanb+$B22*volb)-meanb)^2)/(2*volb^2))</f>
        <v>2.1817067376143987E-2</v>
      </c>
      <c r="K22" s="7" t="s">
        <v>97</v>
      </c>
      <c r="L22" s="7" t="s">
        <v>98</v>
      </c>
    </row>
    <row r="23" spans="2:12">
      <c r="B23" s="7">
        <f t="shared" ref="B23:B61" si="6">B22+(zmax-zmin)/40</f>
        <v>-3.3250000000000002</v>
      </c>
      <c r="D23" s="9">
        <f t="shared" si="2"/>
        <v>-0.10300000000000001</v>
      </c>
      <c r="E23" s="7">
        <f t="shared" si="3"/>
        <v>3.9641639591236386E-2</v>
      </c>
      <c r="G23" s="9">
        <f t="shared" si="4"/>
        <v>-0.10300000000000001</v>
      </c>
      <c r="H23" s="7">
        <f t="shared" si="5"/>
        <v>3.9641639591236386E-2</v>
      </c>
      <c r="J23" s="7" t="s">
        <v>75</v>
      </c>
      <c r="K23" s="12">
        <v>0.03</v>
      </c>
      <c r="L23" s="12">
        <v>0.09</v>
      </c>
    </row>
    <row r="24" spans="2:12">
      <c r="B24" s="7">
        <f t="shared" si="6"/>
        <v>-3.1500000000000004</v>
      </c>
      <c r="D24" s="9">
        <f t="shared" si="2"/>
        <v>-9.600000000000003E-2</v>
      </c>
      <c r="E24" s="7">
        <f t="shared" si="3"/>
        <v>6.9856460371986007E-2</v>
      </c>
      <c r="G24" s="9">
        <f t="shared" si="4"/>
        <v>-9.600000000000003E-2</v>
      </c>
      <c r="H24" s="7">
        <f t="shared" si="5"/>
        <v>6.9856460371986007E-2</v>
      </c>
      <c r="J24" s="7" t="s">
        <v>102</v>
      </c>
      <c r="K24" s="12">
        <v>0.04</v>
      </c>
      <c r="L24" s="12">
        <v>7.6499999999999999E-2</v>
      </c>
    </row>
    <row r="25" spans="2:12">
      <c r="B25" s="7">
        <f t="shared" si="6"/>
        <v>-2.9750000000000005</v>
      </c>
      <c r="D25" s="9">
        <f t="shared" si="2"/>
        <v>-8.9000000000000024E-2</v>
      </c>
      <c r="E25" s="7">
        <f t="shared" si="3"/>
        <v>0.11938816442728888</v>
      </c>
      <c r="G25" s="9">
        <f t="shared" si="4"/>
        <v>-8.9000000000000024E-2</v>
      </c>
      <c r="H25" s="7">
        <f t="shared" si="5"/>
        <v>0.11938816442728888</v>
      </c>
    </row>
    <row r="26" spans="2:12">
      <c r="B26" s="7">
        <f t="shared" si="6"/>
        <v>-2.8000000000000007</v>
      </c>
      <c r="D26" s="9">
        <f t="shared" si="2"/>
        <v>-8.2000000000000031E-2</v>
      </c>
      <c r="E26" s="7">
        <f t="shared" si="3"/>
        <v>0.19788628957449877</v>
      </c>
      <c r="G26" s="9">
        <f t="shared" si="4"/>
        <v>-8.2000000000000031E-2</v>
      </c>
      <c r="H26" s="7">
        <f t="shared" si="5"/>
        <v>0.19788628957449877</v>
      </c>
    </row>
    <row r="27" spans="2:12">
      <c r="B27" s="7">
        <f t="shared" si="6"/>
        <v>-2.6250000000000009</v>
      </c>
      <c r="D27" s="9">
        <f t="shared" si="2"/>
        <v>-7.5000000000000039E-2</v>
      </c>
      <c r="E27" s="7">
        <f t="shared" si="3"/>
        <v>0.31810453992078502</v>
      </c>
      <c r="G27" s="9">
        <f t="shared" si="4"/>
        <v>-7.5000000000000039E-2</v>
      </c>
      <c r="H27" s="7">
        <f t="shared" si="5"/>
        <v>0.31810453992078502</v>
      </c>
    </row>
    <row r="28" spans="2:12">
      <c r="B28" s="7">
        <f t="shared" si="6"/>
        <v>-2.4500000000000011</v>
      </c>
      <c r="D28" s="9">
        <f t="shared" si="2"/>
        <v>-6.8000000000000047E-2</v>
      </c>
      <c r="E28" s="7">
        <f t="shared" si="3"/>
        <v>0.49593385979488197</v>
      </c>
      <c r="G28" s="9">
        <f t="shared" si="4"/>
        <v>-6.8000000000000047E-2</v>
      </c>
      <c r="H28" s="7">
        <f t="shared" si="5"/>
        <v>0.49593385979488197</v>
      </c>
    </row>
    <row r="29" spans="2:12">
      <c r="B29" s="7">
        <f t="shared" si="6"/>
        <v>-2.2750000000000012</v>
      </c>
      <c r="D29" s="9">
        <f t="shared" si="2"/>
        <v>-6.1000000000000054E-2</v>
      </c>
      <c r="E29" s="7">
        <f t="shared" si="3"/>
        <v>0.74985516207363057</v>
      </c>
      <c r="G29" s="9">
        <f t="shared" si="4"/>
        <v>-6.1000000000000054E-2</v>
      </c>
      <c r="H29" s="7">
        <f t="shared" si="5"/>
        <v>0.74985516207363057</v>
      </c>
    </row>
    <row r="30" spans="2:12">
      <c r="B30" s="7">
        <f t="shared" si="6"/>
        <v>-2.1000000000000014</v>
      </c>
      <c r="D30" s="9">
        <f t="shared" si="2"/>
        <v>-5.4000000000000062E-2</v>
      </c>
      <c r="E30" s="7">
        <f t="shared" si="3"/>
        <v>1.0995898995106765</v>
      </c>
      <c r="G30" s="9">
        <f t="shared" si="4"/>
        <v>-5.4000000000000062E-2</v>
      </c>
      <c r="H30" s="7">
        <f t="shared" si="5"/>
        <v>1.0995898995106765</v>
      </c>
    </row>
    <row r="31" spans="2:12">
      <c r="B31" s="7">
        <f t="shared" si="6"/>
        <v>-1.9250000000000014</v>
      </c>
      <c r="D31" s="9">
        <f t="shared" si="2"/>
        <v>-4.7000000000000056E-2</v>
      </c>
      <c r="E31" s="7">
        <f t="shared" si="3"/>
        <v>1.5638094374914961</v>
      </c>
      <c r="G31" s="9">
        <f t="shared" si="4"/>
        <v>-4.7000000000000056E-2</v>
      </c>
      <c r="H31" s="7">
        <f t="shared" si="5"/>
        <v>1.5638094374914961</v>
      </c>
    </row>
    <row r="32" spans="2:12">
      <c r="B32" s="7">
        <f t="shared" si="6"/>
        <v>-1.7500000000000013</v>
      </c>
      <c r="D32" s="9">
        <f t="shared" si="2"/>
        <v>-4.0000000000000049E-2</v>
      </c>
      <c r="E32" s="7">
        <f t="shared" si="3"/>
        <v>2.1569329706627838</v>
      </c>
      <c r="G32" s="9">
        <f t="shared" si="4"/>
        <v>-4.0000000000000049E-2</v>
      </c>
      <c r="H32" s="7">
        <f t="shared" si="5"/>
        <v>2.1569329706627838</v>
      </c>
    </row>
    <row r="33" spans="2:8">
      <c r="B33" s="7">
        <f t="shared" si="6"/>
        <v>-1.5750000000000013</v>
      </c>
      <c r="D33" s="9">
        <f t="shared" si="2"/>
        <v>-3.3000000000000057E-2</v>
      </c>
      <c r="E33" s="7">
        <f t="shared" si="3"/>
        <v>2.885288201958744</v>
      </c>
      <c r="G33" s="9">
        <f t="shared" si="4"/>
        <v>-3.3000000000000057E-2</v>
      </c>
      <c r="H33" s="7">
        <f t="shared" si="5"/>
        <v>2.885288201958744</v>
      </c>
    </row>
    <row r="34" spans="2:8">
      <c r="B34" s="7">
        <f t="shared" si="6"/>
        <v>-1.4000000000000012</v>
      </c>
      <c r="D34" s="9">
        <f t="shared" si="2"/>
        <v>-2.6000000000000051E-2</v>
      </c>
      <c r="E34" s="7">
        <f t="shared" si="3"/>
        <v>3.7431866408936156</v>
      </c>
      <c r="G34" s="9">
        <f t="shared" si="4"/>
        <v>-2.6000000000000051E-2</v>
      </c>
      <c r="H34" s="7">
        <f t="shared" si="5"/>
        <v>3.7431866408936156</v>
      </c>
    </row>
    <row r="35" spans="2:8">
      <c r="B35" s="7">
        <f t="shared" si="6"/>
        <v>-1.2250000000000012</v>
      </c>
      <c r="D35" s="9">
        <f t="shared" si="2"/>
        <v>-1.9000000000000052E-2</v>
      </c>
      <c r="E35" s="7">
        <f t="shared" si="3"/>
        <v>4.7097027313031514</v>
      </c>
      <c r="G35" s="9">
        <f t="shared" si="4"/>
        <v>-1.9000000000000052E-2</v>
      </c>
      <c r="H35" s="7">
        <f t="shared" si="5"/>
        <v>4.7097027313031514</v>
      </c>
    </row>
    <row r="36" spans="2:8">
      <c r="B36" s="7">
        <f t="shared" si="6"/>
        <v>-1.0500000000000012</v>
      </c>
      <c r="D36" s="9">
        <f t="shared" si="2"/>
        <v>-1.2000000000000045E-2</v>
      </c>
      <c r="E36" s="7">
        <f t="shared" si="3"/>
        <v>5.7470535171058206</v>
      </c>
      <c r="G36" s="9">
        <f t="shared" si="4"/>
        <v>-1.2000000000000045E-2</v>
      </c>
      <c r="H36" s="7">
        <f t="shared" si="5"/>
        <v>5.7470535171058206</v>
      </c>
    </row>
    <row r="37" spans="2:8">
      <c r="B37" s="7">
        <f t="shared" si="6"/>
        <v>-0.87500000000000111</v>
      </c>
      <c r="D37" s="9">
        <f t="shared" si="2"/>
        <v>-5.0000000000000461E-3</v>
      </c>
      <c r="E37" s="7">
        <f t="shared" si="3"/>
        <v>6.8013749594635824</v>
      </c>
      <c r="G37" s="9">
        <f t="shared" si="4"/>
        <v>-5.0000000000000461E-3</v>
      </c>
      <c r="H37" s="7">
        <f t="shared" si="5"/>
        <v>6.8013749594635824</v>
      </c>
    </row>
    <row r="38" spans="2:8">
      <c r="B38" s="7">
        <f t="shared" si="6"/>
        <v>-0.70000000000000107</v>
      </c>
      <c r="D38" s="9">
        <f t="shared" si="2"/>
        <v>1.9999999999999567E-3</v>
      </c>
      <c r="E38" s="7">
        <f t="shared" si="3"/>
        <v>7.8063483341690274</v>
      </c>
      <c r="G38" s="9">
        <f t="shared" si="4"/>
        <v>1.9999999999999567E-3</v>
      </c>
      <c r="H38" s="7">
        <f t="shared" si="5"/>
        <v>7.8063483341690274</v>
      </c>
    </row>
    <row r="39" spans="2:8">
      <c r="B39" s="7">
        <f t="shared" si="6"/>
        <v>-0.52500000000000102</v>
      </c>
      <c r="D39" s="9">
        <f t="shared" si="2"/>
        <v>8.999999999999956E-3</v>
      </c>
      <c r="E39" s="7">
        <f t="shared" si="3"/>
        <v>8.689581607308698</v>
      </c>
      <c r="G39" s="9">
        <f t="shared" si="4"/>
        <v>8.999999999999956E-3</v>
      </c>
      <c r="H39" s="7">
        <f t="shared" si="5"/>
        <v>8.689581607308698</v>
      </c>
    </row>
    <row r="40" spans="2:8">
      <c r="B40" s="7">
        <f t="shared" si="6"/>
        <v>-0.35000000000000103</v>
      </c>
      <c r="D40" s="9">
        <f t="shared" si="2"/>
        <v>1.5999999999999959E-2</v>
      </c>
      <c r="E40" s="7">
        <f t="shared" si="3"/>
        <v>9.3810086729234463</v>
      </c>
      <c r="G40" s="9">
        <f t="shared" si="4"/>
        <v>1.5999999999999959E-2</v>
      </c>
      <c r="H40" s="7">
        <f t="shared" si="5"/>
        <v>9.3810086729234463</v>
      </c>
    </row>
    <row r="41" spans="2:8">
      <c r="B41" s="7">
        <f t="shared" si="6"/>
        <v>-0.17500000000000104</v>
      </c>
      <c r="D41" s="9">
        <f t="shared" si="2"/>
        <v>2.2999999999999958E-2</v>
      </c>
      <c r="E41" s="7">
        <f t="shared" si="3"/>
        <v>9.8220002361844809</v>
      </c>
      <c r="G41" s="9">
        <f t="shared" si="4"/>
        <v>2.2999999999999958E-2</v>
      </c>
      <c r="H41" s="7">
        <f t="shared" si="5"/>
        <v>9.8220002361844809</v>
      </c>
    </row>
    <row r="42" spans="2:8">
      <c r="B42" s="7">
        <f t="shared" si="6"/>
        <v>-1.0547118733938987E-15</v>
      </c>
      <c r="D42" s="9">
        <f t="shared" si="2"/>
        <v>2.9999999999999957E-2</v>
      </c>
      <c r="E42" s="7">
        <f t="shared" si="3"/>
        <v>9.9735570100358188</v>
      </c>
      <c r="G42" s="9">
        <f t="shared" si="4"/>
        <v>2.9999999999999957E-2</v>
      </c>
      <c r="H42" s="7">
        <f t="shared" si="5"/>
        <v>9.9735570100358188</v>
      </c>
    </row>
    <row r="43" spans="2:8">
      <c r="B43" s="7">
        <f t="shared" si="6"/>
        <v>0.17499999999999893</v>
      </c>
      <c r="D43" s="9">
        <f t="shared" si="2"/>
        <v>3.6999999999999957E-2</v>
      </c>
      <c r="E43" s="7">
        <f t="shared" si="3"/>
        <v>9.8220002361844863</v>
      </c>
      <c r="G43" s="9">
        <f t="shared" si="4"/>
        <v>3.6999999999999957E-2</v>
      </c>
      <c r="H43" s="7">
        <f t="shared" si="5"/>
        <v>9.8220002361844863</v>
      </c>
    </row>
    <row r="44" spans="2:8">
      <c r="B44" s="7">
        <f t="shared" si="6"/>
        <v>0.34999999999999892</v>
      </c>
      <c r="D44" s="9">
        <f t="shared" si="2"/>
        <v>4.3999999999999956E-2</v>
      </c>
      <c r="E44" s="7">
        <f t="shared" si="3"/>
        <v>9.3810086729234516</v>
      </c>
      <c r="G44" s="9">
        <f t="shared" si="4"/>
        <v>4.3999999999999956E-2</v>
      </c>
      <c r="H44" s="7">
        <f t="shared" si="5"/>
        <v>9.3810086729234516</v>
      </c>
    </row>
    <row r="45" spans="2:8">
      <c r="B45" s="7">
        <f t="shared" si="6"/>
        <v>0.52499999999999891</v>
      </c>
      <c r="D45" s="9">
        <f t="shared" si="2"/>
        <v>5.0999999999999955E-2</v>
      </c>
      <c r="E45" s="7">
        <f t="shared" si="3"/>
        <v>8.6895816073087069</v>
      </c>
      <c r="G45" s="9">
        <f t="shared" si="4"/>
        <v>5.0999999999999955E-2</v>
      </c>
      <c r="H45" s="7">
        <f t="shared" si="5"/>
        <v>8.6895816073087069</v>
      </c>
    </row>
    <row r="46" spans="2:8">
      <c r="B46" s="7">
        <f t="shared" si="6"/>
        <v>0.69999999999999885</v>
      </c>
      <c r="D46" s="9">
        <f t="shared" si="2"/>
        <v>5.7999999999999954E-2</v>
      </c>
      <c r="E46" s="7">
        <f t="shared" si="3"/>
        <v>7.8063483341690389</v>
      </c>
      <c r="G46" s="9">
        <f t="shared" si="4"/>
        <v>5.7999999999999954E-2</v>
      </c>
      <c r="H46" s="7">
        <f t="shared" si="5"/>
        <v>7.8063483341690389</v>
      </c>
    </row>
    <row r="47" spans="2:8">
      <c r="B47" s="7">
        <f t="shared" si="6"/>
        <v>0.87499999999999889</v>
      </c>
      <c r="D47" s="9">
        <f t="shared" si="2"/>
        <v>6.4999999999999947E-2</v>
      </c>
      <c r="E47" s="7">
        <f t="shared" si="3"/>
        <v>6.8013749594635966</v>
      </c>
      <c r="G47" s="9">
        <f t="shared" si="4"/>
        <v>6.4999999999999947E-2</v>
      </c>
      <c r="H47" s="7">
        <f t="shared" si="5"/>
        <v>6.8013749594635966</v>
      </c>
    </row>
    <row r="48" spans="2:8">
      <c r="B48" s="7">
        <f t="shared" si="6"/>
        <v>1.0499999999999989</v>
      </c>
      <c r="D48" s="9">
        <f t="shared" si="2"/>
        <v>7.1999999999999953E-2</v>
      </c>
      <c r="E48" s="7">
        <f t="shared" si="3"/>
        <v>5.7470535171058339</v>
      </c>
      <c r="G48" s="9">
        <f t="shared" si="4"/>
        <v>7.1999999999999953E-2</v>
      </c>
      <c r="H48" s="7">
        <f t="shared" si="5"/>
        <v>5.7470535171058339</v>
      </c>
    </row>
    <row r="49" spans="2:8">
      <c r="B49" s="7">
        <f t="shared" si="6"/>
        <v>1.224999999999999</v>
      </c>
      <c r="D49" s="9">
        <f t="shared" si="2"/>
        <v>7.8999999999999959E-2</v>
      </c>
      <c r="E49" s="7">
        <f t="shared" si="3"/>
        <v>4.7097027313031647</v>
      </c>
      <c r="G49" s="9">
        <f t="shared" si="4"/>
        <v>7.8999999999999959E-2</v>
      </c>
      <c r="H49" s="7">
        <f t="shared" si="5"/>
        <v>4.7097027313031647</v>
      </c>
    </row>
    <row r="50" spans="2:8">
      <c r="B50" s="7">
        <f t="shared" si="6"/>
        <v>1.399999999999999</v>
      </c>
      <c r="D50" s="9">
        <f t="shared" si="2"/>
        <v>8.5999999999999965E-2</v>
      </c>
      <c r="E50" s="7">
        <f t="shared" si="3"/>
        <v>3.7431866408936263</v>
      </c>
      <c r="G50" s="9">
        <f t="shared" si="4"/>
        <v>8.5999999999999965E-2</v>
      </c>
      <c r="H50" s="7">
        <f t="shared" si="5"/>
        <v>3.7431866408936263</v>
      </c>
    </row>
    <row r="51" spans="2:8">
      <c r="B51" s="7">
        <f t="shared" si="6"/>
        <v>1.5749999999999991</v>
      </c>
      <c r="D51" s="9">
        <f t="shared" si="2"/>
        <v>9.2999999999999958E-2</v>
      </c>
      <c r="E51" s="7">
        <f t="shared" si="3"/>
        <v>2.8852882019587547</v>
      </c>
      <c r="G51" s="9">
        <f t="shared" si="4"/>
        <v>9.2999999999999958E-2</v>
      </c>
      <c r="H51" s="7">
        <f t="shared" si="5"/>
        <v>2.8852882019587547</v>
      </c>
    </row>
    <row r="52" spans="2:8">
      <c r="B52" s="7">
        <f t="shared" si="6"/>
        <v>1.7499999999999991</v>
      </c>
      <c r="D52" s="9">
        <f t="shared" si="2"/>
        <v>9.9999999999999964E-2</v>
      </c>
      <c r="E52" s="7">
        <f t="shared" si="3"/>
        <v>2.1569329706627918</v>
      </c>
      <c r="G52" s="9">
        <f t="shared" si="4"/>
        <v>9.9999999999999964E-2</v>
      </c>
      <c r="H52" s="7">
        <f t="shared" si="5"/>
        <v>2.1569329706627918</v>
      </c>
    </row>
    <row r="53" spans="2:8">
      <c r="B53" s="7">
        <f t="shared" si="6"/>
        <v>1.9249999999999992</v>
      </c>
      <c r="D53" s="9">
        <f t="shared" si="2"/>
        <v>0.10699999999999997</v>
      </c>
      <c r="E53" s="7">
        <f t="shared" si="3"/>
        <v>1.5638094374915019</v>
      </c>
      <c r="G53" s="9">
        <f t="shared" si="4"/>
        <v>0.10699999999999997</v>
      </c>
      <c r="H53" s="7">
        <f t="shared" si="5"/>
        <v>1.5638094374915019</v>
      </c>
    </row>
    <row r="54" spans="2:8">
      <c r="B54" s="7">
        <f t="shared" si="6"/>
        <v>2.0999999999999992</v>
      </c>
      <c r="D54" s="9">
        <f t="shared" si="2"/>
        <v>0.11399999999999996</v>
      </c>
      <c r="E54" s="7">
        <f t="shared" si="3"/>
        <v>1.0995898995106825</v>
      </c>
      <c r="G54" s="9">
        <f t="shared" si="4"/>
        <v>0.11399999999999996</v>
      </c>
      <c r="H54" s="7">
        <f t="shared" si="5"/>
        <v>1.0995898995106825</v>
      </c>
    </row>
    <row r="55" spans="2:8">
      <c r="B55" s="7">
        <f t="shared" si="6"/>
        <v>2.274999999999999</v>
      </c>
      <c r="D55" s="9">
        <f t="shared" si="2"/>
        <v>0.12099999999999995</v>
      </c>
      <c r="E55" s="7">
        <f t="shared" si="3"/>
        <v>0.74985516207363456</v>
      </c>
      <c r="G55" s="9">
        <f t="shared" si="4"/>
        <v>0.12099999999999995</v>
      </c>
      <c r="H55" s="7">
        <f t="shared" si="5"/>
        <v>0.74985516207363456</v>
      </c>
    </row>
    <row r="56" spans="2:8">
      <c r="B56" s="7">
        <f t="shared" si="6"/>
        <v>2.4499999999999988</v>
      </c>
      <c r="D56" s="9">
        <f t="shared" si="2"/>
        <v>0.12799999999999995</v>
      </c>
      <c r="E56" s="7">
        <f t="shared" si="3"/>
        <v>0.4959338597948848</v>
      </c>
      <c r="G56" s="9">
        <f t="shared" si="4"/>
        <v>0.12799999999999995</v>
      </c>
      <c r="H56" s="7">
        <f t="shared" si="5"/>
        <v>0.4959338597948848</v>
      </c>
    </row>
    <row r="57" spans="2:8">
      <c r="B57" s="7">
        <f t="shared" si="6"/>
        <v>2.6249999999999987</v>
      </c>
      <c r="D57" s="9">
        <f t="shared" si="2"/>
        <v>0.13499999999999995</v>
      </c>
      <c r="E57" s="7">
        <f t="shared" si="3"/>
        <v>0.31810453992078697</v>
      </c>
      <c r="G57" s="9">
        <f t="shared" si="4"/>
        <v>0.13499999999999995</v>
      </c>
      <c r="H57" s="7">
        <f t="shared" si="5"/>
        <v>0.31810453992078697</v>
      </c>
    </row>
    <row r="58" spans="2:8">
      <c r="B58" s="7">
        <f t="shared" si="6"/>
        <v>2.7999999999999985</v>
      </c>
      <c r="D58" s="9">
        <f t="shared" si="2"/>
        <v>0.14199999999999996</v>
      </c>
      <c r="E58" s="7">
        <f t="shared" si="3"/>
        <v>0.19788628957449975</v>
      </c>
      <c r="G58" s="9">
        <f t="shared" si="4"/>
        <v>0.14199999999999996</v>
      </c>
      <c r="H58" s="7">
        <f t="shared" si="5"/>
        <v>0.19788628957449975</v>
      </c>
    </row>
    <row r="59" spans="2:8">
      <c r="B59" s="7">
        <f t="shared" si="6"/>
        <v>2.9749999999999983</v>
      </c>
      <c r="D59" s="9">
        <f t="shared" si="2"/>
        <v>0.14899999999999994</v>
      </c>
      <c r="E59" s="7">
        <f t="shared" si="3"/>
        <v>0.11938816442728961</v>
      </c>
      <c r="G59" s="9">
        <f t="shared" si="4"/>
        <v>0.14899999999999994</v>
      </c>
      <c r="H59" s="7">
        <f t="shared" si="5"/>
        <v>0.11938816442728961</v>
      </c>
    </row>
    <row r="60" spans="2:8">
      <c r="B60" s="7">
        <f t="shared" si="6"/>
        <v>3.1499999999999981</v>
      </c>
      <c r="D60" s="9">
        <f t="shared" si="2"/>
        <v>0.15599999999999992</v>
      </c>
      <c r="E60" s="7">
        <f t="shared" si="3"/>
        <v>6.9856460371986631E-2</v>
      </c>
      <c r="G60" s="9">
        <f t="shared" si="4"/>
        <v>0.15599999999999992</v>
      </c>
      <c r="H60" s="7">
        <f t="shared" si="5"/>
        <v>6.9856460371986631E-2</v>
      </c>
    </row>
    <row r="61" spans="2:8">
      <c r="B61" s="7">
        <f t="shared" si="6"/>
        <v>3.324999999999998</v>
      </c>
      <c r="D61" s="9">
        <f t="shared" si="2"/>
        <v>0.16299999999999992</v>
      </c>
      <c r="E61" s="7">
        <f t="shared" si="3"/>
        <v>3.964163959123667E-2</v>
      </c>
      <c r="G61" s="9">
        <f t="shared" si="4"/>
        <v>0.16299999999999992</v>
      </c>
      <c r="H61" s="7">
        <f t="shared" si="5"/>
        <v>3.964163959123667E-2</v>
      </c>
    </row>
    <row r="62" spans="2:8">
      <c r="B62" s="7">
        <f>zmax</f>
        <v>3.5</v>
      </c>
      <c r="D62" s="9">
        <f t="shared" si="2"/>
        <v>0.17</v>
      </c>
      <c r="E62" s="7">
        <f t="shared" si="3"/>
        <v>2.1817067376143987E-2</v>
      </c>
      <c r="G62" s="9">
        <f t="shared" si="4"/>
        <v>0.17</v>
      </c>
      <c r="H62" s="7">
        <f t="shared" si="5"/>
        <v>2.1817067376143987E-2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16</vt:i4>
      </vt:variant>
    </vt:vector>
  </HeadingPairs>
  <TitlesOfParts>
    <vt:vector size="23" baseType="lpstr">
      <vt:lpstr>DISCLAIMER</vt:lpstr>
      <vt:lpstr>Univariate</vt:lpstr>
      <vt:lpstr>Risk Measures</vt:lpstr>
      <vt:lpstr>Dependence</vt:lpstr>
      <vt:lpstr>Multivariate</vt:lpstr>
      <vt:lpstr>Hints</vt:lpstr>
      <vt:lpstr>Boiler Room</vt:lpstr>
      <vt:lpstr>annrets</vt:lpstr>
      <vt:lpstr>assetnames</vt:lpstr>
      <vt:lpstr>confidence</vt:lpstr>
      <vt:lpstr>covmtx</vt:lpstr>
      <vt:lpstr>meana</vt:lpstr>
      <vt:lpstr>meanb</vt:lpstr>
      <vt:lpstr>monthlyrets</vt:lpstr>
      <vt:lpstr>portrets</vt:lpstr>
      <vt:lpstr>portwts</vt:lpstr>
      <vt:lpstr>rollinganndates</vt:lpstr>
      <vt:lpstr>rollingannrets</vt:lpstr>
      <vt:lpstr>stdevs</vt:lpstr>
      <vt:lpstr>vola</vt:lpstr>
      <vt:lpstr>volb</vt:lpstr>
      <vt:lpstr>zmax</vt:lpstr>
      <vt:lpstr>zmin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Roberts Grava</cp:lastModifiedBy>
  <dcterms:created xsi:type="dcterms:W3CDTF">2011-02-04T18:00:44Z</dcterms:created>
  <dcterms:modified xsi:type="dcterms:W3CDTF">2023-10-01T16:57:16Z</dcterms:modified>
</cp:coreProperties>
</file>