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17325" windowHeight="2115" activeTab="1"/>
  </bookViews>
  <sheets>
    <sheet name="Global" sheetId="1" r:id="rId1"/>
    <sheet name="号码获取" sheetId="2" r:id="rId2"/>
    <sheet name="信用评估" sheetId="3" r:id="rId3"/>
  </sheets>
  <definedNames>
    <definedName name="_xlnm._FilterDatabase" hidden="1" localSheetId="1">#REF!</definedName>
  </definedNames>
  <calcPr calcId="125725"/>
</workbook>
</file>

<file path=xl/sharedStrings.xml><?xml version="1.0" encoding="utf-8"?>
<sst xmlns="http://schemas.openxmlformats.org/spreadsheetml/2006/main" uniqueCount="466">
  <si>
    <t>申请编号</t>
  </si>
  <si>
    <t>雇佣类型</t>
  </si>
  <si>
    <t>客户姓名</t>
  </si>
  <si>
    <t>证件号码</t>
  </si>
  <si>
    <t>业务品种</t>
  </si>
  <si>
    <t>营销专案</t>
  </si>
  <si>
    <t>贷款金额</t>
  </si>
  <si>
    <t>期限</t>
  </si>
  <si>
    <t>还款方式</t>
  </si>
  <si>
    <t>手机号码</t>
  </si>
  <si>
    <t>婚姻</t>
  </si>
  <si>
    <t>户口所在地</t>
  </si>
  <si>
    <t>家庭有本地房产</t>
  </si>
  <si>
    <t>职业类型</t>
  </si>
  <si>
    <t>所得税缴费基数</t>
  </si>
  <si>
    <t>月均银行流水</t>
  </si>
  <si>
    <t>住房公积金缴费基数</t>
  </si>
  <si>
    <t>社保缴费基数</t>
  </si>
  <si>
    <t>寿险年缴金额</t>
  </si>
  <si>
    <t>职称级别</t>
  </si>
  <si>
    <t>公务员级别</t>
  </si>
  <si>
    <t>职务</t>
  </si>
  <si>
    <t>入账机构</t>
  </si>
  <si>
    <t>城市</t>
  </si>
  <si>
    <t>还款方式1</t>
  </si>
  <si>
    <t>备注专案</t>
  </si>
  <si>
    <t>备注入账机构</t>
  </si>
  <si>
    <t>备注房产</t>
  </si>
  <si>
    <t>结果</t>
  </si>
  <si>
    <t>UPL2013082100000004</t>
  </si>
  <si>
    <t>优良职业客户</t>
  </si>
  <si>
    <t>林立英</t>
  </si>
  <si>
    <t>消费类公务员信用速贷</t>
  </si>
  <si>
    <t>村委干部专案</t>
  </si>
  <si>
    <t>等额本息</t>
  </si>
  <si>
    <t>已婚</t>
  </si>
  <si>
    <t>非本地</t>
  </si>
  <si>
    <t>否</t>
  </si>
  <si>
    <t>村委干部</t>
  </si>
  <si>
    <t>副主任</t>
  </si>
  <si>
    <t>UPL深圳分部</t>
  </si>
  <si>
    <t>深圳</t>
  </si>
  <si>
    <t>成功</t>
  </si>
  <si>
    <t>UPL2013090200000052</t>
  </si>
  <si>
    <t>陈伟雄</t>
  </si>
  <si>
    <t>消费类标准工薪贷</t>
  </si>
  <si>
    <t>高新技术企业华为专案1.0</t>
  </si>
  <si>
    <t>本地</t>
  </si>
  <si>
    <t>高新技术</t>
  </si>
  <si>
    <t>UPL2013091100000012</t>
  </si>
  <si>
    <t>标准受薪客户</t>
  </si>
  <si>
    <t>王旭润</t>
  </si>
  <si>
    <t>代发户随借随还</t>
  </si>
  <si>
    <t>教师</t>
  </si>
  <si>
    <t>第四级别</t>
  </si>
  <si>
    <t>UPL2013091200000031</t>
  </si>
  <si>
    <t>刘卫东</t>
  </si>
  <si>
    <t>其他</t>
  </si>
  <si>
    <t>UPL2013092300000031</t>
  </si>
  <si>
    <t>洪美针</t>
  </si>
  <si>
    <t>UPL2013092700000019</t>
  </si>
  <si>
    <t>龚映勤</t>
  </si>
  <si>
    <t>UPL2013092900000032</t>
  </si>
  <si>
    <t>陈定平</t>
  </si>
  <si>
    <t>UPL2013093000000099</t>
  </si>
  <si>
    <t>曹淑珍</t>
  </si>
  <si>
    <t>UPL2013101800000055</t>
  </si>
  <si>
    <t>耿安平</t>
  </si>
  <si>
    <t>未婚</t>
  </si>
  <si>
    <t>医生</t>
  </si>
  <si>
    <t>第三级别</t>
  </si>
  <si>
    <t>高新技术企业华为专案</t>
  </si>
  <si>
    <t>UPL2013102100000077</t>
  </si>
  <si>
    <t>熊开泉</t>
  </si>
  <si>
    <t>UPL东莞分部</t>
  </si>
  <si>
    <t>东莞</t>
  </si>
  <si>
    <t>UPL2013102200000082</t>
  </si>
  <si>
    <t>李华丽</t>
  </si>
  <si>
    <t>高新技术优质企业专案</t>
  </si>
  <si>
    <t>UPL2013102400000063</t>
  </si>
  <si>
    <t>叶静君</t>
  </si>
  <si>
    <t>UPL2013102500000033</t>
  </si>
  <si>
    <t>黄晓华</t>
  </si>
  <si>
    <t>UPL2013102500000062</t>
  </si>
  <si>
    <t>李建锋</t>
  </si>
  <si>
    <t>UPL2013102600000044</t>
  </si>
  <si>
    <t>周素娥</t>
  </si>
  <si>
    <t>UPL2013102900000032</t>
  </si>
  <si>
    <t>张三立</t>
  </si>
  <si>
    <t>离异</t>
  </si>
  <si>
    <t>UPL2013110100000017</t>
  </si>
  <si>
    <t>李中元</t>
  </si>
  <si>
    <t>UPL2013110700000021</t>
  </si>
  <si>
    <t>李文俊</t>
  </si>
  <si>
    <t>UPL2013110700000030</t>
  </si>
  <si>
    <t>姜鹏</t>
  </si>
  <si>
    <t>UPL2013111800000080</t>
  </si>
  <si>
    <t>张喜生</t>
  </si>
  <si>
    <t>UPL2013112100000075</t>
  </si>
  <si>
    <t>李喜阳</t>
  </si>
  <si>
    <t>UPL2013112100000082</t>
  </si>
  <si>
    <t>罗爱明</t>
  </si>
  <si>
    <t>UPL2013112500000014</t>
  </si>
  <si>
    <t>UPL2013112800000070</t>
  </si>
  <si>
    <t>张润武</t>
  </si>
  <si>
    <t>42212819710629171X</t>
  </si>
  <si>
    <t>UPL2014011500000004</t>
  </si>
  <si>
    <t>卢银丽</t>
  </si>
  <si>
    <t>UPL广州分部</t>
  </si>
  <si>
    <t>广州</t>
  </si>
  <si>
    <t>UPL2014011600000008</t>
  </si>
  <si>
    <t>张世平</t>
  </si>
  <si>
    <t>UPL2014040100000013</t>
  </si>
  <si>
    <t>刘翠杰</t>
  </si>
  <si>
    <t>UPL2014042200000006</t>
  </si>
  <si>
    <t>蒙理明</t>
  </si>
  <si>
    <t>UPL2014042500000065</t>
  </si>
  <si>
    <t>岑莹</t>
  </si>
  <si>
    <t>UPL2014050700000043</t>
  </si>
  <si>
    <t>贺小平</t>
  </si>
  <si>
    <t>UPL2014052900000043</t>
  </si>
  <si>
    <t>肖辉</t>
  </si>
  <si>
    <t>随心e贷</t>
  </si>
  <si>
    <t>UPL2014053000000003</t>
  </si>
  <si>
    <t>邹红娜</t>
  </si>
  <si>
    <t>UPL2014060500000022</t>
  </si>
  <si>
    <t>何会</t>
  </si>
  <si>
    <t>不规则还款</t>
  </si>
  <si>
    <t>UPL2014061200000056</t>
  </si>
  <si>
    <t>林群</t>
  </si>
  <si>
    <t>UPL2014061200000074</t>
  </si>
  <si>
    <t>王丹</t>
  </si>
  <si>
    <t>UPL2014061300000053</t>
  </si>
  <si>
    <t>涂少权</t>
  </si>
  <si>
    <t>UPL2014070100000027</t>
  </si>
  <si>
    <t>汪宁疑</t>
  </si>
  <si>
    <t>UPL2014070200000067</t>
  </si>
  <si>
    <t>夏更异</t>
  </si>
  <si>
    <t>UPL2014070200000070</t>
  </si>
  <si>
    <t>戴素能</t>
  </si>
  <si>
    <t>33022419741017002X</t>
  </si>
  <si>
    <t>UPL2014070400000029</t>
  </si>
  <si>
    <t>UPL2014070900000003</t>
  </si>
  <si>
    <t>滕德仲</t>
  </si>
  <si>
    <t>UPL2014071800000026</t>
  </si>
  <si>
    <t>李金阳</t>
  </si>
  <si>
    <t>UPL2014072300000007</t>
  </si>
  <si>
    <t>邹丽芳</t>
  </si>
  <si>
    <t>UPL2014080400000028</t>
  </si>
  <si>
    <t>洪桂纯</t>
  </si>
  <si>
    <t>UPL2014080400000065</t>
  </si>
  <si>
    <t>蒋红梅</t>
  </si>
  <si>
    <t>UPL2014080500000070</t>
  </si>
  <si>
    <t>张丹丹</t>
  </si>
  <si>
    <t>UPL2014080600000028</t>
  </si>
  <si>
    <t>周丽</t>
  </si>
  <si>
    <t>是</t>
  </si>
  <si>
    <t>UPL2014081400000038</t>
  </si>
  <si>
    <t>肖吉瑶</t>
  </si>
  <si>
    <t>UPL重庆分部</t>
  </si>
  <si>
    <t>重庆</t>
  </si>
  <si>
    <t>UPL2014082100000064</t>
  </si>
  <si>
    <t>冯宾召</t>
  </si>
  <si>
    <t>UPL2014082100000066</t>
  </si>
  <si>
    <t>李飞</t>
  </si>
  <si>
    <t>UPL2014082500000045</t>
  </si>
  <si>
    <t>卢立光</t>
  </si>
  <si>
    <t>UPL2014082700000003</t>
  </si>
  <si>
    <t>任勇</t>
  </si>
  <si>
    <t>UPL2014082900000016</t>
  </si>
  <si>
    <t>吴小聪</t>
  </si>
  <si>
    <t>UPL2014090100000030</t>
  </si>
  <si>
    <t>罗艳花</t>
  </si>
  <si>
    <t>UPL2014090300000091</t>
  </si>
  <si>
    <t>后丽琼</t>
  </si>
  <si>
    <t>UPL2014090900000005</t>
  </si>
  <si>
    <t>王琳</t>
  </si>
  <si>
    <t>UPL2014091100000072</t>
  </si>
  <si>
    <t>洪华伟</t>
  </si>
  <si>
    <t>UPL2014091500000049</t>
  </si>
  <si>
    <t>段炼</t>
  </si>
  <si>
    <t>UPL2014091700000080</t>
  </si>
  <si>
    <t>王磊</t>
  </si>
  <si>
    <t>UPL2014092500000015</t>
  </si>
  <si>
    <t>向丽</t>
  </si>
  <si>
    <t>UPL2014100800000024</t>
  </si>
  <si>
    <t>高山虎</t>
  </si>
  <si>
    <t>UPL2014100900000036</t>
  </si>
  <si>
    <t>陈晓静</t>
  </si>
  <si>
    <t>UPL2014110300000048</t>
  </si>
  <si>
    <t>李树飞</t>
  </si>
  <si>
    <t>44018319760821071X</t>
  </si>
  <si>
    <t>UPL2014110700000027</t>
  </si>
  <si>
    <t>李国万</t>
  </si>
  <si>
    <t>UPL2014111300000036</t>
  </si>
  <si>
    <t>黄考峰</t>
  </si>
  <si>
    <t>UPL2014112700000051</t>
  </si>
  <si>
    <t>邓亚力</t>
  </si>
  <si>
    <t>UPL2014112800000062</t>
  </si>
  <si>
    <t>席隆元</t>
  </si>
  <si>
    <t>UPL2014120100000061</t>
  </si>
  <si>
    <t>程亮</t>
  </si>
  <si>
    <t>UPL2014120400000059</t>
  </si>
  <si>
    <t>UPL2014121600000035</t>
  </si>
  <si>
    <t>张国英</t>
  </si>
  <si>
    <t>UPL2014122200000030</t>
  </si>
  <si>
    <t>杨亚</t>
  </si>
  <si>
    <t>UPL2014122600000054</t>
  </si>
  <si>
    <t>胡钰鑫</t>
  </si>
  <si>
    <t>UPL2014122600000070</t>
  </si>
  <si>
    <t>程永雄</t>
  </si>
  <si>
    <t>UPL2014122900000005</t>
  </si>
  <si>
    <t>UPL2015010600000020</t>
  </si>
  <si>
    <t>王梓铧</t>
  </si>
  <si>
    <t>UPL2015010800000013</t>
  </si>
  <si>
    <t>UPL湛江分部</t>
  </si>
  <si>
    <t>湛江</t>
  </si>
  <si>
    <t>UPL2015010800000025</t>
  </si>
  <si>
    <t>舒美蓉</t>
  </si>
  <si>
    <t>UPL2015011200000054</t>
  </si>
  <si>
    <t>吴彬铭</t>
  </si>
  <si>
    <t>35082119830508333X</t>
  </si>
  <si>
    <t>UPL2015011200000064</t>
  </si>
  <si>
    <t>李庆云</t>
  </si>
  <si>
    <t>UPL2015011400000119</t>
  </si>
  <si>
    <t>李珠莲</t>
  </si>
  <si>
    <t>35052419770127454X</t>
  </si>
  <si>
    <t>UPL2015011500000114</t>
  </si>
  <si>
    <t>谢冰清</t>
  </si>
  <si>
    <t>UPL2015011900000005</t>
  </si>
  <si>
    <t>陈晓敏</t>
  </si>
  <si>
    <t>UPL2015011900000096</t>
  </si>
  <si>
    <t>杨成炽</t>
  </si>
  <si>
    <t>44162219830518741X</t>
  </si>
  <si>
    <t>UPL2015011900000127</t>
  </si>
  <si>
    <t>陈宏鑫</t>
  </si>
  <si>
    <t>UPL2015012100000049</t>
  </si>
  <si>
    <t>UPL2015012600000095</t>
  </si>
  <si>
    <t>刘姣</t>
  </si>
  <si>
    <t>UPL2015012700000085</t>
  </si>
  <si>
    <t>刁素良</t>
  </si>
  <si>
    <t>UPL2015012800000079</t>
  </si>
  <si>
    <t>傅代冬</t>
  </si>
  <si>
    <t>UPL2015012900000011</t>
  </si>
  <si>
    <t>邹朝正</t>
  </si>
  <si>
    <t>UPL2015020200000005</t>
  </si>
  <si>
    <t>王芳</t>
  </si>
  <si>
    <t>UPL2015020200000028</t>
  </si>
  <si>
    <t>杨娇娇</t>
  </si>
  <si>
    <t>UPL2015020600000016</t>
  </si>
  <si>
    <t>沙初</t>
  </si>
  <si>
    <t>UPL2015020600000038</t>
  </si>
  <si>
    <t>郭子衍</t>
  </si>
  <si>
    <t>UPL2015030400000005</t>
  </si>
  <si>
    <t>徐明秀</t>
  </si>
  <si>
    <t>先息后本</t>
  </si>
  <si>
    <t>UPL2015030400000012</t>
  </si>
  <si>
    <t>韦利香</t>
  </si>
  <si>
    <t>UPL2015031100000007</t>
  </si>
  <si>
    <t>陈勇安</t>
  </si>
  <si>
    <t>UPL2015031600000051</t>
  </si>
  <si>
    <t>何志伟</t>
  </si>
  <si>
    <t>UPL2015031600000058</t>
  </si>
  <si>
    <t>马海宾</t>
  </si>
  <si>
    <t>UPL2015031700000032</t>
  </si>
  <si>
    <t>曾红梅</t>
  </si>
  <si>
    <t>UPL2015031800000065</t>
  </si>
  <si>
    <t>张丰堂</t>
  </si>
  <si>
    <t>UPL2015032000000074</t>
  </si>
  <si>
    <t>王端爱</t>
  </si>
  <si>
    <t>UPL2015032500000024</t>
  </si>
  <si>
    <t>张丽</t>
  </si>
  <si>
    <t>UPL2015032600000031</t>
  </si>
  <si>
    <t>刘智君</t>
  </si>
  <si>
    <t>UPL2015033000000049</t>
  </si>
  <si>
    <t>姚俊有</t>
  </si>
  <si>
    <t>UPL2015040900000025</t>
  </si>
  <si>
    <t>吕初胜</t>
  </si>
  <si>
    <t>UPL2015041600000015</t>
  </si>
  <si>
    <t>梅利民</t>
  </si>
  <si>
    <t>UPL2015042700000061</t>
  </si>
  <si>
    <t>孙莲顺</t>
  </si>
  <si>
    <t>42282219650303304X</t>
  </si>
  <si>
    <t>UPL2015042800000025</t>
  </si>
  <si>
    <t>宇世红</t>
  </si>
  <si>
    <t>UPL2015042900000055</t>
  </si>
  <si>
    <t>于银霞</t>
  </si>
  <si>
    <t>UPL2015050400000031</t>
  </si>
  <si>
    <t>唐青艳</t>
  </si>
  <si>
    <t>UPL2015051100000046</t>
  </si>
  <si>
    <t>杨先旭</t>
  </si>
  <si>
    <t>52212119880510186X</t>
  </si>
  <si>
    <t>UPL2015051300000036</t>
  </si>
  <si>
    <t>舒德畦</t>
  </si>
  <si>
    <t>50038119841218941X</t>
  </si>
  <si>
    <t>UPL2015051300000082</t>
  </si>
  <si>
    <t>李爱姣</t>
  </si>
  <si>
    <t>UPL2015051300000096</t>
  </si>
  <si>
    <t>吴艳华</t>
  </si>
  <si>
    <t>UPL2015051400000010</t>
  </si>
  <si>
    <t>王国华</t>
  </si>
  <si>
    <t>UPL2015051900000014</t>
  </si>
  <si>
    <t>孙丽娜</t>
  </si>
  <si>
    <t>UPL2015051900000066</t>
  </si>
  <si>
    <t>吴迪</t>
  </si>
  <si>
    <t>UPL2015052000000031</t>
  </si>
  <si>
    <t>王正琼</t>
  </si>
  <si>
    <t>UPL2015052000000110</t>
  </si>
  <si>
    <t>石金兰</t>
  </si>
  <si>
    <t>UPL2015052500000086</t>
  </si>
  <si>
    <t>孙少生</t>
  </si>
  <si>
    <t>UPL2015052500000090</t>
  </si>
  <si>
    <t>邓惠兰</t>
  </si>
  <si>
    <t>UPL2015052500000152</t>
  </si>
  <si>
    <t>谢对生</t>
  </si>
  <si>
    <t>44172119780806001X</t>
  </si>
  <si>
    <t>UPL2015052800000043</t>
  </si>
  <si>
    <t>杨婷</t>
  </si>
  <si>
    <t>UPL2015052800000057</t>
  </si>
  <si>
    <t>汪杏如</t>
  </si>
  <si>
    <t>UPL2015052900000054</t>
  </si>
  <si>
    <t>周锡开</t>
  </si>
  <si>
    <t>UPL2015060200000090</t>
  </si>
  <si>
    <t>李林</t>
  </si>
  <si>
    <t>UPL2015060300000111</t>
  </si>
  <si>
    <t>符浩之</t>
  </si>
  <si>
    <t>UPL2015060800000045</t>
  </si>
  <si>
    <t>皮力太</t>
  </si>
  <si>
    <t>UPL2015060900000085</t>
  </si>
  <si>
    <t>刘红芳</t>
  </si>
  <si>
    <t>UPL2015061200000039</t>
  </si>
  <si>
    <t>艾斯买提汗·提拉汗</t>
  </si>
  <si>
    <t>UPL2015061200000110</t>
  </si>
  <si>
    <t>张美平</t>
  </si>
  <si>
    <t>UPL2015061500000004</t>
  </si>
  <si>
    <t>黎广斌</t>
  </si>
  <si>
    <t>UPL2015061500000108</t>
  </si>
  <si>
    <t>张玉珍</t>
  </si>
  <si>
    <t>UPL2015061900000023</t>
  </si>
  <si>
    <t>谭伟</t>
  </si>
  <si>
    <t>UPL2015062300000039</t>
  </si>
  <si>
    <t>冯凯</t>
  </si>
  <si>
    <t>UPL2015062300000043</t>
  </si>
  <si>
    <t>陈红梅</t>
  </si>
  <si>
    <t>UPL2015062300000047</t>
  </si>
  <si>
    <t>吴建华</t>
  </si>
  <si>
    <t>UPL2015062400000033</t>
  </si>
  <si>
    <t>黄惠玲</t>
  </si>
  <si>
    <t>UPL2015062400000069</t>
  </si>
  <si>
    <t>李改华</t>
  </si>
  <si>
    <t>UPL2015063000000110</t>
  </si>
  <si>
    <t>谢广南</t>
  </si>
  <si>
    <t>44520219720827381X</t>
  </si>
  <si>
    <t>UPL2015063000000125</t>
  </si>
  <si>
    <t>李海翠</t>
  </si>
  <si>
    <t>UPL2015070700000116</t>
  </si>
  <si>
    <t>肖群</t>
  </si>
  <si>
    <t>UPL2015071500000039</t>
  </si>
  <si>
    <t>王小花</t>
  </si>
  <si>
    <t>UPL2015072000000074</t>
  </si>
  <si>
    <t>刘琳</t>
  </si>
  <si>
    <t>UPL2015072100000110</t>
  </si>
  <si>
    <t>陈兰云</t>
  </si>
  <si>
    <t>UPL2015072400000001</t>
  </si>
  <si>
    <t>胡江</t>
  </si>
  <si>
    <t>UPL2015072700000038</t>
  </si>
  <si>
    <t>黄金玲</t>
  </si>
  <si>
    <t>普通方案</t>
  </si>
  <si>
    <t>UPL2015072900000087</t>
  </si>
  <si>
    <t>谭爱武</t>
  </si>
  <si>
    <t>UPL2015073000000002</t>
  </si>
  <si>
    <t>饶如碧</t>
  </si>
  <si>
    <t>UPL2015073000000012</t>
  </si>
  <si>
    <t>黄雅恋</t>
  </si>
  <si>
    <t>UPL2015081000000070</t>
  </si>
  <si>
    <t>黄朝辉</t>
  </si>
  <si>
    <t>UPL2015081700000024</t>
  </si>
  <si>
    <t>丘德清</t>
  </si>
  <si>
    <t>UPL2015082600000054</t>
  </si>
  <si>
    <t>王明华</t>
  </si>
  <si>
    <t>UPL2015082600000088</t>
  </si>
  <si>
    <t>陈文武</t>
  </si>
  <si>
    <t>UPL2015082700000077</t>
  </si>
  <si>
    <t>沈琴</t>
  </si>
  <si>
    <t>UPL2015082800000133</t>
  </si>
  <si>
    <t>冯炫</t>
  </si>
  <si>
    <t>UPL2015090900000132</t>
  </si>
  <si>
    <t>袁海珍</t>
  </si>
  <si>
    <t>UPL2015091100000159</t>
  </si>
  <si>
    <t>刘晓君</t>
  </si>
  <si>
    <t>UPL2015091600000073</t>
  </si>
  <si>
    <t>陈凤</t>
  </si>
  <si>
    <t>UPL2015091800000095</t>
  </si>
  <si>
    <t>李素敏</t>
  </si>
  <si>
    <t>UPL2015092100000140</t>
  </si>
  <si>
    <t>颜栋茂</t>
  </si>
  <si>
    <t>UPL2015100900000032</t>
  </si>
  <si>
    <t>陈晓甜</t>
  </si>
  <si>
    <t>UPL2015100900000092</t>
  </si>
  <si>
    <t>万利</t>
  </si>
  <si>
    <t>UPL2015101300000039</t>
  </si>
  <si>
    <t>杨宝燕</t>
  </si>
  <si>
    <t>UPL2015102000000004</t>
  </si>
  <si>
    <t>UPL2015102600000106</t>
  </si>
  <si>
    <t>潘香萍</t>
  </si>
  <si>
    <t>UPL2015102800000122</t>
  </si>
  <si>
    <t>唐菊香</t>
  </si>
  <si>
    <t>UPL2015110600000018</t>
  </si>
  <si>
    <t>廖建辉</t>
  </si>
  <si>
    <t>UPL2015112000000097</t>
  </si>
  <si>
    <t>张玲忍</t>
  </si>
  <si>
    <t>UPL2015112600000020</t>
  </si>
  <si>
    <t>张富永</t>
  </si>
  <si>
    <t>UPL2015112600000056</t>
  </si>
  <si>
    <t>陈文莲</t>
  </si>
  <si>
    <t>UPL2015121400000008</t>
  </si>
  <si>
    <t>卢燕凤</t>
  </si>
  <si>
    <t>UPL2015121600000074</t>
  </si>
  <si>
    <t>林丽瑜</t>
  </si>
  <si>
    <t>UPL2015122100000039</t>
  </si>
  <si>
    <t>UPL2015122100000087</t>
  </si>
  <si>
    <t>UPL2016011900000141</t>
  </si>
  <si>
    <t>刘云</t>
  </si>
  <si>
    <t>UPL2016012700000021</t>
  </si>
  <si>
    <t>孙小丽</t>
  </si>
  <si>
    <t>UPL2016022200000031</t>
  </si>
  <si>
    <t>UPL2016031800000038</t>
  </si>
  <si>
    <t>费同礼</t>
  </si>
  <si>
    <t>UPL2016033100000067</t>
  </si>
  <si>
    <t>杨世兰</t>
  </si>
  <si>
    <t>UPL2016050400000120</t>
  </si>
  <si>
    <t>陈道江</t>
  </si>
  <si>
    <t>UPL2016051100000080</t>
  </si>
  <si>
    <t>UPL2016051100000111</t>
  </si>
  <si>
    <t>UPL2016051300000075</t>
  </si>
  <si>
    <t>邵天宇</t>
  </si>
  <si>
    <t>UPL2016052500000017</t>
  </si>
  <si>
    <t>张玉斌</t>
  </si>
  <si>
    <t>UPL2016060700000080</t>
  </si>
  <si>
    <t>陈振东</t>
  </si>
  <si>
    <t>UPL2016062400000112</t>
  </si>
  <si>
    <t>林上叶</t>
  </si>
  <si>
    <t>UPL2016070800000104</t>
  </si>
  <si>
    <t>杨锦挥</t>
  </si>
  <si>
    <t>用户ID</t>
  </si>
  <si>
    <t>专案类型</t>
  </si>
  <si>
    <t>授信总额</t>
  </si>
  <si>
    <t>入账账户</t>
  </si>
  <si>
    <t>008268</t>
  </si>
  <si>
    <t>刘二</t>
  </si>
  <si>
    <t>440100199506030062</t>
  </si>
  <si>
    <t>随心e贷专案放额度</t>
  </si>
  <si>
    <t>300000</t>
  </si>
  <si>
    <t>36</t>
  </si>
  <si>
    <t>6231288400003104874</t>
  </si>
  <si>
    <t>13922220002</t>
  </si>
  <si>
    <t>刘一</t>
  </si>
  <si>
    <t>440100199506030046</t>
  </si>
  <si>
    <t>6231288400003104866</t>
  </si>
  <si>
    <t>13922220001</t>
  </si>
  <si>
    <t>熊灿辉</t>
  </si>
  <si>
    <t>430181199005073722</t>
  </si>
  <si>
    <t>6235955040000001112</t>
  </si>
  <si>
    <t>13636363636</t>
  </si>
  <si>
    <t>自雇人士客户</t>
  </si>
  <si>
    <t>经营类房贷信用速贷</t>
  </si>
</sst>
</file>

<file path=xl/styles.xml><?xml version="1.0" encoding="utf-8"?>
<styleSheet xmlns="http://schemas.openxmlformats.org/spreadsheetml/2006/main">
  <numFmts count="7">
    <numFmt numFmtId="0" formatCode="General"/>
    <numFmt numFmtId="92" formatCode="_ * #,##0.00_ ;_ * \-#,##0.00_ ;_ * &quot;-&quot;??_ ;_ @_ "/>
    <numFmt numFmtId="90" formatCode="_ * #,##0_ ;_ * \-#,##0_ ;_ * &quot;-&quot;_ ;_ @_ "/>
    <numFmt numFmtId="93" formatCode="_ &quot;￥&quot;* #,##0.00_ ;_ &quot;￥&quot;* \-#,##0.00_ ;_ &quot;￥&quot;* &quot;-&quot;??_ ;_ @_ "/>
    <numFmt numFmtId="91" formatCode="_ &quot;￥&quot;* #,##0_ ;_ &quot;￥&quot;* \-#,##0_ ;_ &quot;￥&quot;* &quot;-&quot;_ ;_ @_ "/>
    <numFmt numFmtId="9" formatCode="0%"/>
    <numFmt numFmtId="49" formatCode="@"/>
  </numFmts>
  <fonts count="5">
    <font>
      <sz val="11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9"/>
        <bgColor indexed="1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92" fontId="0" fillId="0" borderId="0" applyAlignment="1" applyBorder="1" applyFont="1" applyFill="1" applyProtection="1"/>
    <xf numFmtId="90" fontId="0" fillId="0" borderId="0" applyAlignment="1" applyBorder="1" applyFont="1" applyFill="1" applyProtection="1"/>
    <xf numFmtId="93" fontId="0" fillId="0" borderId="0" applyAlignment="1" applyBorder="1" applyFont="1" applyFill="1" applyProtection="1"/>
    <xf numFmtId="91" fontId="0" fillId="0" borderId="0" applyAlignment="1" applyBorder="1" applyFont="1" applyFill="1" applyProtection="1"/>
    <xf numFmtId="9" fontId="0" fillId="0" borderId="0" applyAlignment="1" applyBorder="1" applyFont="1" applyFill="1" applyProtection="1"/>
    <xf numFmtId="0" fontId="0" fillId="2" borderId="0" applyAlignment="1" applyBorder="1" applyFont="1" applyFill="1">
      <alignment vertical="center"/>
    </xf>
    <xf numFmtId="0" fontId="0" fillId="2" borderId="0" applyAlignment="1" applyBorder="1" applyFont="1" applyFill="1">
      <alignment vertical="center"/>
    </xf>
    <xf numFmtId="0" fontId="0" fillId="2" borderId="0" applyAlignment="1" applyBorder="1" applyFont="1" applyFill="1">
      <alignment vertical="center"/>
    </xf>
    <xf numFmtId="49" fontId="0" fillId="2" borderId="0" applyAlignment="1" applyBorder="1" applyFont="1" applyFill="1">
      <alignment horizontal="left"/>
    </xf>
    <xf numFmtId="49" fontId="0" fillId="0" borderId="0" applyBorder="1" applyFont="1" applyFill="1"/>
    <xf numFmtId="49" fontId="0" fillId="0" borderId="0" applyAlignment="1" applyBorder="1" applyFont="1" applyFill="1">
      <alignment horizontal="left"/>
    </xf>
    <xf numFmtId="0" fontId="0" fillId="2" borderId="1" applyAlignment="1" applyBorder="1" applyFont="1" applyFill="1">
      <alignment vertical="center"/>
    </xf>
    <xf numFmtId="0" fontId="0" fillId="0" borderId="2" applyBorder="1"/>
    <xf numFmtId="0" fontId="0" fillId="2" borderId="1" applyAlignment="1" applyBorder="1" applyFont="1" applyFill="1">
      <alignment vertical="center"/>
    </xf>
    <xf numFmtId="49" fontId="0" fillId="2" borderId="1" applyAlignment="1" applyBorder="1" applyFont="1" applyFill="1">
      <alignment horizontal="left"/>
    </xf>
    <xf numFmtId="49" fontId="0" fillId="0" borderId="2" applyBorder="1" applyFont="1" applyFill="1"/>
    <xf numFmtId="49" fontId="0" fillId="0" borderId="2" applyAlignment="1" applyBorder="1" applyFont="1" applyFill="1">
      <alignment horizontal="left"/>
    </xf>
    <xf numFmtId="49" fontId="0" fillId="0" borderId="2" applyAlignment="1" applyBorder="1" applyFont="1" applyFill="1">
      <alignment horizontal="left"/>
    </xf>
    <xf numFmtId="0" fontId="0" fillId="2" borderId="1" applyAlignment="1" applyBorder="1" applyFont="1" applyFill="1">
      <alignment vertical="center"/>
    </xf>
    <xf numFmtId="0" fontId="0" fillId="0" borderId="2" applyBorder="1"/>
    <xf numFmtId="49" fontId="0" fillId="2" borderId="2" applyAlignment="1" applyBorder="1" applyFont="1" applyFill="1">
      <alignment horizontal="left"/>
    </xf>
    <xf numFmtId="0" fontId="0" fillId="2" borderId="1" applyAlignment="1" applyBorder="1" applyFont="1" applyFill="1">
      <alignment vertical="center"/>
    </xf>
    <xf numFmtId="49" fontId="0" fillId="2" borderId="1" applyAlignment="1" applyBorder="1" applyFont="1" applyFill="1">
      <alignment horizontal="left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M1" workbookViewId="0">
      <selection activeCell="A9" sqref="A9:IV9"/>
    </sheetView>
  </sheetViews>
  <sheetFormatPr defaultColWidth="9.1484375" defaultRowHeight="12.75"/>
  <cols>
    <col min="1" max="1" width="20.625" customWidth="1" style="21"/>
    <col min="2" max="2" width="12.25" customWidth="1" style="21"/>
    <col min="3" max="3" width="9.1484375" customWidth="1" style="21"/>
    <col min="4" max="4" width="19" customWidth="1" style="21"/>
    <col min="5" max="6" width="19.75" customWidth="1" style="21"/>
    <col min="7" max="7" width="9.1484375" customWidth="1" style="22"/>
    <col min="8" max="9" width="9.1484375" customWidth="1" style="21"/>
    <col min="10" max="10" width="12" customWidth="1" style="23"/>
    <col min="11" max="11" width="9.1484375" customWidth="1" style="22"/>
    <col min="12" max="12" width="10.375" customWidth="1" style="21"/>
    <col min="13" max="13" width="14.125" customWidth="1" style="21"/>
    <col min="14" max="14" width="9.1484375" customWidth="1" style="21"/>
    <col min="15" max="15" width="14.125" customWidth="1" style="21"/>
    <col min="16" max="16" width="12.25" customWidth="1" style="21"/>
    <col min="17" max="17" width="17.875" customWidth="1" style="21"/>
    <col min="18" max="19" width="12.25" customWidth="1" style="21"/>
    <col min="20" max="20" width="9.1484375" customWidth="1" style="21"/>
    <col min="21" max="21" width="10.375" customWidth="1" style="24"/>
    <col min="22" max="22" width="9.1484375" customWidth="1" style="24"/>
    <col min="23" max="23" width="12.125" customWidth="1" style="21"/>
    <col min="24" max="24" width="9.1484375" customWidth="1" style="21"/>
    <col min="25" max="25" width="9.5" customWidth="1" style="21"/>
    <col min="26" max="26" width="9.1484375" customWidth="1" style="24"/>
    <col min="27" max="27" width="12.25" customWidth="1" style="24"/>
    <col min="28" max="256" width="9.1484375" customWidth="1" style="24"/>
  </cols>
  <sheetData>
    <row r="1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8</v>
      </c>
      <c r="J1" s="23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4" t="s">
        <v>20</v>
      </c>
      <c r="V1" s="24" t="s">
        <v>21</v>
      </c>
      <c r="W1" s="21" t="s">
        <v>22</v>
      </c>
      <c r="X1" s="21" t="s">
        <v>23</v>
      </c>
      <c r="Y1" s="21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</row>
    <row r="2" s="35" customFormat="1" ht="11.25" customHeight="1">
      <c r="A2" s="34" t="s">
        <v>29</v>
      </c>
      <c r="B2" s="34" t="s">
        <v>30</v>
      </c>
      <c r="C2" s="34" t="s">
        <v>31</v>
      </c>
      <c r="D2" s="34" t="str">
        <f>"350128196802283911"</f>
        <v>350128196802283911</v>
      </c>
      <c r="E2" s="34" t="s">
        <v>32</v>
      </c>
      <c r="F2" s="34" t="s">
        <v>33</v>
      </c>
      <c r="G2" s="37">
        <v>69000</v>
      </c>
      <c r="H2" s="34">
        <v>36</v>
      </c>
      <c r="I2" s="34" t="s">
        <v>34</v>
      </c>
      <c r="J2" s="34" t="str">
        <f>"13713553318"</f>
        <v>13713553318</v>
      </c>
      <c r="K2" s="37" t="s">
        <v>35</v>
      </c>
      <c r="L2" s="34" t="s">
        <v>36</v>
      </c>
      <c r="M2" s="34" t="s">
        <v>37</v>
      </c>
      <c r="N2" s="34" t="s">
        <v>38</v>
      </c>
      <c r="O2" s="34">
        <v>0</v>
      </c>
      <c r="P2" s="34">
        <v>2320</v>
      </c>
      <c r="Q2" s="34">
        <v>2320</v>
      </c>
      <c r="R2" s="34">
        <v>0</v>
      </c>
      <c r="S2" s="34">
        <v>0</v>
      </c>
      <c r="T2" s="34" t="s">
        <v>39</v>
      </c>
      <c r="U2" s="38"/>
      <c r="V2" s="38"/>
      <c r="W2" s="34" t="s">
        <v>40</v>
      </c>
      <c r="X2" s="34" t="s">
        <v>41</v>
      </c>
      <c r="Y2" s="34" t="s">
        <v>34</v>
      </c>
      <c r="Z2" s="38"/>
      <c r="AA2" s="38" t="s">
        <v>40</v>
      </c>
      <c r="AB2" s="38" t="s">
        <v>37</v>
      </c>
      <c r="AC2" s="36" t="s">
        <v>42</v>
      </c>
    </row>
    <row r="3" s="35" customFormat="1" ht="11.25" customHeight="1">
      <c r="A3" s="34" t="s">
        <v>43</v>
      </c>
      <c r="B3" s="34" t="s">
        <v>30</v>
      </c>
      <c r="C3" s="34" t="s">
        <v>44</v>
      </c>
      <c r="D3" s="34" t="str">
        <f>"441521197206133452"</f>
        <v>441521197206133452</v>
      </c>
      <c r="E3" s="34" t="s">
        <v>45</v>
      </c>
      <c r="F3" s="34" t="s">
        <v>46</v>
      </c>
      <c r="G3" s="37">
        <v>360000</v>
      </c>
      <c r="H3" s="34">
        <v>36</v>
      </c>
      <c r="I3" s="34" t="s">
        <v>34</v>
      </c>
      <c r="J3" s="34" t="str">
        <f>"13266609822"</f>
        <v>13266609822</v>
      </c>
      <c r="K3" s="37" t="s">
        <v>35</v>
      </c>
      <c r="L3" s="34" t="s">
        <v>47</v>
      </c>
      <c r="M3" s="34" t="s">
        <v>37</v>
      </c>
      <c r="N3" s="34" t="s">
        <v>48</v>
      </c>
      <c r="O3" s="34">
        <v>0</v>
      </c>
      <c r="P3" s="34">
        <v>8008</v>
      </c>
      <c r="Q3" s="34">
        <v>8008</v>
      </c>
      <c r="R3" s="34">
        <v>0</v>
      </c>
      <c r="S3" s="34">
        <v>0</v>
      </c>
      <c r="T3" s="34"/>
      <c r="U3" s="38"/>
      <c r="V3" s="38"/>
      <c r="W3" s="34" t="s">
        <v>40</v>
      </c>
      <c r="X3" s="34" t="s">
        <v>41</v>
      </c>
      <c r="Y3" s="34" t="s">
        <v>34</v>
      </c>
      <c r="Z3" s="38" t="s">
        <v>46</v>
      </c>
      <c r="AA3" s="38"/>
      <c r="AB3" s="38" t="s">
        <v>37</v>
      </c>
      <c r="AC3" s="36" t="s">
        <v>42</v>
      </c>
    </row>
    <row r="4" s="35" customFormat="1" ht="11.25" customHeight="1">
      <c r="A4" s="34" t="s">
        <v>49</v>
      </c>
      <c r="B4" s="34" t="s">
        <v>50</v>
      </c>
      <c r="C4" s="34" t="s">
        <v>51</v>
      </c>
      <c r="D4" s="34" t="str">
        <f>"513002198510276704"</f>
        <v>513002198510276704</v>
      </c>
      <c r="E4" s="34" t="s">
        <v>45</v>
      </c>
      <c r="F4" s="34" t="s">
        <v>52</v>
      </c>
      <c r="G4" s="37">
        <v>92000</v>
      </c>
      <c r="H4" s="34">
        <v>36</v>
      </c>
      <c r="I4" s="34" t="s">
        <v>34</v>
      </c>
      <c r="J4" s="34" t="str">
        <f>"13828021092"</f>
        <v>13828021092</v>
      </c>
      <c r="K4" s="37" t="s">
        <v>35</v>
      </c>
      <c r="L4" s="34" t="s">
        <v>36</v>
      </c>
      <c r="M4" s="34" t="s">
        <v>37</v>
      </c>
      <c r="N4" s="34" t="s">
        <v>53</v>
      </c>
      <c r="O4" s="34">
        <v>0</v>
      </c>
      <c r="P4" s="34">
        <v>3094</v>
      </c>
      <c r="Q4" s="34">
        <v>3094</v>
      </c>
      <c r="R4" s="34">
        <v>0</v>
      </c>
      <c r="S4" s="34">
        <v>0</v>
      </c>
      <c r="T4" s="34" t="s">
        <v>54</v>
      </c>
      <c r="U4" s="38"/>
      <c r="V4" s="38"/>
      <c r="W4" s="34" t="s">
        <v>40</v>
      </c>
      <c r="X4" s="34" t="s">
        <v>41</v>
      </c>
      <c r="Y4" s="34" t="s">
        <v>34</v>
      </c>
      <c r="Z4" s="38"/>
      <c r="AA4" s="38" t="s">
        <v>40</v>
      </c>
      <c r="AB4" s="38" t="s">
        <v>37</v>
      </c>
      <c r="AC4" s="36" t="s">
        <v>42</v>
      </c>
    </row>
    <row r="5" s="35" customFormat="1" ht="11.25" customHeight="1">
      <c r="A5" s="34" t="s">
        <v>55</v>
      </c>
      <c r="B5" s="34" t="s">
        <v>50</v>
      </c>
      <c r="C5" s="34" t="s">
        <v>56</v>
      </c>
      <c r="D5" s="34" t="str">
        <f>"440301197302082117"</f>
        <v>440301197302082117</v>
      </c>
      <c r="E5" s="34" t="s">
        <v>45</v>
      </c>
      <c r="F5" s="34" t="s">
        <v>52</v>
      </c>
      <c r="G5" s="37">
        <v>180000</v>
      </c>
      <c r="H5" s="34">
        <v>36</v>
      </c>
      <c r="I5" s="34" t="s">
        <v>34</v>
      </c>
      <c r="J5" s="34" t="str">
        <f>"13902935592"</f>
        <v>13902935592</v>
      </c>
      <c r="K5" s="37" t="s">
        <v>35</v>
      </c>
      <c r="L5" s="34" t="s">
        <v>47</v>
      </c>
      <c r="M5" s="34" t="s">
        <v>37</v>
      </c>
      <c r="N5" s="34" t="s">
        <v>57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/>
      <c r="U5" s="38"/>
      <c r="V5" s="38"/>
      <c r="W5" s="34" t="s">
        <v>40</v>
      </c>
      <c r="X5" s="34" t="s">
        <v>41</v>
      </c>
      <c r="Y5" s="34" t="s">
        <v>34</v>
      </c>
      <c r="Z5" s="38"/>
      <c r="AA5" s="38" t="s">
        <v>40</v>
      </c>
      <c r="AB5" s="38" t="s">
        <v>37</v>
      </c>
      <c r="AC5" s="36" t="s">
        <v>42</v>
      </c>
    </row>
    <row r="6" s="35" customFormat="1" ht="11.25" customHeight="1">
      <c r="A6" s="34" t="s">
        <v>58</v>
      </c>
      <c r="B6" s="34" t="s">
        <v>30</v>
      </c>
      <c r="C6" s="34" t="s">
        <v>59</v>
      </c>
      <c r="D6" s="34" t="str">
        <f>"330327197211102504"</f>
        <v>330327197211102504</v>
      </c>
      <c r="E6" s="34" t="s">
        <v>45</v>
      </c>
      <c r="F6" s="34" t="s">
        <v>52</v>
      </c>
      <c r="G6" s="37">
        <v>146000</v>
      </c>
      <c r="H6" s="34">
        <v>36</v>
      </c>
      <c r="I6" s="34" t="s">
        <v>34</v>
      </c>
      <c r="J6" s="34" t="str">
        <f>"13823388523"</f>
        <v>13823388523</v>
      </c>
      <c r="K6" s="37" t="s">
        <v>35</v>
      </c>
      <c r="L6" s="34" t="s">
        <v>36</v>
      </c>
      <c r="M6" s="34" t="s">
        <v>37</v>
      </c>
      <c r="N6" s="34" t="s">
        <v>57</v>
      </c>
      <c r="O6" s="34">
        <v>0</v>
      </c>
      <c r="P6" s="34">
        <v>4869</v>
      </c>
      <c r="Q6" s="34">
        <v>4869</v>
      </c>
      <c r="R6" s="34">
        <v>0</v>
      </c>
      <c r="S6" s="34">
        <v>0</v>
      </c>
      <c r="T6" s="34"/>
      <c r="U6" s="38"/>
      <c r="V6" s="38"/>
      <c r="W6" s="34" t="s">
        <v>40</v>
      </c>
      <c r="X6" s="34" t="s">
        <v>41</v>
      </c>
      <c r="Y6" s="34" t="s">
        <v>34</v>
      </c>
      <c r="Z6" s="38"/>
      <c r="AA6" s="38"/>
      <c r="AB6" s="38" t="s">
        <v>37</v>
      </c>
      <c r="AC6" s="36" t="s">
        <v>42</v>
      </c>
    </row>
    <row r="7" s="35" customFormat="1" ht="11.25" customHeight="1">
      <c r="A7" s="34" t="s">
        <v>60</v>
      </c>
      <c r="B7" s="34" t="s">
        <v>30</v>
      </c>
      <c r="C7" s="34" t="s">
        <v>61</v>
      </c>
      <c r="D7" s="34" t="str">
        <f>"441522198802170664"</f>
        <v>441522198802170664</v>
      </c>
      <c r="E7" s="34" t="s">
        <v>45</v>
      </c>
      <c r="F7" s="34" t="s">
        <v>46</v>
      </c>
      <c r="G7" s="37">
        <v>241000</v>
      </c>
      <c r="H7" s="34">
        <v>36</v>
      </c>
      <c r="I7" s="34" t="s">
        <v>34</v>
      </c>
      <c r="J7" s="34" t="str">
        <f>"13570510672"</f>
        <v>13570510672</v>
      </c>
      <c r="K7" s="37" t="s">
        <v>35</v>
      </c>
      <c r="L7" s="34" t="s">
        <v>47</v>
      </c>
      <c r="M7" s="34" t="s">
        <v>37</v>
      </c>
      <c r="N7" s="34" t="s">
        <v>48</v>
      </c>
      <c r="O7" s="34">
        <v>0</v>
      </c>
      <c r="P7" s="34">
        <v>8063</v>
      </c>
      <c r="Q7" s="34">
        <v>8063</v>
      </c>
      <c r="R7" s="34">
        <v>0</v>
      </c>
      <c r="S7" s="34">
        <v>0</v>
      </c>
      <c r="T7" s="34"/>
      <c r="U7" s="38"/>
      <c r="V7" s="38"/>
      <c r="W7" s="34" t="s">
        <v>40</v>
      </c>
      <c r="X7" s="34" t="s">
        <v>41</v>
      </c>
      <c r="Y7" s="34" t="s">
        <v>34</v>
      </c>
      <c r="Z7" s="38" t="s">
        <v>46</v>
      </c>
      <c r="AA7" s="38" t="s">
        <v>40</v>
      </c>
      <c r="AB7" s="38" t="s">
        <v>37</v>
      </c>
      <c r="AC7" s="36" t="s">
        <v>42</v>
      </c>
    </row>
    <row r="8" s="35" customFormat="1" ht="11.25" customHeight="1">
      <c r="A8" s="34" t="s">
        <v>62</v>
      </c>
      <c r="B8" s="34" t="s">
        <v>30</v>
      </c>
      <c r="C8" s="34" t="s">
        <v>63</v>
      </c>
      <c r="D8" s="34" t="str">
        <f>"445224197706070917"</f>
        <v>445224197706070917</v>
      </c>
      <c r="E8" s="34" t="s">
        <v>45</v>
      </c>
      <c r="F8" s="34" t="s">
        <v>46</v>
      </c>
      <c r="G8" s="37">
        <v>234000</v>
      </c>
      <c r="H8" s="34">
        <v>36</v>
      </c>
      <c r="I8" s="34" t="s">
        <v>34</v>
      </c>
      <c r="J8" s="34" t="str">
        <f>"13682534918"</f>
        <v>13682534918</v>
      </c>
      <c r="K8" s="37" t="s">
        <v>35</v>
      </c>
      <c r="L8" s="34" t="s">
        <v>36</v>
      </c>
      <c r="M8" s="34" t="s">
        <v>37</v>
      </c>
      <c r="N8" s="34" t="s">
        <v>48</v>
      </c>
      <c r="O8" s="34">
        <v>0</v>
      </c>
      <c r="P8" s="34">
        <v>7802</v>
      </c>
      <c r="Q8" s="34">
        <v>7802</v>
      </c>
      <c r="R8" s="34">
        <v>0</v>
      </c>
      <c r="S8" s="34">
        <v>0</v>
      </c>
      <c r="T8" s="34"/>
      <c r="U8" s="38"/>
      <c r="V8" s="38"/>
      <c r="W8" s="34" t="s">
        <v>40</v>
      </c>
      <c r="X8" s="34" t="s">
        <v>41</v>
      </c>
      <c r="Y8" s="34" t="s">
        <v>34</v>
      </c>
      <c r="Z8" s="38" t="s">
        <v>46</v>
      </c>
      <c r="AA8" s="38"/>
      <c r="AB8" s="38" t="s">
        <v>37</v>
      </c>
      <c r="AC8" s="36" t="s">
        <v>42</v>
      </c>
    </row>
    <row r="9" s="35" customFormat="1" ht="11.25" customHeight="1">
      <c r="A9" s="34" t="s">
        <v>64</v>
      </c>
      <c r="B9" s="34" t="s">
        <v>30</v>
      </c>
      <c r="C9" s="34" t="s">
        <v>65</v>
      </c>
      <c r="D9" s="34" t="str">
        <f>"220602196511271245"</f>
        <v>220602196511271245</v>
      </c>
      <c r="E9" s="34" t="s">
        <v>45</v>
      </c>
      <c r="F9" s="34" t="s">
        <v>46</v>
      </c>
      <c r="G9" s="37">
        <v>139000</v>
      </c>
      <c r="H9" s="34">
        <v>36</v>
      </c>
      <c r="I9" s="34" t="s">
        <v>34</v>
      </c>
      <c r="J9" s="34" t="str">
        <f>"18026913067"</f>
        <v>18026913067</v>
      </c>
      <c r="K9" s="37" t="s">
        <v>35</v>
      </c>
      <c r="L9" s="34" t="s">
        <v>36</v>
      </c>
      <c r="M9" s="34" t="s">
        <v>37</v>
      </c>
      <c r="N9" s="34" t="s">
        <v>48</v>
      </c>
      <c r="O9" s="34">
        <v>0</v>
      </c>
      <c r="P9" s="34">
        <v>3103</v>
      </c>
      <c r="Q9" s="34">
        <v>3103</v>
      </c>
      <c r="R9" s="34">
        <v>0</v>
      </c>
      <c r="S9" s="34">
        <v>0</v>
      </c>
      <c r="T9" s="34"/>
      <c r="U9" s="38"/>
      <c r="V9" s="38"/>
      <c r="W9" s="34" t="s">
        <v>40</v>
      </c>
      <c r="X9" s="34" t="s">
        <v>41</v>
      </c>
      <c r="Y9" s="34" t="s">
        <v>34</v>
      </c>
      <c r="Z9" s="38" t="s">
        <v>46</v>
      </c>
      <c r="AA9" s="38" t="s">
        <v>40</v>
      </c>
      <c r="AB9" s="38" t="s">
        <v>37</v>
      </c>
      <c r="AC9" s="36" t="s">
        <v>42</v>
      </c>
    </row>
    <row r="10" s="35" customFormat="1" ht="11.25" customHeight="1">
      <c r="A10" s="34" t="s">
        <v>66</v>
      </c>
      <c r="B10" s="34" t="s">
        <v>30</v>
      </c>
      <c r="C10" s="34" t="s">
        <v>67</v>
      </c>
      <c r="D10" s="34" t="str">
        <f>"141181197701100037"</f>
        <v>141181197701100037</v>
      </c>
      <c r="E10" s="34" t="s">
        <v>45</v>
      </c>
      <c r="F10" s="34" t="s">
        <v>52</v>
      </c>
      <c r="G10" s="37">
        <v>500000</v>
      </c>
      <c r="H10" s="34">
        <v>36</v>
      </c>
      <c r="I10" s="34" t="s">
        <v>34</v>
      </c>
      <c r="J10" s="34" t="str">
        <f>"13612832804"</f>
        <v>13612832804</v>
      </c>
      <c r="K10" s="37" t="s">
        <v>68</v>
      </c>
      <c r="L10" s="34" t="s">
        <v>36</v>
      </c>
      <c r="M10" s="34"/>
      <c r="N10" s="34" t="s">
        <v>69</v>
      </c>
      <c r="O10" s="34">
        <v>0</v>
      </c>
      <c r="P10" s="34">
        <v>38204</v>
      </c>
      <c r="Q10" s="34">
        <v>38204</v>
      </c>
      <c r="R10" s="34">
        <v>0</v>
      </c>
      <c r="S10" s="34">
        <v>0</v>
      </c>
      <c r="T10" s="34" t="s">
        <v>70</v>
      </c>
      <c r="U10" s="38"/>
      <c r="V10" s="38"/>
      <c r="W10" s="34" t="s">
        <v>40</v>
      </c>
      <c r="X10" s="34" t="s">
        <v>41</v>
      </c>
      <c r="Y10" s="34" t="s">
        <v>34</v>
      </c>
      <c r="Z10" s="38"/>
      <c r="AA10" s="38"/>
      <c r="AB10" s="38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abSelected="1" topLeftCell="A1" workbookViewId="0">
      <selection activeCell="A9" sqref="A9:IV9"/>
    </sheetView>
  </sheetViews>
  <sheetFormatPr defaultColWidth="9.1484375" defaultRowHeight="12.75"/>
  <cols>
    <col min="1" max="1" width="20.625" customWidth="1" style="21"/>
    <col min="2" max="2" width="12.25" customWidth="1" style="21"/>
    <col min="3" max="3" width="16.5" customWidth="1" style="21"/>
    <col min="4" max="4" width="19.25" customWidth="1" style="21"/>
    <col min="5" max="6" width="19.75" customWidth="1" style="21"/>
    <col min="7" max="7" width="9.1484375" customWidth="1" style="22"/>
    <col min="8" max="8" width="9.1484375" customWidth="1" style="21"/>
    <col min="9" max="9" width="10.375" customWidth="1" style="21"/>
    <col min="10" max="10" width="12" customWidth="1" style="23"/>
    <col min="11" max="11" width="9.1484375" customWidth="1" style="22"/>
    <col min="12" max="12" width="10.375" customWidth="1" style="21"/>
    <col min="13" max="13" width="14.125" customWidth="1" style="21"/>
    <col min="14" max="14" width="9.1484375" customWidth="1" style="21"/>
    <col min="15" max="15" width="14.125" customWidth="1" style="21"/>
    <col min="16" max="16" width="12.25" customWidth="1" style="21"/>
    <col min="17" max="17" width="17.875" customWidth="1" style="21"/>
    <col min="18" max="19" width="12.25" customWidth="1" style="21"/>
    <col min="20" max="20" width="9.1484375" customWidth="1" style="21"/>
    <col min="21" max="21" width="10.375" customWidth="1" style="24"/>
    <col min="22" max="22" width="9.1484375" customWidth="1" style="24"/>
    <col min="23" max="23" width="12.125" customWidth="1" style="21"/>
    <col min="24" max="24" width="9.1484375" customWidth="1" style="21"/>
    <col min="25" max="25" width="10.375" customWidth="1" style="21"/>
    <col min="26" max="26" width="9.1484375" customWidth="1" style="24"/>
    <col min="27" max="27" width="12.25" customWidth="1" style="24"/>
    <col min="28" max="256" width="9.1484375" customWidth="1" style="24"/>
  </cols>
  <sheetData>
    <row r="1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8</v>
      </c>
      <c r="J1" s="23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4" t="s">
        <v>20</v>
      </c>
      <c r="V1" s="24" t="s">
        <v>21</v>
      </c>
      <c r="W1" s="21" t="s">
        <v>22</v>
      </c>
      <c r="X1" s="21" t="s">
        <v>23</v>
      </c>
      <c r="Y1" s="21" t="s">
        <v>24</v>
      </c>
      <c r="Z1" s="24" t="s">
        <v>25</v>
      </c>
      <c r="AA1" s="24" t="s">
        <v>26</v>
      </c>
      <c r="AB1" s="24" t="s">
        <v>27</v>
      </c>
    </row>
    <row r="2" s="28" customFormat="1" ht="11.25" customHeight="1">
      <c r="A2" s="27" t="s">
        <v>29</v>
      </c>
      <c r="B2" s="27" t="s">
        <v>30</v>
      </c>
      <c r="C2" s="27" t="s">
        <v>31</v>
      </c>
      <c r="D2" s="27" t="str">
        <f>"350128196802283911"</f>
        <v>350128196802283911</v>
      </c>
      <c r="E2" s="27" t="s">
        <v>32</v>
      </c>
      <c r="F2" s="27" t="s">
        <v>33</v>
      </c>
      <c r="G2" s="29">
        <v>69000</v>
      </c>
      <c r="H2" s="27">
        <v>36</v>
      </c>
      <c r="I2" s="27" t="s">
        <v>34</v>
      </c>
      <c r="J2" s="27" t="str">
        <f>"13713553318"</f>
        <v>13713553318</v>
      </c>
      <c r="K2" s="29" t="s">
        <v>35</v>
      </c>
      <c r="L2" s="27" t="s">
        <v>36</v>
      </c>
      <c r="M2" s="27"/>
      <c r="N2" s="27" t="s">
        <v>38</v>
      </c>
      <c r="O2" s="27">
        <v>0</v>
      </c>
      <c r="P2" s="27">
        <v>2320</v>
      </c>
      <c r="Q2" s="27">
        <v>2320</v>
      </c>
      <c r="R2" s="27">
        <v>0</v>
      </c>
      <c r="S2" s="27">
        <v>0</v>
      </c>
      <c r="T2" s="27" t="s">
        <v>39</v>
      </c>
      <c r="U2" s="30"/>
      <c r="V2" s="30"/>
      <c r="W2" s="27"/>
      <c r="X2" s="27"/>
      <c r="Y2" s="27" t="s">
        <v>34</v>
      </c>
      <c r="Z2" s="30"/>
      <c r="AA2" s="30"/>
      <c r="AB2" s="30"/>
    </row>
    <row r="3" s="28" customFormat="1" ht="11.25" customHeight="1">
      <c r="A3" s="27" t="s">
        <v>43</v>
      </c>
      <c r="B3" s="27" t="s">
        <v>30</v>
      </c>
      <c r="C3" s="27" t="s">
        <v>44</v>
      </c>
      <c r="D3" s="27" t="str">
        <f>"441521197206133452"</f>
        <v>441521197206133452</v>
      </c>
      <c r="E3" s="27" t="s">
        <v>45</v>
      </c>
      <c r="F3" s="27" t="s">
        <v>71</v>
      </c>
      <c r="G3" s="29">
        <v>360000</v>
      </c>
      <c r="H3" s="27">
        <v>36</v>
      </c>
      <c r="I3" s="27" t="s">
        <v>34</v>
      </c>
      <c r="J3" s="27" t="str">
        <f>"13266609822"</f>
        <v>13266609822</v>
      </c>
      <c r="K3" s="29" t="s">
        <v>35</v>
      </c>
      <c r="L3" s="27" t="s">
        <v>47</v>
      </c>
      <c r="M3" s="27"/>
      <c r="N3" s="27" t="s">
        <v>48</v>
      </c>
      <c r="O3" s="27">
        <v>0</v>
      </c>
      <c r="P3" s="27">
        <v>8008</v>
      </c>
      <c r="Q3" s="27">
        <v>8008</v>
      </c>
      <c r="R3" s="27">
        <v>0</v>
      </c>
      <c r="S3" s="27">
        <v>0</v>
      </c>
      <c r="T3" s="27"/>
      <c r="U3" s="30"/>
      <c r="V3" s="30"/>
      <c r="W3" s="27" t="s">
        <v>40</v>
      </c>
      <c r="X3" s="27" t="s">
        <v>41</v>
      </c>
      <c r="Y3" s="27" t="s">
        <v>34</v>
      </c>
      <c r="Z3" s="30"/>
      <c r="AA3" s="30"/>
      <c r="AB3" s="30"/>
    </row>
    <row r="4" s="28" customFormat="1" ht="11.25" customHeight="1">
      <c r="A4" s="27" t="s">
        <v>49</v>
      </c>
      <c r="B4" s="27" t="s">
        <v>50</v>
      </c>
      <c r="C4" s="27" t="s">
        <v>51</v>
      </c>
      <c r="D4" s="27" t="str">
        <f>"513002198510276704"</f>
        <v>513002198510276704</v>
      </c>
      <c r="E4" s="27" t="s">
        <v>45</v>
      </c>
      <c r="F4" s="27" t="s">
        <v>52</v>
      </c>
      <c r="G4" s="29">
        <v>92000</v>
      </c>
      <c r="H4" s="27">
        <v>36</v>
      </c>
      <c r="I4" s="27" t="s">
        <v>34</v>
      </c>
      <c r="J4" s="27" t="str">
        <f>"13828021092"</f>
        <v>13828021092</v>
      </c>
      <c r="K4" s="29" t="s">
        <v>35</v>
      </c>
      <c r="L4" s="27" t="s">
        <v>36</v>
      </c>
      <c r="M4" s="27"/>
      <c r="N4" s="27" t="s">
        <v>53</v>
      </c>
      <c r="O4" s="27">
        <v>0</v>
      </c>
      <c r="P4" s="27">
        <v>3094</v>
      </c>
      <c r="Q4" s="27">
        <v>3094</v>
      </c>
      <c r="R4" s="27">
        <v>0</v>
      </c>
      <c r="S4" s="27">
        <v>0</v>
      </c>
      <c r="T4" s="27" t="s">
        <v>54</v>
      </c>
      <c r="U4" s="30"/>
      <c r="V4" s="30"/>
      <c r="W4" s="27"/>
      <c r="X4" s="27"/>
      <c r="Y4" s="27" t="s">
        <v>34</v>
      </c>
      <c r="Z4" s="30"/>
      <c r="AA4" s="30"/>
      <c r="AB4" s="30"/>
    </row>
    <row r="5" s="28" customFormat="1" ht="11.25" customHeight="1">
      <c r="A5" s="27" t="s">
        <v>55</v>
      </c>
      <c r="B5" s="27" t="s">
        <v>50</v>
      </c>
      <c r="C5" s="27" t="s">
        <v>56</v>
      </c>
      <c r="D5" s="27" t="str">
        <f>"440301197302082117"</f>
        <v>440301197302082117</v>
      </c>
      <c r="E5" s="27" t="s">
        <v>45</v>
      </c>
      <c r="F5" s="27" t="s">
        <v>52</v>
      </c>
      <c r="G5" s="29">
        <v>180000</v>
      </c>
      <c r="H5" s="27">
        <v>36</v>
      </c>
      <c r="I5" s="27" t="s">
        <v>34</v>
      </c>
      <c r="J5" s="27" t="str">
        <f>"13902935592"</f>
        <v>13902935592</v>
      </c>
      <c r="K5" s="29" t="s">
        <v>35</v>
      </c>
      <c r="L5" s="27" t="s">
        <v>47</v>
      </c>
      <c r="M5" s="27"/>
      <c r="N5" s="27" t="s">
        <v>57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/>
      <c r="U5" s="30"/>
      <c r="V5" s="30"/>
      <c r="W5" s="27"/>
      <c r="X5" s="27"/>
      <c r="Y5" s="27" t="s">
        <v>34</v>
      </c>
      <c r="Z5" s="30"/>
      <c r="AA5" s="30"/>
      <c r="AB5" s="30"/>
    </row>
    <row r="6" s="28" customFormat="1" ht="11.25" customHeight="1">
      <c r="A6" s="27" t="s">
        <v>58</v>
      </c>
      <c r="B6" s="27" t="s">
        <v>30</v>
      </c>
      <c r="C6" s="27" t="s">
        <v>59</v>
      </c>
      <c r="D6" s="27" t="str">
        <f>"330327197211102504"</f>
        <v>330327197211102504</v>
      </c>
      <c r="E6" s="27" t="s">
        <v>45</v>
      </c>
      <c r="F6" s="27" t="s">
        <v>52</v>
      </c>
      <c r="G6" s="29">
        <v>146000</v>
      </c>
      <c r="H6" s="27">
        <v>36</v>
      </c>
      <c r="I6" s="27" t="s">
        <v>34</v>
      </c>
      <c r="J6" s="27" t="str">
        <f>"13823388523"</f>
        <v>13823388523</v>
      </c>
      <c r="K6" s="29" t="s">
        <v>35</v>
      </c>
      <c r="L6" s="27" t="s">
        <v>36</v>
      </c>
      <c r="M6" s="27"/>
      <c r="N6" s="27" t="s">
        <v>57</v>
      </c>
      <c r="O6" s="27">
        <v>0</v>
      </c>
      <c r="P6" s="27">
        <v>4869</v>
      </c>
      <c r="Q6" s="27">
        <v>4869</v>
      </c>
      <c r="R6" s="27">
        <v>0</v>
      </c>
      <c r="S6" s="27">
        <v>0</v>
      </c>
      <c r="T6" s="27"/>
      <c r="U6" s="30"/>
      <c r="V6" s="30"/>
      <c r="W6" s="27" t="s">
        <v>40</v>
      </c>
      <c r="X6" s="27" t="s">
        <v>41</v>
      </c>
      <c r="Y6" s="27" t="s">
        <v>34</v>
      </c>
      <c r="Z6" s="30"/>
      <c r="AA6" s="30"/>
      <c r="AB6" s="30"/>
    </row>
    <row r="7" s="28" customFormat="1" ht="11.25" customHeight="1">
      <c r="A7" s="27" t="s">
        <v>60</v>
      </c>
      <c r="B7" s="27" t="s">
        <v>30</v>
      </c>
      <c r="C7" s="27" t="s">
        <v>61</v>
      </c>
      <c r="D7" s="27" t="str">
        <f>"441522198802170664"</f>
        <v>441522198802170664</v>
      </c>
      <c r="E7" s="27" t="s">
        <v>45</v>
      </c>
      <c r="F7" s="27" t="s">
        <v>71</v>
      </c>
      <c r="G7" s="29">
        <v>241000</v>
      </c>
      <c r="H7" s="27">
        <v>36</v>
      </c>
      <c r="I7" s="27" t="s">
        <v>34</v>
      </c>
      <c r="J7" s="27" t="str">
        <f>"13570510672"</f>
        <v>13570510672</v>
      </c>
      <c r="K7" s="29" t="s">
        <v>35</v>
      </c>
      <c r="L7" s="27" t="s">
        <v>47</v>
      </c>
      <c r="M7" s="27"/>
      <c r="N7" s="27" t="s">
        <v>48</v>
      </c>
      <c r="O7" s="27">
        <v>0</v>
      </c>
      <c r="P7" s="27">
        <v>8063</v>
      </c>
      <c r="Q7" s="27">
        <v>8063</v>
      </c>
      <c r="R7" s="27">
        <v>0</v>
      </c>
      <c r="S7" s="27">
        <v>0</v>
      </c>
      <c r="T7" s="27"/>
      <c r="U7" s="30"/>
      <c r="V7" s="30"/>
      <c r="W7" s="27"/>
      <c r="X7" s="27"/>
      <c r="Y7" s="27" t="s">
        <v>34</v>
      </c>
      <c r="Z7" s="30"/>
      <c r="AA7" s="30"/>
      <c r="AB7" s="30"/>
    </row>
    <row r="8" s="28" customFormat="1" ht="11.25" customHeight="1">
      <c r="A8" s="27" t="s">
        <v>62</v>
      </c>
      <c r="B8" s="27" t="s">
        <v>30</v>
      </c>
      <c r="C8" s="27" t="s">
        <v>63</v>
      </c>
      <c r="D8" s="27" t="str">
        <f>"445224197706070917"</f>
        <v>445224197706070917</v>
      </c>
      <c r="E8" s="27" t="s">
        <v>45</v>
      </c>
      <c r="F8" s="27" t="s">
        <v>71</v>
      </c>
      <c r="G8" s="29">
        <v>234000</v>
      </c>
      <c r="H8" s="27">
        <v>36</v>
      </c>
      <c r="I8" s="27" t="s">
        <v>34</v>
      </c>
      <c r="J8" s="27" t="str">
        <f>"13682534918"</f>
        <v>13682534918</v>
      </c>
      <c r="K8" s="29" t="s">
        <v>35</v>
      </c>
      <c r="L8" s="27" t="s">
        <v>36</v>
      </c>
      <c r="M8" s="27"/>
      <c r="N8" s="27" t="s">
        <v>48</v>
      </c>
      <c r="O8" s="27">
        <v>0</v>
      </c>
      <c r="P8" s="27">
        <v>7802</v>
      </c>
      <c r="Q8" s="27">
        <v>7802</v>
      </c>
      <c r="R8" s="27">
        <v>0</v>
      </c>
      <c r="S8" s="27">
        <v>0</v>
      </c>
      <c r="T8" s="27"/>
      <c r="U8" s="30"/>
      <c r="V8" s="30"/>
      <c r="W8" s="27" t="s">
        <v>40</v>
      </c>
      <c r="X8" s="27" t="s">
        <v>41</v>
      </c>
      <c r="Y8" s="27" t="s">
        <v>34</v>
      </c>
      <c r="Z8" s="30"/>
      <c r="AA8" s="30"/>
      <c r="AB8" s="30"/>
    </row>
    <row r="9" s="28" customFormat="1" ht="11.25" customHeight="1">
      <c r="A9" s="27" t="s">
        <v>64</v>
      </c>
      <c r="B9" s="27" t="s">
        <v>30</v>
      </c>
      <c r="C9" s="27" t="s">
        <v>65</v>
      </c>
      <c r="D9" s="27" t="str">
        <f>"220602196511271245"</f>
        <v>220602196511271245</v>
      </c>
      <c r="E9" s="27" t="s">
        <v>45</v>
      </c>
      <c r="F9" s="27" t="s">
        <v>71</v>
      </c>
      <c r="G9" s="29">
        <v>139000</v>
      </c>
      <c r="H9" s="27">
        <v>36</v>
      </c>
      <c r="I9" s="27" t="s">
        <v>34</v>
      </c>
      <c r="J9" s="27" t="str">
        <f>"18026913067"</f>
        <v>18026913067</v>
      </c>
      <c r="K9" s="29" t="s">
        <v>35</v>
      </c>
      <c r="L9" s="27" t="s">
        <v>36</v>
      </c>
      <c r="M9" s="27"/>
      <c r="N9" s="27" t="s">
        <v>48</v>
      </c>
      <c r="O9" s="27">
        <v>0</v>
      </c>
      <c r="P9" s="27">
        <v>3103</v>
      </c>
      <c r="Q9" s="27">
        <v>3103</v>
      </c>
      <c r="R9" s="27">
        <v>0</v>
      </c>
      <c r="S9" s="27">
        <v>0</v>
      </c>
      <c r="T9" s="27"/>
      <c r="U9" s="30"/>
      <c r="V9" s="30"/>
      <c r="W9" s="27"/>
      <c r="X9" s="27"/>
      <c r="Y9" s="27" t="s">
        <v>34</v>
      </c>
      <c r="Z9" s="30"/>
      <c r="AA9" s="30"/>
      <c r="AB9" s="30"/>
    </row>
    <row r="10" s="28" customFormat="1" ht="11.25" customHeight="1">
      <c r="A10" s="27" t="s">
        <v>66</v>
      </c>
      <c r="B10" s="27" t="s">
        <v>30</v>
      </c>
      <c r="C10" s="27" t="s">
        <v>67</v>
      </c>
      <c r="D10" s="27" t="str">
        <f>"141181197701100037"</f>
        <v>141181197701100037</v>
      </c>
      <c r="E10" s="27" t="s">
        <v>45</v>
      </c>
      <c r="F10" s="27" t="s">
        <v>52</v>
      </c>
      <c r="G10" s="29">
        <v>500000</v>
      </c>
      <c r="H10" s="27">
        <v>36</v>
      </c>
      <c r="I10" s="27" t="s">
        <v>34</v>
      </c>
      <c r="J10" s="27" t="str">
        <f>"13612832804"</f>
        <v>13612832804</v>
      </c>
      <c r="K10" s="29" t="s">
        <v>68</v>
      </c>
      <c r="L10" s="27" t="s">
        <v>36</v>
      </c>
      <c r="M10" s="27"/>
      <c r="N10" s="27" t="s">
        <v>69</v>
      </c>
      <c r="O10" s="27">
        <v>0</v>
      </c>
      <c r="P10" s="27">
        <v>38204</v>
      </c>
      <c r="Q10" s="27">
        <v>38204</v>
      </c>
      <c r="R10" s="27">
        <v>0</v>
      </c>
      <c r="S10" s="27">
        <v>0</v>
      </c>
      <c r="T10" s="27" t="s">
        <v>70</v>
      </c>
      <c r="U10" s="30"/>
      <c r="V10" s="30"/>
      <c r="W10" s="27" t="s">
        <v>40</v>
      </c>
      <c r="X10" s="27" t="s">
        <v>41</v>
      </c>
      <c r="Y10" s="27" t="s">
        <v>34</v>
      </c>
      <c r="Z10" s="30"/>
      <c r="AA10" s="30"/>
      <c r="AB10" s="30"/>
    </row>
    <row r="11" s="28" customFormat="1" ht="11.25" customHeight="1">
      <c r="A11" s="27" t="s">
        <v>72</v>
      </c>
      <c r="B11" s="27" t="s">
        <v>50</v>
      </c>
      <c r="C11" s="27" t="s">
        <v>73</v>
      </c>
      <c r="D11" s="27" t="str">
        <f>"432424197502211817"</f>
        <v>432424197502211817</v>
      </c>
      <c r="E11" s="27" t="s">
        <v>45</v>
      </c>
      <c r="F11" s="27" t="s">
        <v>52</v>
      </c>
      <c r="G11" s="29">
        <v>105000</v>
      </c>
      <c r="H11" s="27">
        <v>36</v>
      </c>
      <c r="I11" s="27" t="s">
        <v>34</v>
      </c>
      <c r="J11" s="27" t="str">
        <f>"15322998475"</f>
        <v>15322998475</v>
      </c>
      <c r="K11" s="29" t="s">
        <v>35</v>
      </c>
      <c r="L11" s="27" t="s">
        <v>36</v>
      </c>
      <c r="M11" s="27"/>
      <c r="N11" s="27" t="s">
        <v>69</v>
      </c>
      <c r="O11" s="27">
        <v>0</v>
      </c>
      <c r="P11" s="27">
        <v>2345</v>
      </c>
      <c r="Q11" s="27">
        <v>2345</v>
      </c>
      <c r="R11" s="27">
        <v>0</v>
      </c>
      <c r="S11" s="27">
        <v>0</v>
      </c>
      <c r="T11" s="27" t="s">
        <v>70</v>
      </c>
      <c r="U11" s="30"/>
      <c r="V11" s="30"/>
      <c r="W11" s="27" t="s">
        <v>74</v>
      </c>
      <c r="X11" s="27" t="s">
        <v>75</v>
      </c>
      <c r="Y11" s="27" t="s">
        <v>34</v>
      </c>
      <c r="Z11" s="30"/>
      <c r="AA11" s="30"/>
      <c r="AB11" s="30"/>
    </row>
    <row r="12" s="28" customFormat="1" ht="11.25" customHeight="1">
      <c r="A12" s="27" t="s">
        <v>76</v>
      </c>
      <c r="B12" s="27" t="s">
        <v>30</v>
      </c>
      <c r="C12" s="27" t="s">
        <v>77</v>
      </c>
      <c r="D12" s="27" t="str">
        <f>"430426198204070038"</f>
        <v>430426198204070038</v>
      </c>
      <c r="E12" s="27" t="s">
        <v>45</v>
      </c>
      <c r="F12" s="27" t="s">
        <v>78</v>
      </c>
      <c r="G12" s="29">
        <v>174000</v>
      </c>
      <c r="H12" s="27">
        <v>36</v>
      </c>
      <c r="I12" s="27" t="s">
        <v>34</v>
      </c>
      <c r="J12" s="27" t="str">
        <f>"13823101423"</f>
        <v>13823101423</v>
      </c>
      <c r="K12" s="29" t="s">
        <v>35</v>
      </c>
      <c r="L12" s="27" t="s">
        <v>36</v>
      </c>
      <c r="M12" s="27"/>
      <c r="N12" s="27" t="s">
        <v>48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/>
      <c r="U12" s="30"/>
      <c r="V12" s="30"/>
      <c r="W12" s="27"/>
      <c r="X12" s="27"/>
      <c r="Y12" s="27" t="s">
        <v>34</v>
      </c>
      <c r="Z12" s="30"/>
      <c r="AA12" s="30"/>
      <c r="AB12" s="30"/>
    </row>
    <row r="13" s="28" customFormat="1" ht="11.25" customHeight="1">
      <c r="A13" s="27" t="s">
        <v>79</v>
      </c>
      <c r="B13" s="27" t="s">
        <v>30</v>
      </c>
      <c r="C13" s="27" t="s">
        <v>80</v>
      </c>
      <c r="D13" s="27" t="str">
        <f>"440527197308291221"</f>
        <v>440527197308291221</v>
      </c>
      <c r="E13" s="27" t="s">
        <v>45</v>
      </c>
      <c r="F13" s="27" t="s">
        <v>78</v>
      </c>
      <c r="G13" s="29">
        <v>400000</v>
      </c>
      <c r="H13" s="27">
        <v>36</v>
      </c>
      <c r="I13" s="27" t="s">
        <v>34</v>
      </c>
      <c r="J13" s="27" t="str">
        <f>"13760447333"</f>
        <v>13760447333</v>
      </c>
      <c r="K13" s="29" t="s">
        <v>35</v>
      </c>
      <c r="L13" s="27" t="s">
        <v>36</v>
      </c>
      <c r="M13" s="27"/>
      <c r="N13" s="27" t="s">
        <v>48</v>
      </c>
      <c r="O13" s="27">
        <v>0</v>
      </c>
      <c r="P13" s="27">
        <v>13627</v>
      </c>
      <c r="Q13" s="27">
        <v>13627</v>
      </c>
      <c r="R13" s="27">
        <v>0</v>
      </c>
      <c r="S13" s="27">
        <v>0</v>
      </c>
      <c r="T13" s="27"/>
      <c r="U13" s="30"/>
      <c r="V13" s="30"/>
      <c r="W13" s="27"/>
      <c r="X13" s="27"/>
      <c r="Y13" s="27" t="s">
        <v>34</v>
      </c>
      <c r="Z13" s="30"/>
      <c r="AA13" s="30"/>
      <c r="AB13" s="30"/>
    </row>
    <row r="14" s="28" customFormat="1" ht="11.25" customHeight="1">
      <c r="A14" s="27" t="s">
        <v>81</v>
      </c>
      <c r="B14" s="27" t="s">
        <v>30</v>
      </c>
      <c r="C14" s="27" t="s">
        <v>82</v>
      </c>
      <c r="D14" s="27" t="str">
        <f>"440301197301247522"</f>
        <v>440301197301247522</v>
      </c>
      <c r="E14" s="27" t="s">
        <v>45</v>
      </c>
      <c r="F14" s="27" t="s">
        <v>78</v>
      </c>
      <c r="G14" s="29">
        <v>500000</v>
      </c>
      <c r="H14" s="27">
        <v>36</v>
      </c>
      <c r="I14" s="27" t="s">
        <v>34</v>
      </c>
      <c r="J14" s="27" t="str">
        <f>"13620212705"</f>
        <v>13620212705</v>
      </c>
      <c r="K14" s="29" t="s">
        <v>35</v>
      </c>
      <c r="L14" s="27" t="s">
        <v>47</v>
      </c>
      <c r="M14" s="27"/>
      <c r="N14" s="27" t="s">
        <v>48</v>
      </c>
      <c r="O14" s="27">
        <v>0</v>
      </c>
      <c r="P14" s="27">
        <v>31865</v>
      </c>
      <c r="Q14" s="27">
        <v>31865</v>
      </c>
      <c r="R14" s="27">
        <v>0</v>
      </c>
      <c r="S14" s="27">
        <v>0</v>
      </c>
      <c r="T14" s="27"/>
      <c r="U14" s="30"/>
      <c r="V14" s="30"/>
      <c r="W14" s="27"/>
      <c r="X14" s="27"/>
      <c r="Y14" s="27" t="s">
        <v>34</v>
      </c>
      <c r="Z14" s="30"/>
      <c r="AA14" s="30"/>
      <c r="AB14" s="30"/>
    </row>
    <row r="15" s="28" customFormat="1" ht="11.25" customHeight="1">
      <c r="A15" s="27" t="s">
        <v>83</v>
      </c>
      <c r="B15" s="27" t="s">
        <v>30</v>
      </c>
      <c r="C15" s="27" t="s">
        <v>84</v>
      </c>
      <c r="D15" s="27" t="str">
        <f>"432826197309300054"</f>
        <v>432826197309300054</v>
      </c>
      <c r="E15" s="27" t="s">
        <v>45</v>
      </c>
      <c r="F15" s="27" t="s">
        <v>78</v>
      </c>
      <c r="G15" s="29">
        <v>143000</v>
      </c>
      <c r="H15" s="27">
        <v>36</v>
      </c>
      <c r="I15" s="27" t="s">
        <v>34</v>
      </c>
      <c r="J15" s="27" t="str">
        <f>"13537576815"</f>
        <v>13537576815</v>
      </c>
      <c r="K15" s="29" t="s">
        <v>35</v>
      </c>
      <c r="L15" s="27" t="s">
        <v>36</v>
      </c>
      <c r="M15" s="27"/>
      <c r="N15" s="27" t="s">
        <v>48</v>
      </c>
      <c r="O15" s="27">
        <v>0</v>
      </c>
      <c r="P15" s="27">
        <v>4769</v>
      </c>
      <c r="Q15" s="27">
        <v>4769</v>
      </c>
      <c r="R15" s="27">
        <v>0</v>
      </c>
      <c r="S15" s="27">
        <v>0</v>
      </c>
      <c r="T15" s="27"/>
      <c r="U15" s="30"/>
      <c r="V15" s="30"/>
      <c r="W15" s="27" t="s">
        <v>40</v>
      </c>
      <c r="X15" s="27" t="s">
        <v>41</v>
      </c>
      <c r="Y15" s="27" t="s">
        <v>34</v>
      </c>
      <c r="Z15" s="30"/>
      <c r="AA15" s="30"/>
      <c r="AB15" s="30"/>
    </row>
    <row r="16" s="28" customFormat="1" ht="11.25" customHeight="1">
      <c r="A16" s="27" t="s">
        <v>85</v>
      </c>
      <c r="B16" s="27" t="s">
        <v>30</v>
      </c>
      <c r="C16" s="27" t="s">
        <v>86</v>
      </c>
      <c r="D16" s="27" t="str">
        <f>"430426197206190020"</f>
        <v>430426197206190020</v>
      </c>
      <c r="E16" s="27" t="s">
        <v>45</v>
      </c>
      <c r="F16" s="27" t="s">
        <v>78</v>
      </c>
      <c r="G16" s="29">
        <v>300000</v>
      </c>
      <c r="H16" s="27">
        <v>36</v>
      </c>
      <c r="I16" s="27" t="s">
        <v>34</v>
      </c>
      <c r="J16" s="27" t="str">
        <f>"13076906598"</f>
        <v>13076906598</v>
      </c>
      <c r="K16" s="29" t="s">
        <v>35</v>
      </c>
      <c r="L16" s="27" t="s">
        <v>36</v>
      </c>
      <c r="M16" s="27"/>
      <c r="N16" s="27" t="s">
        <v>48</v>
      </c>
      <c r="O16" s="27">
        <v>0</v>
      </c>
      <c r="P16" s="27">
        <v>31304</v>
      </c>
      <c r="Q16" s="27">
        <v>31304</v>
      </c>
      <c r="R16" s="27">
        <v>0</v>
      </c>
      <c r="S16" s="27">
        <v>0</v>
      </c>
      <c r="T16" s="27"/>
      <c r="U16" s="30"/>
      <c r="V16" s="30"/>
      <c r="W16" s="27"/>
      <c r="X16" s="27"/>
      <c r="Y16" s="27" t="s">
        <v>34</v>
      </c>
      <c r="Z16" s="30"/>
      <c r="AA16" s="30"/>
      <c r="AB16" s="30"/>
    </row>
    <row r="17" s="28" customFormat="1">
      <c r="A17" s="27" t="s">
        <v>87</v>
      </c>
      <c r="B17" s="27" t="s">
        <v>30</v>
      </c>
      <c r="C17" s="27" t="s">
        <v>88</v>
      </c>
      <c r="D17" s="27" t="str">
        <f>"440525196908091293"</f>
        <v>440525196908091293</v>
      </c>
      <c r="E17" s="27" t="s">
        <v>45</v>
      </c>
      <c r="F17" s="27" t="s">
        <v>78</v>
      </c>
      <c r="G17" s="29">
        <v>83000</v>
      </c>
      <c r="H17" s="27">
        <v>36</v>
      </c>
      <c r="I17" s="27" t="s">
        <v>34</v>
      </c>
      <c r="J17" s="27" t="str">
        <f>"15220263859"</f>
        <v>15220263859</v>
      </c>
      <c r="K17" s="29" t="s">
        <v>89</v>
      </c>
      <c r="L17" s="27" t="s">
        <v>36</v>
      </c>
      <c r="M17" s="27"/>
      <c r="N17" s="27" t="s">
        <v>48</v>
      </c>
      <c r="O17" s="27">
        <v>0</v>
      </c>
      <c r="P17" s="27">
        <v>2770</v>
      </c>
      <c r="Q17" s="27">
        <v>2770</v>
      </c>
      <c r="R17" s="27">
        <v>0</v>
      </c>
      <c r="S17" s="27">
        <v>0</v>
      </c>
      <c r="T17" s="27"/>
      <c r="U17" s="30"/>
      <c r="V17" s="30"/>
      <c r="W17" s="27"/>
      <c r="X17" s="27"/>
      <c r="Y17" s="27" t="s">
        <v>34</v>
      </c>
      <c r="Z17" s="30"/>
      <c r="AA17" s="30"/>
      <c r="AB17" s="30"/>
    </row>
    <row r="18" s="28" customFormat="1">
      <c r="A18" s="27" t="s">
        <v>90</v>
      </c>
      <c r="B18" s="27" t="s">
        <v>30</v>
      </c>
      <c r="C18" s="27" t="s">
        <v>91</v>
      </c>
      <c r="D18" s="27" t="str">
        <f>"360681198708153010"</f>
        <v>360681198708153010</v>
      </c>
      <c r="E18" s="27" t="s">
        <v>45</v>
      </c>
      <c r="F18" s="27" t="s">
        <v>78</v>
      </c>
      <c r="G18" s="29">
        <v>236000</v>
      </c>
      <c r="H18" s="27">
        <v>36</v>
      </c>
      <c r="I18" s="27" t="s">
        <v>34</v>
      </c>
      <c r="J18" s="27" t="str">
        <f>"13751198051"</f>
        <v>13751198051</v>
      </c>
      <c r="K18" s="29" t="s">
        <v>68</v>
      </c>
      <c r="L18" s="27" t="s">
        <v>36</v>
      </c>
      <c r="M18" s="27"/>
      <c r="N18" s="27" t="s">
        <v>48</v>
      </c>
      <c r="O18" s="27">
        <v>0</v>
      </c>
      <c r="P18" s="27">
        <v>7884</v>
      </c>
      <c r="Q18" s="27">
        <v>7884</v>
      </c>
      <c r="R18" s="27">
        <v>0</v>
      </c>
      <c r="S18" s="27">
        <v>0</v>
      </c>
      <c r="T18" s="27"/>
      <c r="U18" s="30"/>
      <c r="V18" s="30"/>
      <c r="W18" s="27" t="s">
        <v>40</v>
      </c>
      <c r="X18" s="27" t="s">
        <v>41</v>
      </c>
      <c r="Y18" s="27" t="s">
        <v>34</v>
      </c>
      <c r="Z18" s="30"/>
      <c r="AA18" s="30"/>
      <c r="AB18" s="30"/>
    </row>
    <row r="19" s="28" customFormat="1">
      <c r="A19" s="27" t="s">
        <v>92</v>
      </c>
      <c r="B19" s="27" t="s">
        <v>30</v>
      </c>
      <c r="C19" s="27" t="s">
        <v>93</v>
      </c>
      <c r="D19" s="27" t="str">
        <f>"512924197708037997"</f>
        <v>512924197708037997</v>
      </c>
      <c r="E19" s="27" t="s">
        <v>45</v>
      </c>
      <c r="F19" s="27" t="s">
        <v>78</v>
      </c>
      <c r="G19" s="29">
        <v>127000</v>
      </c>
      <c r="H19" s="27">
        <v>6</v>
      </c>
      <c r="I19" s="27" t="s">
        <v>34</v>
      </c>
      <c r="J19" s="27" t="str">
        <f>"13510281599"</f>
        <v>13510281599</v>
      </c>
      <c r="K19" s="29" t="s">
        <v>35</v>
      </c>
      <c r="L19" s="27" t="s">
        <v>36</v>
      </c>
      <c r="M19" s="27"/>
      <c r="N19" s="27" t="s">
        <v>48</v>
      </c>
      <c r="O19" s="27">
        <v>0</v>
      </c>
      <c r="P19" s="27">
        <v>4176</v>
      </c>
      <c r="Q19" s="27">
        <v>4176</v>
      </c>
      <c r="R19" s="27">
        <v>0</v>
      </c>
      <c r="S19" s="27">
        <v>0</v>
      </c>
      <c r="T19" s="27"/>
      <c r="U19" s="30"/>
      <c r="V19" s="30"/>
      <c r="W19" s="27"/>
      <c r="X19" s="27"/>
      <c r="Y19" s="27" t="s">
        <v>34</v>
      </c>
      <c r="Z19" s="30"/>
      <c r="AA19" s="30"/>
      <c r="AB19" s="30"/>
    </row>
    <row r="20" s="28" customFormat="1">
      <c r="A20" s="27" t="s">
        <v>94</v>
      </c>
      <c r="B20" s="27" t="s">
        <v>30</v>
      </c>
      <c r="C20" s="27" t="s">
        <v>95</v>
      </c>
      <c r="D20" s="27" t="str">
        <f>"230403198112180414"</f>
        <v>230403198112180414</v>
      </c>
      <c r="E20" s="27" t="s">
        <v>45</v>
      </c>
      <c r="F20" s="27" t="s">
        <v>78</v>
      </c>
      <c r="G20" s="29">
        <v>110000</v>
      </c>
      <c r="H20" s="27">
        <v>24</v>
      </c>
      <c r="I20" s="27" t="s">
        <v>34</v>
      </c>
      <c r="J20" s="27" t="str">
        <f>"13922888327"</f>
        <v>13922888327</v>
      </c>
      <c r="K20" s="29" t="s">
        <v>35</v>
      </c>
      <c r="L20" s="27" t="s">
        <v>47</v>
      </c>
      <c r="M20" s="27"/>
      <c r="N20" s="27" t="s">
        <v>48</v>
      </c>
      <c r="O20" s="27">
        <v>0</v>
      </c>
      <c r="P20" s="27">
        <v>3749</v>
      </c>
      <c r="Q20" s="27">
        <v>3749</v>
      </c>
      <c r="R20" s="27">
        <v>0</v>
      </c>
      <c r="S20" s="27">
        <v>0</v>
      </c>
      <c r="T20" s="27"/>
      <c r="U20" s="30"/>
      <c r="V20" s="30"/>
      <c r="W20" s="27"/>
      <c r="X20" s="27"/>
      <c r="Y20" s="27" t="s">
        <v>34</v>
      </c>
      <c r="Z20" s="30"/>
      <c r="AA20" s="30"/>
      <c r="AB20" s="30"/>
    </row>
    <row r="21" s="28" customFormat="1">
      <c r="A21" s="27" t="s">
        <v>96</v>
      </c>
      <c r="B21" s="27" t="s">
        <v>50</v>
      </c>
      <c r="C21" s="27" t="s">
        <v>97</v>
      </c>
      <c r="D21" s="27" t="str">
        <f>"430421198105275132"</f>
        <v>430421198105275132</v>
      </c>
      <c r="E21" s="27" t="s">
        <v>45</v>
      </c>
      <c r="F21" s="27" t="s">
        <v>52</v>
      </c>
      <c r="G21" s="29">
        <v>500000</v>
      </c>
      <c r="H21" s="27">
        <v>36</v>
      </c>
      <c r="I21" s="27" t="s">
        <v>34</v>
      </c>
      <c r="J21" s="27" t="str">
        <f>"18688933885"</f>
        <v>18688933885</v>
      </c>
      <c r="K21" s="29" t="s">
        <v>89</v>
      </c>
      <c r="L21" s="27" t="s">
        <v>36</v>
      </c>
      <c r="M21" s="27"/>
      <c r="N21" s="27" t="s">
        <v>57</v>
      </c>
      <c r="O21" s="27">
        <v>0</v>
      </c>
      <c r="P21" s="27">
        <v>101379</v>
      </c>
      <c r="Q21" s="27">
        <v>101379</v>
      </c>
      <c r="R21" s="27">
        <v>0</v>
      </c>
      <c r="S21" s="27">
        <v>0</v>
      </c>
      <c r="T21" s="27"/>
      <c r="U21" s="30"/>
      <c r="V21" s="30"/>
      <c r="W21" s="27"/>
      <c r="X21" s="27"/>
      <c r="Y21" s="27" t="s">
        <v>34</v>
      </c>
      <c r="Z21" s="30"/>
      <c r="AA21" s="30"/>
      <c r="AB21" s="30"/>
    </row>
    <row r="22" s="28" customFormat="1">
      <c r="A22" s="27" t="s">
        <v>98</v>
      </c>
      <c r="B22" s="27" t="s">
        <v>30</v>
      </c>
      <c r="C22" s="27" t="s">
        <v>99</v>
      </c>
      <c r="D22" s="27" t="str">
        <f>"432501197411114529"</f>
        <v>432501197411114529</v>
      </c>
      <c r="E22" s="27" t="s">
        <v>45</v>
      </c>
      <c r="F22" s="27" t="s">
        <v>52</v>
      </c>
      <c r="G22" s="29">
        <v>300000</v>
      </c>
      <c r="H22" s="27">
        <v>36</v>
      </c>
      <c r="I22" s="27" t="s">
        <v>34</v>
      </c>
      <c r="J22" s="27" t="str">
        <f>"13580894201"</f>
        <v>13580894201</v>
      </c>
      <c r="K22" s="29" t="s">
        <v>35</v>
      </c>
      <c r="L22" s="27" t="s">
        <v>36</v>
      </c>
      <c r="M22" s="27"/>
      <c r="N22" s="27" t="s">
        <v>57</v>
      </c>
      <c r="O22" s="27">
        <v>0</v>
      </c>
      <c r="P22" s="27">
        <v>10477</v>
      </c>
      <c r="Q22" s="27">
        <v>10477</v>
      </c>
      <c r="R22" s="27">
        <v>0</v>
      </c>
      <c r="S22" s="27">
        <v>0</v>
      </c>
      <c r="T22" s="27"/>
      <c r="U22" s="30"/>
      <c r="V22" s="30"/>
      <c r="W22" s="27" t="s">
        <v>74</v>
      </c>
      <c r="X22" s="27" t="s">
        <v>75</v>
      </c>
      <c r="Y22" s="27" t="s">
        <v>34</v>
      </c>
      <c r="Z22" s="30"/>
      <c r="AA22" s="30"/>
      <c r="AB22" s="30"/>
    </row>
    <row r="23" s="28" customFormat="1">
      <c r="A23" s="27" t="s">
        <v>100</v>
      </c>
      <c r="B23" s="27" t="s">
        <v>50</v>
      </c>
      <c r="C23" s="27" t="s">
        <v>101</v>
      </c>
      <c r="D23" s="27" t="str">
        <f>"440106197405151876"</f>
        <v>440106197405151876</v>
      </c>
      <c r="E23" s="27" t="s">
        <v>45</v>
      </c>
      <c r="F23" s="27" t="s">
        <v>52</v>
      </c>
      <c r="G23" s="29">
        <v>60000</v>
      </c>
      <c r="H23" s="27">
        <v>36</v>
      </c>
      <c r="I23" s="27" t="s">
        <v>34</v>
      </c>
      <c r="J23" s="27" t="str">
        <f>"13378615889"</f>
        <v>13378615889</v>
      </c>
      <c r="K23" s="29" t="s">
        <v>35</v>
      </c>
      <c r="L23" s="27" t="s">
        <v>36</v>
      </c>
      <c r="M23" s="27"/>
      <c r="N23" s="27" t="s">
        <v>57</v>
      </c>
      <c r="O23" s="27">
        <v>0</v>
      </c>
      <c r="P23" s="27">
        <v>2070</v>
      </c>
      <c r="Q23" s="27">
        <v>2070</v>
      </c>
      <c r="R23" s="27">
        <v>0</v>
      </c>
      <c r="S23" s="27">
        <v>0</v>
      </c>
      <c r="T23" s="27"/>
      <c r="U23" s="30"/>
      <c r="V23" s="30"/>
      <c r="W23" s="27"/>
      <c r="X23" s="27"/>
      <c r="Y23" s="27" t="s">
        <v>34</v>
      </c>
      <c r="Z23" s="30"/>
      <c r="AA23" s="30"/>
      <c r="AB23" s="30"/>
    </row>
    <row r="24" s="28" customFormat="1">
      <c r="A24" s="27" t="s">
        <v>102</v>
      </c>
      <c r="B24" s="27" t="s">
        <v>30</v>
      </c>
      <c r="C24" s="27" t="s">
        <v>93</v>
      </c>
      <c r="D24" s="27" t="str">
        <f>"512924197708037997"</f>
        <v>512924197708037997</v>
      </c>
      <c r="E24" s="27" t="s">
        <v>45</v>
      </c>
      <c r="F24" s="27" t="s">
        <v>52</v>
      </c>
      <c r="G24" s="29">
        <v>125000</v>
      </c>
      <c r="H24" s="27">
        <v>36</v>
      </c>
      <c r="I24" s="27" t="s">
        <v>34</v>
      </c>
      <c r="J24" s="27" t="str">
        <f>"13510281599"</f>
        <v>13510281599</v>
      </c>
      <c r="K24" s="29" t="s">
        <v>35</v>
      </c>
      <c r="L24" s="27" t="s">
        <v>36</v>
      </c>
      <c r="M24" s="27"/>
      <c r="N24" s="27" t="s">
        <v>57</v>
      </c>
      <c r="O24" s="27">
        <v>0</v>
      </c>
      <c r="P24" s="27">
        <v>4176</v>
      </c>
      <c r="Q24" s="27">
        <v>4176</v>
      </c>
      <c r="R24" s="27">
        <v>0</v>
      </c>
      <c r="S24" s="27">
        <v>0</v>
      </c>
      <c r="T24" s="27"/>
      <c r="U24" s="30"/>
      <c r="V24" s="30"/>
      <c r="W24" s="27" t="s">
        <v>40</v>
      </c>
      <c r="X24" s="27" t="s">
        <v>41</v>
      </c>
      <c r="Y24" s="27" t="s">
        <v>34</v>
      </c>
      <c r="Z24" s="30"/>
      <c r="AA24" s="30"/>
      <c r="AB24" s="30"/>
    </row>
    <row r="25" s="28" customFormat="1">
      <c r="A25" s="27" t="s">
        <v>103</v>
      </c>
      <c r="B25" s="27" t="s">
        <v>30</v>
      </c>
      <c r="C25" s="27" t="s">
        <v>104</v>
      </c>
      <c r="D25" s="27" t="s">
        <v>105</v>
      </c>
      <c r="E25" s="27" t="s">
        <v>45</v>
      </c>
      <c r="F25" s="27" t="s">
        <v>52</v>
      </c>
      <c r="G25" s="29">
        <v>94000</v>
      </c>
      <c r="H25" s="27">
        <v>24</v>
      </c>
      <c r="I25" s="27" t="s">
        <v>34</v>
      </c>
      <c r="J25" s="27" t="str">
        <f>"13412219080"</f>
        <v>13412219080</v>
      </c>
      <c r="K25" s="29" t="s">
        <v>35</v>
      </c>
      <c r="L25" s="27" t="s">
        <v>36</v>
      </c>
      <c r="M25" s="27"/>
      <c r="N25" s="27" t="s">
        <v>57</v>
      </c>
      <c r="O25" s="27">
        <v>0</v>
      </c>
      <c r="P25" s="27">
        <v>3143</v>
      </c>
      <c r="Q25" s="27">
        <v>3143</v>
      </c>
      <c r="R25" s="27">
        <v>0</v>
      </c>
      <c r="S25" s="27">
        <v>0</v>
      </c>
      <c r="T25" s="27"/>
      <c r="U25" s="30"/>
      <c r="V25" s="30"/>
      <c r="W25" s="27" t="s">
        <v>74</v>
      </c>
      <c r="X25" s="27" t="s">
        <v>75</v>
      </c>
      <c r="Y25" s="27" t="s">
        <v>34</v>
      </c>
      <c r="Z25" s="30"/>
      <c r="AA25" s="30"/>
      <c r="AB25" s="30"/>
    </row>
    <row r="26" s="28" customFormat="1">
      <c r="A26" s="27" t="s">
        <v>106</v>
      </c>
      <c r="B26" s="27" t="s">
        <v>50</v>
      </c>
      <c r="C26" s="27" t="s">
        <v>107</v>
      </c>
      <c r="D26" s="27" t="str">
        <f>"440125197201290320"</f>
        <v>440125197201290320</v>
      </c>
      <c r="E26" s="27" t="s">
        <v>45</v>
      </c>
      <c r="F26" s="27" t="s">
        <v>52</v>
      </c>
      <c r="G26" s="29">
        <v>410000</v>
      </c>
      <c r="H26" s="27">
        <v>36</v>
      </c>
      <c r="I26" s="27" t="s">
        <v>34</v>
      </c>
      <c r="J26" s="27" t="str">
        <f>"13662384477"</f>
        <v>13662384477</v>
      </c>
      <c r="K26" s="29" t="s">
        <v>35</v>
      </c>
      <c r="L26" s="27" t="s">
        <v>47</v>
      </c>
      <c r="M26" s="27"/>
      <c r="N26" s="27" t="s">
        <v>57</v>
      </c>
      <c r="O26" s="27">
        <v>0</v>
      </c>
      <c r="P26" s="27">
        <v>13980</v>
      </c>
      <c r="Q26" s="27">
        <v>13980</v>
      </c>
      <c r="R26" s="27">
        <v>0</v>
      </c>
      <c r="S26" s="27">
        <v>0</v>
      </c>
      <c r="T26" s="27"/>
      <c r="U26" s="30"/>
      <c r="V26" s="30"/>
      <c r="W26" s="27" t="s">
        <v>108</v>
      </c>
      <c r="X26" s="27" t="s">
        <v>109</v>
      </c>
      <c r="Y26" s="27" t="s">
        <v>34</v>
      </c>
      <c r="Z26" s="30"/>
      <c r="AA26" s="30"/>
      <c r="AB26" s="30"/>
    </row>
    <row r="27" s="28" customFormat="1">
      <c r="A27" s="27" t="s">
        <v>110</v>
      </c>
      <c r="B27" s="27" t="s">
        <v>30</v>
      </c>
      <c r="C27" s="27" t="s">
        <v>111</v>
      </c>
      <c r="D27" s="27" t="str">
        <f>"441425197103113598"</f>
        <v>441425197103113598</v>
      </c>
      <c r="E27" s="27" t="s">
        <v>45</v>
      </c>
      <c r="F27" s="27" t="s">
        <v>52</v>
      </c>
      <c r="G27" s="29">
        <v>180000</v>
      </c>
      <c r="H27" s="27">
        <v>36</v>
      </c>
      <c r="I27" s="27" t="s">
        <v>34</v>
      </c>
      <c r="J27" s="27" t="str">
        <f>"13802562591"</f>
        <v>13802562591</v>
      </c>
      <c r="K27" s="29" t="s">
        <v>35</v>
      </c>
      <c r="L27" s="27" t="s">
        <v>36</v>
      </c>
      <c r="M27" s="27"/>
      <c r="N27" s="27" t="s">
        <v>57</v>
      </c>
      <c r="O27" s="27">
        <v>0</v>
      </c>
      <c r="P27" s="27">
        <v>41334</v>
      </c>
      <c r="Q27" s="27">
        <v>41334</v>
      </c>
      <c r="R27" s="27">
        <v>0</v>
      </c>
      <c r="S27" s="27">
        <v>0</v>
      </c>
      <c r="T27" s="27"/>
      <c r="U27" s="30"/>
      <c r="V27" s="30"/>
      <c r="W27" s="27" t="s">
        <v>40</v>
      </c>
      <c r="X27" s="27" t="s">
        <v>41</v>
      </c>
      <c r="Y27" s="27" t="s">
        <v>34</v>
      </c>
      <c r="Z27" s="30"/>
      <c r="AA27" s="30"/>
      <c r="AB27" s="30"/>
    </row>
    <row r="28" s="28" customFormat="1">
      <c r="A28" s="27" t="s">
        <v>112</v>
      </c>
      <c r="B28" s="27" t="s">
        <v>30</v>
      </c>
      <c r="C28" s="27" t="s">
        <v>113</v>
      </c>
      <c r="D28" s="27" t="str">
        <f>"370830197810023966"</f>
        <v>370830197810023966</v>
      </c>
      <c r="E28" s="27" t="s">
        <v>45</v>
      </c>
      <c r="F28" s="27" t="s">
        <v>52</v>
      </c>
      <c r="G28" s="29">
        <v>300000</v>
      </c>
      <c r="H28" s="27">
        <v>12</v>
      </c>
      <c r="I28" s="27" t="s">
        <v>34</v>
      </c>
      <c r="J28" s="27" t="str">
        <f>"13692101496"</f>
        <v>13692101496</v>
      </c>
      <c r="K28" s="29" t="s">
        <v>35</v>
      </c>
      <c r="L28" s="27" t="s">
        <v>36</v>
      </c>
      <c r="M28" s="27"/>
      <c r="N28" s="27" t="s">
        <v>57</v>
      </c>
      <c r="O28" s="27">
        <v>0</v>
      </c>
      <c r="P28" s="27">
        <v>19143</v>
      </c>
      <c r="Q28" s="27">
        <v>19143</v>
      </c>
      <c r="R28" s="27">
        <v>0</v>
      </c>
      <c r="S28" s="27">
        <v>0</v>
      </c>
      <c r="T28" s="27"/>
      <c r="U28" s="30"/>
      <c r="V28" s="30"/>
      <c r="W28" s="27" t="s">
        <v>40</v>
      </c>
      <c r="X28" s="27" t="s">
        <v>41</v>
      </c>
      <c r="Y28" s="27" t="s">
        <v>34</v>
      </c>
      <c r="Z28" s="30"/>
      <c r="AA28" s="30"/>
      <c r="AB28" s="30"/>
    </row>
    <row r="29" s="28" customFormat="1">
      <c r="A29" s="27" t="s">
        <v>114</v>
      </c>
      <c r="B29" s="27" t="s">
        <v>50</v>
      </c>
      <c r="C29" s="27" t="s">
        <v>115</v>
      </c>
      <c r="D29" s="27" t="str">
        <f>"452124197304202714"</f>
        <v>452124197304202714</v>
      </c>
      <c r="E29" s="27" t="s">
        <v>45</v>
      </c>
      <c r="F29" s="27" t="s">
        <v>52</v>
      </c>
      <c r="G29" s="29">
        <v>110000</v>
      </c>
      <c r="H29" s="27">
        <v>36</v>
      </c>
      <c r="I29" s="27" t="s">
        <v>34</v>
      </c>
      <c r="J29" s="27" t="str">
        <f>"13427977368"</f>
        <v>13427977368</v>
      </c>
      <c r="K29" s="29" t="s">
        <v>35</v>
      </c>
      <c r="L29" s="27" t="s">
        <v>36</v>
      </c>
      <c r="M29" s="27"/>
      <c r="N29" s="27" t="s">
        <v>57</v>
      </c>
      <c r="O29" s="27">
        <v>0</v>
      </c>
      <c r="P29" s="27">
        <v>3731</v>
      </c>
      <c r="Q29" s="27">
        <v>3731</v>
      </c>
      <c r="R29" s="27">
        <v>0</v>
      </c>
      <c r="S29" s="27">
        <v>0</v>
      </c>
      <c r="T29" s="27"/>
      <c r="U29" s="30"/>
      <c r="V29" s="30"/>
      <c r="W29" s="27" t="s">
        <v>40</v>
      </c>
      <c r="X29" s="27" t="s">
        <v>41</v>
      </c>
      <c r="Y29" s="27" t="s">
        <v>34</v>
      </c>
      <c r="Z29" s="30"/>
      <c r="AA29" s="30"/>
      <c r="AB29" s="30"/>
    </row>
    <row r="30" s="28" customFormat="1">
      <c r="A30" s="27" t="s">
        <v>116</v>
      </c>
      <c r="B30" s="27" t="s">
        <v>30</v>
      </c>
      <c r="C30" s="27" t="s">
        <v>117</v>
      </c>
      <c r="D30" s="27" t="str">
        <f>"452402198410025240"</f>
        <v>452402198410025240</v>
      </c>
      <c r="E30" s="27" t="s">
        <v>45</v>
      </c>
      <c r="F30" s="27" t="s">
        <v>52</v>
      </c>
      <c r="G30" s="29">
        <v>95000</v>
      </c>
      <c r="H30" s="27">
        <v>36</v>
      </c>
      <c r="I30" s="27" t="s">
        <v>34</v>
      </c>
      <c r="J30" s="27" t="str">
        <f>"13424005488"</f>
        <v>13424005488</v>
      </c>
      <c r="K30" s="29" t="s">
        <v>35</v>
      </c>
      <c r="L30" s="27" t="s">
        <v>36</v>
      </c>
      <c r="M30" s="27"/>
      <c r="N30" s="27" t="s">
        <v>57</v>
      </c>
      <c r="O30" s="27">
        <v>0</v>
      </c>
      <c r="P30" s="27">
        <v>3197</v>
      </c>
      <c r="Q30" s="27">
        <v>3197</v>
      </c>
      <c r="R30" s="27">
        <v>0</v>
      </c>
      <c r="S30" s="27">
        <v>0</v>
      </c>
      <c r="T30" s="27"/>
      <c r="U30" s="30"/>
      <c r="V30" s="30"/>
      <c r="W30" s="27" t="s">
        <v>108</v>
      </c>
      <c r="X30" s="27" t="s">
        <v>109</v>
      </c>
      <c r="Y30" s="27" t="s">
        <v>34</v>
      </c>
      <c r="Z30" s="30"/>
      <c r="AA30" s="30"/>
      <c r="AB30" s="30"/>
    </row>
    <row r="31" s="28" customFormat="1">
      <c r="A31" s="27" t="s">
        <v>118</v>
      </c>
      <c r="B31" s="27" t="s">
        <v>50</v>
      </c>
      <c r="C31" s="27" t="s">
        <v>119</v>
      </c>
      <c r="D31" s="27" t="str">
        <f>"430322197211244184"</f>
        <v>430322197211244184</v>
      </c>
      <c r="E31" s="27" t="s">
        <v>45</v>
      </c>
      <c r="F31" s="27" t="s">
        <v>52</v>
      </c>
      <c r="G31" s="29">
        <v>500000</v>
      </c>
      <c r="H31" s="27">
        <v>24</v>
      </c>
      <c r="I31" s="27" t="s">
        <v>34</v>
      </c>
      <c r="J31" s="27" t="str">
        <f>"18664888095"</f>
        <v>18664888095</v>
      </c>
      <c r="K31" s="29" t="s">
        <v>68</v>
      </c>
      <c r="L31" s="27" t="s">
        <v>36</v>
      </c>
      <c r="M31" s="27"/>
      <c r="N31" s="27" t="s">
        <v>57</v>
      </c>
      <c r="O31" s="27">
        <v>0</v>
      </c>
      <c r="P31" s="27">
        <v>47646</v>
      </c>
      <c r="Q31" s="27">
        <v>47646</v>
      </c>
      <c r="R31" s="27">
        <v>0</v>
      </c>
      <c r="S31" s="27">
        <v>0</v>
      </c>
      <c r="T31" s="27"/>
      <c r="U31" s="30"/>
      <c r="V31" s="30"/>
      <c r="W31" s="27" t="s">
        <v>108</v>
      </c>
      <c r="X31" s="27" t="s">
        <v>109</v>
      </c>
      <c r="Y31" s="27" t="s">
        <v>34</v>
      </c>
      <c r="Z31" s="30"/>
      <c r="AA31" s="30"/>
      <c r="AB31" s="30"/>
    </row>
    <row r="32" s="28" customFormat="1">
      <c r="A32" s="27" t="s">
        <v>120</v>
      </c>
      <c r="B32" s="27" t="s">
        <v>30</v>
      </c>
      <c r="C32" s="27" t="s">
        <v>121</v>
      </c>
      <c r="D32" s="27" t="str">
        <f>"441481198609234210"</f>
        <v>441481198609234210</v>
      </c>
      <c r="E32" s="27" t="s">
        <v>45</v>
      </c>
      <c r="F32" s="27" t="s">
        <v>122</v>
      </c>
      <c r="G32" s="29">
        <v>87000</v>
      </c>
      <c r="H32" s="27">
        <v>36</v>
      </c>
      <c r="I32" s="27" t="s">
        <v>34</v>
      </c>
      <c r="J32" s="27" t="str">
        <f>"13823102857"</f>
        <v>13823102857</v>
      </c>
      <c r="K32" s="29" t="s">
        <v>68</v>
      </c>
      <c r="L32" s="27" t="s">
        <v>36</v>
      </c>
      <c r="M32" s="27"/>
      <c r="N32" s="27" t="s">
        <v>57</v>
      </c>
      <c r="O32" s="27">
        <v>0</v>
      </c>
      <c r="P32" s="27">
        <v>2923</v>
      </c>
      <c r="Q32" s="27">
        <v>2923</v>
      </c>
      <c r="R32" s="27">
        <v>0</v>
      </c>
      <c r="S32" s="27">
        <v>0</v>
      </c>
      <c r="T32" s="27"/>
      <c r="U32" s="30"/>
      <c r="V32" s="30"/>
      <c r="W32" s="27"/>
      <c r="X32" s="27"/>
      <c r="Y32" s="27" t="s">
        <v>34</v>
      </c>
      <c r="Z32" s="30"/>
      <c r="AA32" s="30"/>
      <c r="AB32" s="30"/>
    </row>
    <row r="33" s="28" customFormat="1">
      <c r="A33" s="27" t="s">
        <v>123</v>
      </c>
      <c r="B33" s="27" t="s">
        <v>30</v>
      </c>
      <c r="C33" s="27" t="s">
        <v>124</v>
      </c>
      <c r="D33" s="27" t="str">
        <f>"445221197903141260"</f>
        <v>445221197903141260</v>
      </c>
      <c r="E33" s="27" t="s">
        <v>45</v>
      </c>
      <c r="F33" s="27" t="s">
        <v>122</v>
      </c>
      <c r="G33" s="29">
        <v>403000</v>
      </c>
      <c r="H33" s="27">
        <v>36</v>
      </c>
      <c r="I33" s="27" t="s">
        <v>34</v>
      </c>
      <c r="J33" s="27" t="str">
        <f>"13689535828"</f>
        <v>13689535828</v>
      </c>
      <c r="K33" s="29" t="s">
        <v>35</v>
      </c>
      <c r="L33" s="27" t="s">
        <v>36</v>
      </c>
      <c r="M33" s="27"/>
      <c r="N33" s="27" t="s">
        <v>57</v>
      </c>
      <c r="O33" s="27">
        <v>0</v>
      </c>
      <c r="P33" s="27">
        <v>13436</v>
      </c>
      <c r="Q33" s="27">
        <v>13436</v>
      </c>
      <c r="R33" s="27">
        <v>0</v>
      </c>
      <c r="S33" s="27">
        <v>0</v>
      </c>
      <c r="T33" s="27"/>
      <c r="U33" s="30"/>
      <c r="V33" s="30"/>
      <c r="W33" s="27"/>
      <c r="X33" s="27"/>
      <c r="Y33" s="27" t="s">
        <v>34</v>
      </c>
      <c r="Z33" s="30"/>
      <c r="AA33" s="30"/>
      <c r="AB33" s="30"/>
    </row>
    <row r="34" s="28" customFormat="1">
      <c r="A34" s="27" t="s">
        <v>125</v>
      </c>
      <c r="B34" s="27" t="s">
        <v>30</v>
      </c>
      <c r="C34" s="27" t="s">
        <v>126</v>
      </c>
      <c r="D34" s="27" t="str">
        <f>"511381198308290529"</f>
        <v>511381198308290529</v>
      </c>
      <c r="E34" s="27" t="s">
        <v>45</v>
      </c>
      <c r="F34" s="27" t="s">
        <v>122</v>
      </c>
      <c r="G34" s="29">
        <v>79000</v>
      </c>
      <c r="H34" s="27">
        <v>36</v>
      </c>
      <c r="I34" s="27" t="s">
        <v>127</v>
      </c>
      <c r="J34" s="27" t="str">
        <f>"13424793100"</f>
        <v>13424793100</v>
      </c>
      <c r="K34" s="29" t="s">
        <v>35</v>
      </c>
      <c r="L34" s="27" t="s">
        <v>36</v>
      </c>
      <c r="M34" s="27"/>
      <c r="N34" s="27" t="s">
        <v>57</v>
      </c>
      <c r="O34" s="27">
        <v>0</v>
      </c>
      <c r="P34" s="27">
        <v>2655</v>
      </c>
      <c r="Q34" s="27">
        <v>2655</v>
      </c>
      <c r="R34" s="27">
        <v>0</v>
      </c>
      <c r="S34" s="27">
        <v>0</v>
      </c>
      <c r="T34" s="27"/>
      <c r="U34" s="30"/>
      <c r="V34" s="30"/>
      <c r="W34" s="27"/>
      <c r="X34" s="27"/>
      <c r="Y34" s="27" t="s">
        <v>127</v>
      </c>
      <c r="Z34" s="30"/>
      <c r="AA34" s="30"/>
      <c r="AB34" s="30"/>
    </row>
    <row r="35" s="28" customFormat="1">
      <c r="A35" s="27" t="s">
        <v>128</v>
      </c>
      <c r="B35" s="27" t="s">
        <v>30</v>
      </c>
      <c r="C35" s="27" t="s">
        <v>129</v>
      </c>
      <c r="D35" s="27" t="str">
        <f>"350102197101280815"</f>
        <v>350102197101280815</v>
      </c>
      <c r="E35" s="27" t="s">
        <v>45</v>
      </c>
      <c r="F35" s="27" t="s">
        <v>122</v>
      </c>
      <c r="G35" s="29">
        <v>500000</v>
      </c>
      <c r="H35" s="27">
        <v>12</v>
      </c>
      <c r="I35" s="27" t="s">
        <v>127</v>
      </c>
      <c r="J35" s="27" t="str">
        <f>"15070063508"</f>
        <v>15070063508</v>
      </c>
      <c r="K35" s="29" t="s">
        <v>35</v>
      </c>
      <c r="L35" s="27" t="s">
        <v>47</v>
      </c>
      <c r="M35" s="27"/>
      <c r="N35" s="27" t="s">
        <v>57</v>
      </c>
      <c r="O35" s="27">
        <v>0</v>
      </c>
      <c r="P35" s="27">
        <v>18610</v>
      </c>
      <c r="Q35" s="27">
        <v>18610</v>
      </c>
      <c r="R35" s="27">
        <v>0</v>
      </c>
      <c r="S35" s="27">
        <v>0</v>
      </c>
      <c r="T35" s="27"/>
      <c r="U35" s="30"/>
      <c r="V35" s="30"/>
      <c r="W35" s="27"/>
      <c r="X35" s="27"/>
      <c r="Y35" s="27" t="s">
        <v>127</v>
      </c>
      <c r="Z35" s="30"/>
      <c r="AA35" s="30"/>
      <c r="AB35" s="30"/>
    </row>
    <row r="36" s="28" customFormat="1">
      <c r="A36" s="27" t="s">
        <v>130</v>
      </c>
      <c r="B36" s="27" t="s">
        <v>50</v>
      </c>
      <c r="C36" s="27" t="s">
        <v>131</v>
      </c>
      <c r="D36" s="27" t="str">
        <f>"510824198711201628"</f>
        <v>510824198711201628</v>
      </c>
      <c r="E36" s="27" t="s">
        <v>45</v>
      </c>
      <c r="F36" s="27" t="s">
        <v>122</v>
      </c>
      <c r="G36" s="29">
        <v>67000</v>
      </c>
      <c r="H36" s="27">
        <v>12</v>
      </c>
      <c r="I36" s="27" t="s">
        <v>127</v>
      </c>
      <c r="J36" s="27" t="str">
        <f>"13883882212"</f>
        <v>13883882212</v>
      </c>
      <c r="K36" s="29" t="s">
        <v>35</v>
      </c>
      <c r="L36" s="27" t="s">
        <v>36</v>
      </c>
      <c r="M36" s="27"/>
      <c r="N36" s="27" t="s">
        <v>57</v>
      </c>
      <c r="O36" s="27">
        <v>0</v>
      </c>
      <c r="P36" s="27">
        <v>2246</v>
      </c>
      <c r="Q36" s="27">
        <v>2246</v>
      </c>
      <c r="R36" s="27">
        <v>0</v>
      </c>
      <c r="S36" s="27">
        <v>0</v>
      </c>
      <c r="T36" s="27"/>
      <c r="U36" s="30"/>
      <c r="V36" s="30"/>
      <c r="W36" s="27"/>
      <c r="X36" s="27"/>
      <c r="Y36" s="27" t="s">
        <v>127</v>
      </c>
      <c r="Z36" s="30"/>
      <c r="AA36" s="30"/>
      <c r="AB36" s="30"/>
    </row>
    <row r="37" s="28" customFormat="1">
      <c r="A37" s="27" t="s">
        <v>132</v>
      </c>
      <c r="B37" s="27" t="s">
        <v>30</v>
      </c>
      <c r="C37" s="27" t="s">
        <v>133</v>
      </c>
      <c r="D37" s="27" t="str">
        <f>"441523196905026339"</f>
        <v>441523196905026339</v>
      </c>
      <c r="E37" s="27" t="s">
        <v>45</v>
      </c>
      <c r="F37" s="27" t="s">
        <v>122</v>
      </c>
      <c r="G37" s="29">
        <v>200000</v>
      </c>
      <c r="H37" s="27">
        <v>12</v>
      </c>
      <c r="I37" s="27" t="s">
        <v>127</v>
      </c>
      <c r="J37" s="27" t="str">
        <f>"13728722469"</f>
        <v>13728722469</v>
      </c>
      <c r="K37" s="29" t="s">
        <v>35</v>
      </c>
      <c r="L37" s="27" t="s">
        <v>36</v>
      </c>
      <c r="M37" s="27"/>
      <c r="N37" s="27" t="s">
        <v>57</v>
      </c>
      <c r="O37" s="27">
        <v>0</v>
      </c>
      <c r="P37" s="27">
        <v>8188</v>
      </c>
      <c r="Q37" s="27">
        <v>8188</v>
      </c>
      <c r="R37" s="27">
        <v>0</v>
      </c>
      <c r="S37" s="27">
        <v>0</v>
      </c>
      <c r="T37" s="27"/>
      <c r="U37" s="30"/>
      <c r="V37" s="30"/>
      <c r="W37" s="27"/>
      <c r="X37" s="27"/>
      <c r="Y37" s="27" t="s">
        <v>127</v>
      </c>
      <c r="Z37" s="30"/>
      <c r="AA37" s="30"/>
      <c r="AB37" s="30"/>
    </row>
    <row r="38" s="28" customFormat="1">
      <c r="A38" s="27" t="s">
        <v>134</v>
      </c>
      <c r="B38" s="27" t="s">
        <v>30</v>
      </c>
      <c r="C38" s="27" t="s">
        <v>135</v>
      </c>
      <c r="D38" s="27" t="str">
        <f>"432924198007248518"</f>
        <v>432924198007248518</v>
      </c>
      <c r="E38" s="27" t="s">
        <v>45</v>
      </c>
      <c r="F38" s="27" t="s">
        <v>122</v>
      </c>
      <c r="G38" s="29">
        <v>500000</v>
      </c>
      <c r="H38" s="27">
        <v>12</v>
      </c>
      <c r="I38" s="27" t="s">
        <v>127</v>
      </c>
      <c r="J38" s="27" t="str">
        <f>"13652628860"</f>
        <v>13652628860</v>
      </c>
      <c r="K38" s="29" t="s">
        <v>35</v>
      </c>
      <c r="L38" s="27" t="s">
        <v>36</v>
      </c>
      <c r="M38" s="27"/>
      <c r="N38" s="27" t="s">
        <v>57</v>
      </c>
      <c r="O38" s="27">
        <v>0</v>
      </c>
      <c r="P38" s="27">
        <v>19325</v>
      </c>
      <c r="Q38" s="27">
        <v>19325</v>
      </c>
      <c r="R38" s="27">
        <v>0</v>
      </c>
      <c r="S38" s="27">
        <v>0</v>
      </c>
      <c r="T38" s="27"/>
      <c r="U38" s="30"/>
      <c r="V38" s="30"/>
      <c r="W38" s="27"/>
      <c r="X38" s="27"/>
      <c r="Y38" s="27" t="s">
        <v>127</v>
      </c>
      <c r="Z38" s="30"/>
      <c r="AA38" s="30"/>
      <c r="AB38" s="30"/>
    </row>
    <row r="39" s="28" customFormat="1">
      <c r="A39" s="27" t="s">
        <v>136</v>
      </c>
      <c r="B39" s="27" t="s">
        <v>30</v>
      </c>
      <c r="C39" s="27" t="s">
        <v>137</v>
      </c>
      <c r="D39" s="27" t="str">
        <f>"430523197602262125"</f>
        <v>430523197602262125</v>
      </c>
      <c r="E39" s="27" t="s">
        <v>45</v>
      </c>
      <c r="F39" s="27" t="s">
        <v>122</v>
      </c>
      <c r="G39" s="29">
        <v>160000</v>
      </c>
      <c r="H39" s="27">
        <v>24</v>
      </c>
      <c r="I39" s="27" t="s">
        <v>127</v>
      </c>
      <c r="J39" s="27" t="str">
        <f>"13428601673"</f>
        <v>13428601673</v>
      </c>
      <c r="K39" s="29" t="s">
        <v>35</v>
      </c>
      <c r="L39" s="27" t="s">
        <v>36</v>
      </c>
      <c r="M39" s="27"/>
      <c r="N39" s="27" t="s">
        <v>57</v>
      </c>
      <c r="O39" s="27">
        <v>0</v>
      </c>
      <c r="P39" s="27">
        <v>5356</v>
      </c>
      <c r="Q39" s="27">
        <v>5356</v>
      </c>
      <c r="R39" s="27">
        <v>0</v>
      </c>
      <c r="S39" s="27">
        <v>0</v>
      </c>
      <c r="T39" s="27"/>
      <c r="U39" s="30"/>
      <c r="V39" s="30"/>
      <c r="W39" s="27" t="s">
        <v>74</v>
      </c>
      <c r="X39" s="27" t="s">
        <v>75</v>
      </c>
      <c r="Y39" s="27" t="s">
        <v>127</v>
      </c>
      <c r="Z39" s="30"/>
      <c r="AA39" s="30"/>
      <c r="AB39" s="30"/>
    </row>
    <row r="40" s="28" customFormat="1">
      <c r="A40" s="27" t="s">
        <v>138</v>
      </c>
      <c r="B40" s="27" t="s">
        <v>30</v>
      </c>
      <c r="C40" s="27" t="s">
        <v>139</v>
      </c>
      <c r="D40" s="27" t="s">
        <v>140</v>
      </c>
      <c r="E40" s="27" t="s">
        <v>45</v>
      </c>
      <c r="F40" s="27" t="s">
        <v>122</v>
      </c>
      <c r="G40" s="29">
        <v>500000</v>
      </c>
      <c r="H40" s="27">
        <v>24</v>
      </c>
      <c r="I40" s="27" t="s">
        <v>127</v>
      </c>
      <c r="J40" s="27" t="str">
        <f>"13527990839"</f>
        <v>13527990839</v>
      </c>
      <c r="K40" s="29" t="s">
        <v>35</v>
      </c>
      <c r="L40" s="27" t="s">
        <v>36</v>
      </c>
      <c r="M40" s="27"/>
      <c r="N40" s="27" t="s">
        <v>57</v>
      </c>
      <c r="O40" s="27">
        <v>0</v>
      </c>
      <c r="P40" s="27">
        <v>50193</v>
      </c>
      <c r="Q40" s="27">
        <v>50193</v>
      </c>
      <c r="R40" s="27">
        <v>0</v>
      </c>
      <c r="S40" s="27">
        <v>0</v>
      </c>
      <c r="T40" s="27"/>
      <c r="U40" s="30"/>
      <c r="V40" s="30"/>
      <c r="W40" s="27" t="s">
        <v>74</v>
      </c>
      <c r="X40" s="27" t="s">
        <v>75</v>
      </c>
      <c r="Y40" s="27" t="s">
        <v>127</v>
      </c>
      <c r="Z40" s="30"/>
      <c r="AA40" s="30"/>
      <c r="AB40" s="30"/>
    </row>
    <row r="41" s="28" customFormat="1">
      <c r="A41" s="27" t="s">
        <v>141</v>
      </c>
      <c r="B41" s="27" t="s">
        <v>30</v>
      </c>
      <c r="C41" s="27" t="s">
        <v>133</v>
      </c>
      <c r="D41" s="27" t="str">
        <f>"441523196905026339"</f>
        <v>441523196905026339</v>
      </c>
      <c r="E41" s="27" t="s">
        <v>45</v>
      </c>
      <c r="F41" s="27" t="s">
        <v>122</v>
      </c>
      <c r="G41" s="29">
        <v>200000</v>
      </c>
      <c r="H41" s="27">
        <v>3</v>
      </c>
      <c r="I41" s="27" t="s">
        <v>127</v>
      </c>
      <c r="J41" s="27" t="str">
        <f>"13728722469"</f>
        <v>13728722469</v>
      </c>
      <c r="K41" s="29" t="s">
        <v>35</v>
      </c>
      <c r="L41" s="27" t="s">
        <v>36</v>
      </c>
      <c r="M41" s="27"/>
      <c r="N41" s="27" t="s">
        <v>57</v>
      </c>
      <c r="O41" s="27">
        <v>0</v>
      </c>
      <c r="P41" s="27">
        <v>8144</v>
      </c>
      <c r="Q41" s="27">
        <v>8144</v>
      </c>
      <c r="R41" s="27">
        <v>0</v>
      </c>
      <c r="S41" s="27">
        <v>0</v>
      </c>
      <c r="T41" s="27"/>
      <c r="U41" s="30"/>
      <c r="V41" s="30"/>
      <c r="W41" s="27"/>
      <c r="X41" s="27"/>
      <c r="Y41" s="27" t="s">
        <v>127</v>
      </c>
      <c r="Z41" s="30"/>
      <c r="AA41" s="30"/>
      <c r="AB41" s="30"/>
    </row>
    <row r="42" s="28" customFormat="1">
      <c r="A42" s="27" t="s">
        <v>142</v>
      </c>
      <c r="B42" s="27" t="s">
        <v>50</v>
      </c>
      <c r="C42" s="27" t="s">
        <v>143</v>
      </c>
      <c r="D42" s="27" t="str">
        <f>"430482198401218071"</f>
        <v>430482198401218071</v>
      </c>
      <c r="E42" s="27" t="s">
        <v>45</v>
      </c>
      <c r="F42" s="27" t="s">
        <v>122</v>
      </c>
      <c r="G42" s="29">
        <v>97000</v>
      </c>
      <c r="H42" s="27">
        <v>3</v>
      </c>
      <c r="I42" s="27" t="s">
        <v>127</v>
      </c>
      <c r="J42" s="27" t="str">
        <f>"13714524485"</f>
        <v>13714524485</v>
      </c>
      <c r="K42" s="29" t="s">
        <v>35</v>
      </c>
      <c r="L42" s="27" t="s">
        <v>36</v>
      </c>
      <c r="M42" s="27"/>
      <c r="N42" s="27" t="s">
        <v>57</v>
      </c>
      <c r="O42" s="27">
        <v>0</v>
      </c>
      <c r="P42" s="27">
        <v>4892</v>
      </c>
      <c r="Q42" s="27">
        <v>4892</v>
      </c>
      <c r="R42" s="27">
        <v>0</v>
      </c>
      <c r="S42" s="27">
        <v>0</v>
      </c>
      <c r="T42" s="27"/>
      <c r="U42" s="30"/>
      <c r="V42" s="30"/>
      <c r="W42" s="27"/>
      <c r="X42" s="27"/>
      <c r="Y42" s="27" t="s">
        <v>127</v>
      </c>
      <c r="Z42" s="30"/>
      <c r="AA42" s="30"/>
      <c r="AB42" s="30"/>
    </row>
    <row r="43" s="28" customFormat="1">
      <c r="A43" s="27" t="s">
        <v>144</v>
      </c>
      <c r="B43" s="27" t="s">
        <v>30</v>
      </c>
      <c r="C43" s="27" t="s">
        <v>145</v>
      </c>
      <c r="D43" s="27" t="str">
        <f>"441900197110250435"</f>
        <v>441900197110250435</v>
      </c>
      <c r="E43" s="27" t="s">
        <v>45</v>
      </c>
      <c r="F43" s="27" t="s">
        <v>122</v>
      </c>
      <c r="G43" s="29">
        <v>129000</v>
      </c>
      <c r="H43" s="27">
        <v>6</v>
      </c>
      <c r="I43" s="27" t="s">
        <v>127</v>
      </c>
      <c r="J43" s="27" t="str">
        <f>"13809269233"</f>
        <v>13809269233</v>
      </c>
      <c r="K43" s="29" t="s">
        <v>89</v>
      </c>
      <c r="L43" s="27" t="s">
        <v>47</v>
      </c>
      <c r="M43" s="27"/>
      <c r="N43" s="27" t="s">
        <v>57</v>
      </c>
      <c r="O43" s="27">
        <v>0</v>
      </c>
      <c r="P43" s="27">
        <v>4319</v>
      </c>
      <c r="Q43" s="27">
        <v>4319</v>
      </c>
      <c r="R43" s="27">
        <v>0</v>
      </c>
      <c r="S43" s="27">
        <v>0</v>
      </c>
      <c r="T43" s="27"/>
      <c r="U43" s="30"/>
      <c r="V43" s="30"/>
      <c r="W43" s="27" t="s">
        <v>74</v>
      </c>
      <c r="X43" s="27" t="s">
        <v>75</v>
      </c>
      <c r="Y43" s="27" t="s">
        <v>127</v>
      </c>
      <c r="Z43" s="30"/>
      <c r="AA43" s="30"/>
      <c r="AB43" s="30"/>
    </row>
    <row r="44" s="28" customFormat="1">
      <c r="A44" s="27" t="s">
        <v>146</v>
      </c>
      <c r="B44" s="27" t="s">
        <v>30</v>
      </c>
      <c r="C44" s="27" t="s">
        <v>147</v>
      </c>
      <c r="D44" s="27" t="str">
        <f>"421181198905217642"</f>
        <v>421181198905217642</v>
      </c>
      <c r="E44" s="27" t="s">
        <v>45</v>
      </c>
      <c r="F44" s="27" t="s">
        <v>122</v>
      </c>
      <c r="G44" s="29">
        <v>500000</v>
      </c>
      <c r="H44" s="27">
        <v>6</v>
      </c>
      <c r="I44" s="27" t="s">
        <v>127</v>
      </c>
      <c r="J44" s="27" t="str">
        <f>"18813383116"</f>
        <v>18813383116</v>
      </c>
      <c r="K44" s="29" t="s">
        <v>35</v>
      </c>
      <c r="L44" s="27" t="s">
        <v>36</v>
      </c>
      <c r="M44" s="27"/>
      <c r="N44" s="27" t="s">
        <v>57</v>
      </c>
      <c r="O44" s="27">
        <v>0</v>
      </c>
      <c r="P44" s="27">
        <v>22054</v>
      </c>
      <c r="Q44" s="27">
        <v>22054</v>
      </c>
      <c r="R44" s="27">
        <v>0</v>
      </c>
      <c r="S44" s="27">
        <v>0</v>
      </c>
      <c r="T44" s="27"/>
      <c r="U44" s="30"/>
      <c r="V44" s="30"/>
      <c r="W44" s="27"/>
      <c r="X44" s="27"/>
      <c r="Y44" s="27" t="s">
        <v>127</v>
      </c>
      <c r="Z44" s="30"/>
      <c r="AA44" s="30"/>
      <c r="AB44" s="30"/>
    </row>
    <row r="45" s="28" customFormat="1">
      <c r="A45" s="27" t="s">
        <v>148</v>
      </c>
      <c r="B45" s="27" t="s">
        <v>30</v>
      </c>
      <c r="C45" s="27" t="s">
        <v>149</v>
      </c>
      <c r="D45" s="27" t="str">
        <f>"445221198401221222"</f>
        <v>445221198401221222</v>
      </c>
      <c r="E45" s="27" t="s">
        <v>45</v>
      </c>
      <c r="F45" s="27" t="s">
        <v>122</v>
      </c>
      <c r="G45" s="29">
        <v>115000</v>
      </c>
      <c r="H45" s="27">
        <v>6</v>
      </c>
      <c r="I45" s="27" t="s">
        <v>127</v>
      </c>
      <c r="J45" s="27" t="str">
        <f>"13790488761"</f>
        <v>13790488761</v>
      </c>
      <c r="K45" s="29" t="s">
        <v>35</v>
      </c>
      <c r="L45" s="27" t="s">
        <v>36</v>
      </c>
      <c r="M45" s="27"/>
      <c r="N45" s="27" t="s">
        <v>57</v>
      </c>
      <c r="O45" s="27">
        <v>0</v>
      </c>
      <c r="P45" s="27">
        <v>3844</v>
      </c>
      <c r="Q45" s="27">
        <v>3844</v>
      </c>
      <c r="R45" s="27">
        <v>0</v>
      </c>
      <c r="S45" s="27">
        <v>0</v>
      </c>
      <c r="T45" s="27"/>
      <c r="U45" s="30"/>
      <c r="V45" s="30"/>
      <c r="W45" s="27" t="s">
        <v>74</v>
      </c>
      <c r="X45" s="27" t="s">
        <v>75</v>
      </c>
      <c r="Y45" s="27" t="s">
        <v>127</v>
      </c>
      <c r="Z45" s="30"/>
      <c r="AA45" s="30"/>
      <c r="AB45" s="30"/>
    </row>
    <row r="46" s="28" customFormat="1">
      <c r="A46" s="27" t="s">
        <v>150</v>
      </c>
      <c r="B46" s="27" t="s">
        <v>30</v>
      </c>
      <c r="C46" s="27" t="s">
        <v>151</v>
      </c>
      <c r="D46" s="27" t="str">
        <f>"512927197702113361"</f>
        <v>512927197702113361</v>
      </c>
      <c r="E46" s="27" t="s">
        <v>45</v>
      </c>
      <c r="F46" s="27" t="s">
        <v>122</v>
      </c>
      <c r="G46" s="29">
        <v>260000</v>
      </c>
      <c r="H46" s="27">
        <v>6</v>
      </c>
      <c r="I46" s="27" t="s">
        <v>127</v>
      </c>
      <c r="J46" s="27" t="str">
        <f>"18028090487"</f>
        <v>18028090487</v>
      </c>
      <c r="K46" s="29" t="s">
        <v>35</v>
      </c>
      <c r="L46" s="27" t="s">
        <v>36</v>
      </c>
      <c r="M46" s="27"/>
      <c r="N46" s="27" t="s">
        <v>57</v>
      </c>
      <c r="O46" s="27">
        <v>0</v>
      </c>
      <c r="P46" s="27">
        <v>8703</v>
      </c>
      <c r="Q46" s="27">
        <v>8703</v>
      </c>
      <c r="R46" s="27">
        <v>0</v>
      </c>
      <c r="S46" s="27">
        <v>0</v>
      </c>
      <c r="T46" s="27"/>
      <c r="U46" s="30"/>
      <c r="V46" s="30"/>
      <c r="W46" s="27" t="s">
        <v>108</v>
      </c>
      <c r="X46" s="27" t="s">
        <v>109</v>
      </c>
      <c r="Y46" s="27" t="s">
        <v>127</v>
      </c>
      <c r="Z46" s="30"/>
      <c r="AA46" s="30"/>
      <c r="AB46" s="30"/>
    </row>
    <row r="47" s="28" customFormat="1">
      <c r="A47" s="27" t="s">
        <v>152</v>
      </c>
      <c r="B47" s="27" t="s">
        <v>30</v>
      </c>
      <c r="C47" s="27" t="s">
        <v>153</v>
      </c>
      <c r="D47" s="27" t="str">
        <f>"411381198402206203"</f>
        <v>411381198402206203</v>
      </c>
      <c r="E47" s="27" t="s">
        <v>45</v>
      </c>
      <c r="F47" s="27" t="s">
        <v>122</v>
      </c>
      <c r="G47" s="29">
        <v>145000</v>
      </c>
      <c r="H47" s="27">
        <v>6</v>
      </c>
      <c r="I47" s="27" t="s">
        <v>127</v>
      </c>
      <c r="J47" s="27" t="str">
        <f>"18002743888"</f>
        <v>18002743888</v>
      </c>
      <c r="K47" s="29" t="s">
        <v>35</v>
      </c>
      <c r="L47" s="27" t="s">
        <v>36</v>
      </c>
      <c r="M47" s="27"/>
      <c r="N47" s="27" t="s">
        <v>57</v>
      </c>
      <c r="O47" s="27">
        <v>0</v>
      </c>
      <c r="P47" s="27">
        <v>10129</v>
      </c>
      <c r="Q47" s="27">
        <v>10129</v>
      </c>
      <c r="R47" s="27">
        <v>0</v>
      </c>
      <c r="S47" s="27">
        <v>0</v>
      </c>
      <c r="T47" s="27"/>
      <c r="U47" s="30"/>
      <c r="V47" s="30"/>
      <c r="W47" s="27"/>
      <c r="X47" s="27"/>
      <c r="Y47" s="27" t="s">
        <v>127</v>
      </c>
      <c r="Z47" s="30"/>
      <c r="AA47" s="30"/>
      <c r="AB47" s="30"/>
    </row>
    <row r="48" s="28" customFormat="1">
      <c r="A48" s="27" t="s">
        <v>154</v>
      </c>
      <c r="B48" s="27" t="s">
        <v>30</v>
      </c>
      <c r="C48" s="27" t="s">
        <v>155</v>
      </c>
      <c r="D48" s="27" t="str">
        <f>"362301198210115045"</f>
        <v>362301198210115045</v>
      </c>
      <c r="E48" s="27" t="s">
        <v>45</v>
      </c>
      <c r="F48" s="27" t="s">
        <v>122</v>
      </c>
      <c r="G48" s="29">
        <v>300000</v>
      </c>
      <c r="H48" s="27">
        <v>6</v>
      </c>
      <c r="I48" s="27" t="s">
        <v>127</v>
      </c>
      <c r="J48" s="27" t="str">
        <f>"13342607784"</f>
        <v>13342607784</v>
      </c>
      <c r="K48" s="29" t="s">
        <v>35</v>
      </c>
      <c r="L48" s="27" t="s">
        <v>36</v>
      </c>
      <c r="M48" s="27" t="s">
        <v>156</v>
      </c>
      <c r="N48" s="27" t="s">
        <v>57</v>
      </c>
      <c r="O48" s="27">
        <v>0</v>
      </c>
      <c r="P48" s="27">
        <v>13850</v>
      </c>
      <c r="Q48" s="27">
        <v>13850</v>
      </c>
      <c r="R48" s="27">
        <v>0</v>
      </c>
      <c r="S48" s="27">
        <v>20000</v>
      </c>
      <c r="T48" s="27"/>
      <c r="U48" s="30"/>
      <c r="V48" s="30"/>
      <c r="W48" s="27" t="s">
        <v>74</v>
      </c>
      <c r="X48" s="27" t="s">
        <v>75</v>
      </c>
      <c r="Y48" s="27" t="s">
        <v>127</v>
      </c>
      <c r="Z48" s="30"/>
      <c r="AA48" s="30"/>
      <c r="AB48" s="30"/>
    </row>
    <row r="49" s="28" customFormat="1">
      <c r="A49" s="27" t="s">
        <v>157</v>
      </c>
      <c r="B49" s="27" t="s">
        <v>30</v>
      </c>
      <c r="C49" s="27" t="s">
        <v>158</v>
      </c>
      <c r="D49" s="27" t="str">
        <f>"500106198411193125"</f>
        <v>500106198411193125</v>
      </c>
      <c r="E49" s="27" t="s">
        <v>45</v>
      </c>
      <c r="F49" s="27" t="s">
        <v>122</v>
      </c>
      <c r="G49" s="29">
        <v>176000</v>
      </c>
      <c r="H49" s="27">
        <v>6</v>
      </c>
      <c r="I49" s="27" t="s">
        <v>127</v>
      </c>
      <c r="J49" s="27" t="str">
        <f>"18602339229"</f>
        <v>18602339229</v>
      </c>
      <c r="K49" s="29" t="s">
        <v>35</v>
      </c>
      <c r="L49" s="27" t="s">
        <v>47</v>
      </c>
      <c r="M49" s="27"/>
      <c r="N49" s="27" t="s">
        <v>57</v>
      </c>
      <c r="O49" s="27">
        <v>0</v>
      </c>
      <c r="P49" s="27">
        <v>8408</v>
      </c>
      <c r="Q49" s="27">
        <v>8408</v>
      </c>
      <c r="R49" s="27">
        <v>0</v>
      </c>
      <c r="S49" s="27">
        <v>0</v>
      </c>
      <c r="T49" s="27"/>
      <c r="U49" s="30"/>
      <c r="V49" s="30"/>
      <c r="W49" s="27" t="s">
        <v>159</v>
      </c>
      <c r="X49" s="27" t="s">
        <v>160</v>
      </c>
      <c r="Y49" s="27" t="s">
        <v>127</v>
      </c>
      <c r="Z49" s="30"/>
      <c r="AA49" s="30"/>
      <c r="AB49" s="30"/>
    </row>
    <row r="50" s="28" customFormat="1">
      <c r="A50" s="27" t="s">
        <v>161</v>
      </c>
      <c r="B50" s="27" t="s">
        <v>30</v>
      </c>
      <c r="C50" s="27" t="s">
        <v>162</v>
      </c>
      <c r="D50" s="27" t="str">
        <f>"130531198212241437"</f>
        <v>130531198212241437</v>
      </c>
      <c r="E50" s="27" t="s">
        <v>45</v>
      </c>
      <c r="F50" s="27" t="s">
        <v>122</v>
      </c>
      <c r="G50" s="29">
        <v>500000</v>
      </c>
      <c r="H50" s="27">
        <v>36</v>
      </c>
      <c r="I50" s="27" t="s">
        <v>127</v>
      </c>
      <c r="J50" s="27" t="str">
        <f>"13923790299"</f>
        <v>13923790299</v>
      </c>
      <c r="K50" s="29" t="s">
        <v>35</v>
      </c>
      <c r="L50" s="27" t="s">
        <v>36</v>
      </c>
      <c r="M50" s="27"/>
      <c r="N50" s="27" t="s">
        <v>57</v>
      </c>
      <c r="O50" s="27">
        <v>0</v>
      </c>
      <c r="P50" s="27">
        <v>19966</v>
      </c>
      <c r="Q50" s="27">
        <v>19966</v>
      </c>
      <c r="R50" s="27">
        <v>0</v>
      </c>
      <c r="S50" s="27">
        <v>0</v>
      </c>
      <c r="T50" s="27"/>
      <c r="U50" s="30"/>
      <c r="V50" s="30"/>
      <c r="W50" s="27" t="s">
        <v>40</v>
      </c>
      <c r="X50" s="27" t="s">
        <v>41</v>
      </c>
      <c r="Y50" s="27" t="s">
        <v>127</v>
      </c>
      <c r="Z50" s="30"/>
      <c r="AA50" s="30"/>
      <c r="AB50" s="30"/>
    </row>
    <row r="51" s="28" customFormat="1">
      <c r="A51" s="27" t="s">
        <v>163</v>
      </c>
      <c r="B51" s="27" t="s">
        <v>30</v>
      </c>
      <c r="C51" s="27" t="s">
        <v>164</v>
      </c>
      <c r="D51" s="27" t="str">
        <f>"430528198209163071"</f>
        <v>430528198209163071</v>
      </c>
      <c r="E51" s="27" t="s">
        <v>45</v>
      </c>
      <c r="F51" s="27" t="s">
        <v>122</v>
      </c>
      <c r="G51" s="29">
        <v>225000</v>
      </c>
      <c r="H51" s="27">
        <v>36</v>
      </c>
      <c r="I51" s="27" t="s">
        <v>127</v>
      </c>
      <c r="J51" s="27" t="str">
        <f>"13717343508"</f>
        <v>13717343508</v>
      </c>
      <c r="K51" s="29" t="s">
        <v>35</v>
      </c>
      <c r="L51" s="27" t="s">
        <v>36</v>
      </c>
      <c r="M51" s="27"/>
      <c r="N51" s="27" t="s">
        <v>57</v>
      </c>
      <c r="O51" s="27">
        <v>0</v>
      </c>
      <c r="P51" s="27">
        <v>5023</v>
      </c>
      <c r="Q51" s="27">
        <v>5023</v>
      </c>
      <c r="R51" s="27">
        <v>0</v>
      </c>
      <c r="S51" s="27">
        <v>0</v>
      </c>
      <c r="T51" s="27"/>
      <c r="U51" s="30"/>
      <c r="V51" s="30"/>
      <c r="W51" s="27"/>
      <c r="X51" s="27"/>
      <c r="Y51" s="27" t="s">
        <v>127</v>
      </c>
      <c r="Z51" s="30"/>
      <c r="AA51" s="30"/>
      <c r="AB51" s="30"/>
    </row>
    <row r="52" s="28" customFormat="1">
      <c r="A52" s="27" t="s">
        <v>165</v>
      </c>
      <c r="B52" s="27" t="s">
        <v>50</v>
      </c>
      <c r="C52" s="27" t="s">
        <v>166</v>
      </c>
      <c r="D52" s="27" t="str">
        <f>"220105197401120610"</f>
        <v>220105197401120610</v>
      </c>
      <c r="E52" s="27" t="s">
        <v>45</v>
      </c>
      <c r="F52" s="27" t="s">
        <v>122</v>
      </c>
      <c r="G52" s="29">
        <v>297000</v>
      </c>
      <c r="H52" s="27">
        <v>36</v>
      </c>
      <c r="I52" s="27" t="s">
        <v>127</v>
      </c>
      <c r="J52" s="27" t="str">
        <f>"15986600091"</f>
        <v>15986600091</v>
      </c>
      <c r="K52" s="29" t="s">
        <v>35</v>
      </c>
      <c r="L52" s="27" t="s">
        <v>36</v>
      </c>
      <c r="M52" s="27"/>
      <c r="N52" s="27" t="s">
        <v>57</v>
      </c>
      <c r="O52" s="27">
        <v>0</v>
      </c>
      <c r="P52" s="27">
        <v>9912</v>
      </c>
      <c r="Q52" s="27">
        <v>9912</v>
      </c>
      <c r="R52" s="27">
        <v>0</v>
      </c>
      <c r="S52" s="27">
        <v>0</v>
      </c>
      <c r="T52" s="27"/>
      <c r="U52" s="30"/>
      <c r="V52" s="30"/>
      <c r="W52" s="27"/>
      <c r="X52" s="27"/>
      <c r="Y52" s="27" t="s">
        <v>127</v>
      </c>
      <c r="Z52" s="30"/>
      <c r="AA52" s="30"/>
      <c r="AB52" s="30"/>
    </row>
    <row r="53" s="28" customFormat="1">
      <c r="A53" s="27" t="s">
        <v>167</v>
      </c>
      <c r="B53" s="27" t="s">
        <v>50</v>
      </c>
      <c r="C53" s="27" t="s">
        <v>168</v>
      </c>
      <c r="D53" s="27" t="str">
        <f>"500382198708118051"</f>
        <v>500382198708118051</v>
      </c>
      <c r="E53" s="27" t="s">
        <v>45</v>
      </c>
      <c r="F53" s="27" t="s">
        <v>122</v>
      </c>
      <c r="G53" s="29">
        <v>137000</v>
      </c>
      <c r="H53" s="27">
        <v>36</v>
      </c>
      <c r="I53" s="27" t="s">
        <v>127</v>
      </c>
      <c r="J53" s="27" t="str">
        <f>"18725937985"</f>
        <v>18725937985</v>
      </c>
      <c r="K53" s="29" t="s">
        <v>35</v>
      </c>
      <c r="L53" s="27" t="s">
        <v>47</v>
      </c>
      <c r="M53" s="27"/>
      <c r="N53" s="27" t="s">
        <v>57</v>
      </c>
      <c r="O53" s="27">
        <v>0</v>
      </c>
      <c r="P53" s="27">
        <v>4575</v>
      </c>
      <c r="Q53" s="27">
        <v>4575</v>
      </c>
      <c r="R53" s="27">
        <v>0</v>
      </c>
      <c r="S53" s="27">
        <v>0</v>
      </c>
      <c r="T53" s="27"/>
      <c r="U53" s="30"/>
      <c r="V53" s="30"/>
      <c r="W53" s="27"/>
      <c r="X53" s="27"/>
      <c r="Y53" s="27" t="s">
        <v>127</v>
      </c>
      <c r="Z53" s="30"/>
      <c r="AA53" s="30"/>
      <c r="AB53" s="30"/>
    </row>
    <row r="54" s="28" customFormat="1">
      <c r="A54" s="27" t="s">
        <v>169</v>
      </c>
      <c r="B54" s="27" t="s">
        <v>30</v>
      </c>
      <c r="C54" s="27" t="s">
        <v>170</v>
      </c>
      <c r="D54" s="27" t="str">
        <f>"440182198810251556"</f>
        <v>440182198810251556</v>
      </c>
      <c r="E54" s="27" t="s">
        <v>45</v>
      </c>
      <c r="F54" s="27" t="s">
        <v>122</v>
      </c>
      <c r="G54" s="29">
        <v>246000</v>
      </c>
      <c r="H54" s="27">
        <v>36</v>
      </c>
      <c r="I54" s="27" t="s">
        <v>127</v>
      </c>
      <c r="J54" s="27" t="str">
        <f>"13533333321"</f>
        <v>13533333321</v>
      </c>
      <c r="K54" s="29" t="s">
        <v>35</v>
      </c>
      <c r="L54" s="27" t="s">
        <v>47</v>
      </c>
      <c r="M54" s="27"/>
      <c r="N54" s="27" t="s">
        <v>57</v>
      </c>
      <c r="O54" s="27">
        <v>0</v>
      </c>
      <c r="P54" s="27">
        <v>8231</v>
      </c>
      <c r="Q54" s="27">
        <v>8231</v>
      </c>
      <c r="R54" s="27">
        <v>0</v>
      </c>
      <c r="S54" s="27">
        <v>0</v>
      </c>
      <c r="T54" s="27"/>
      <c r="U54" s="30"/>
      <c r="V54" s="30"/>
      <c r="W54" s="27" t="s">
        <v>108</v>
      </c>
      <c r="X54" s="27" t="s">
        <v>109</v>
      </c>
      <c r="Y54" s="27" t="s">
        <v>127</v>
      </c>
      <c r="Z54" s="30"/>
      <c r="AA54" s="30"/>
      <c r="AB54" s="30"/>
    </row>
    <row r="55" s="28" customFormat="1">
      <c r="A55" s="27" t="s">
        <v>171</v>
      </c>
      <c r="B55" s="27" t="s">
        <v>30</v>
      </c>
      <c r="C55" s="27" t="s">
        <v>172</v>
      </c>
      <c r="D55" s="27" t="str">
        <f>"362226198509223624"</f>
        <v>362226198509223624</v>
      </c>
      <c r="E55" s="27" t="s">
        <v>45</v>
      </c>
      <c r="F55" s="27" t="s">
        <v>122</v>
      </c>
      <c r="G55" s="29">
        <v>108000</v>
      </c>
      <c r="H55" s="27">
        <v>36</v>
      </c>
      <c r="I55" s="27" t="s">
        <v>127</v>
      </c>
      <c r="J55" s="27" t="str">
        <f>"18122929077"</f>
        <v>18122929077</v>
      </c>
      <c r="K55" s="29" t="s">
        <v>35</v>
      </c>
      <c r="L55" s="27" t="s">
        <v>36</v>
      </c>
      <c r="M55" s="27"/>
      <c r="N55" s="27" t="s">
        <v>57</v>
      </c>
      <c r="O55" s="27">
        <v>0</v>
      </c>
      <c r="P55" s="27">
        <v>3602</v>
      </c>
      <c r="Q55" s="27">
        <v>3602</v>
      </c>
      <c r="R55" s="27">
        <v>0</v>
      </c>
      <c r="S55" s="27">
        <v>0</v>
      </c>
      <c r="T55" s="27"/>
      <c r="U55" s="30"/>
      <c r="V55" s="30"/>
      <c r="W55" s="27" t="s">
        <v>74</v>
      </c>
      <c r="X55" s="27" t="s">
        <v>75</v>
      </c>
      <c r="Y55" s="27" t="s">
        <v>127</v>
      </c>
      <c r="Z55" s="30"/>
      <c r="AA55" s="30"/>
      <c r="AB55" s="30"/>
    </row>
    <row r="56" s="28" customFormat="1">
      <c r="A56" s="27" t="s">
        <v>173</v>
      </c>
      <c r="B56" s="27" t="s">
        <v>30</v>
      </c>
      <c r="C56" s="27" t="s">
        <v>174</v>
      </c>
      <c r="D56" s="27" t="str">
        <f>"650108198411261920"</f>
        <v>650108198411261920</v>
      </c>
      <c r="E56" s="27" t="s">
        <v>45</v>
      </c>
      <c r="F56" s="27" t="s">
        <v>122</v>
      </c>
      <c r="G56" s="29">
        <v>500000</v>
      </c>
      <c r="H56" s="27">
        <v>36</v>
      </c>
      <c r="I56" s="27" t="s">
        <v>127</v>
      </c>
      <c r="J56" s="27" t="str">
        <f>"13822118282"</f>
        <v>13822118282</v>
      </c>
      <c r="K56" s="29" t="s">
        <v>35</v>
      </c>
      <c r="L56" s="27" t="s">
        <v>36</v>
      </c>
      <c r="M56" s="27"/>
      <c r="N56" s="27" t="s">
        <v>57</v>
      </c>
      <c r="O56" s="27">
        <v>0</v>
      </c>
      <c r="P56" s="27">
        <v>18738</v>
      </c>
      <c r="Q56" s="27">
        <v>18738</v>
      </c>
      <c r="R56" s="27">
        <v>0</v>
      </c>
      <c r="S56" s="27">
        <v>0</v>
      </c>
      <c r="T56" s="27"/>
      <c r="U56" s="30"/>
      <c r="V56" s="30"/>
      <c r="W56" s="27" t="s">
        <v>108</v>
      </c>
      <c r="X56" s="27" t="s">
        <v>109</v>
      </c>
      <c r="Y56" s="27" t="s">
        <v>127</v>
      </c>
      <c r="Z56" s="30"/>
      <c r="AA56" s="30"/>
      <c r="AB56" s="30"/>
    </row>
    <row r="57" s="28" customFormat="1">
      <c r="A57" s="27" t="s">
        <v>175</v>
      </c>
      <c r="B57" s="27" t="s">
        <v>50</v>
      </c>
      <c r="C57" s="27" t="s">
        <v>176</v>
      </c>
      <c r="D57" s="27" t="str">
        <f>"360421198904222848"</f>
        <v>360421198904222848</v>
      </c>
      <c r="E57" s="27" t="s">
        <v>45</v>
      </c>
      <c r="F57" s="27" t="s">
        <v>122</v>
      </c>
      <c r="G57" s="29">
        <v>67000</v>
      </c>
      <c r="H57" s="27">
        <v>36</v>
      </c>
      <c r="I57" s="27" t="s">
        <v>127</v>
      </c>
      <c r="J57" s="27" t="str">
        <f>"13590247093"</f>
        <v>13590247093</v>
      </c>
      <c r="K57" s="29" t="s">
        <v>68</v>
      </c>
      <c r="L57" s="27" t="s">
        <v>36</v>
      </c>
      <c r="M57" s="27"/>
      <c r="N57" s="27" t="s">
        <v>57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/>
      <c r="U57" s="30"/>
      <c r="V57" s="30"/>
      <c r="W57" s="27" t="s">
        <v>40</v>
      </c>
      <c r="X57" s="27" t="s">
        <v>41</v>
      </c>
      <c r="Y57" s="27" t="s">
        <v>127</v>
      </c>
      <c r="Z57" s="30"/>
      <c r="AA57" s="30"/>
      <c r="AB57" s="30"/>
    </row>
    <row r="58" s="28" customFormat="1">
      <c r="A58" s="27" t="s">
        <v>177</v>
      </c>
      <c r="B58" s="27" t="s">
        <v>30</v>
      </c>
      <c r="C58" s="27" t="s">
        <v>178</v>
      </c>
      <c r="D58" s="27" t="str">
        <f>"445224196909124239"</f>
        <v>445224196909124239</v>
      </c>
      <c r="E58" s="27" t="s">
        <v>45</v>
      </c>
      <c r="F58" s="27" t="s">
        <v>122</v>
      </c>
      <c r="G58" s="29">
        <v>500000</v>
      </c>
      <c r="H58" s="27">
        <v>36</v>
      </c>
      <c r="I58" s="27" t="s">
        <v>127</v>
      </c>
      <c r="J58" s="27" t="str">
        <f>"13138883888"</f>
        <v>13138883888</v>
      </c>
      <c r="K58" s="29" t="s">
        <v>35</v>
      </c>
      <c r="L58" s="27" t="s">
        <v>47</v>
      </c>
      <c r="M58" s="27"/>
      <c r="N58" s="27" t="s">
        <v>57</v>
      </c>
      <c r="O58" s="27">
        <v>0</v>
      </c>
      <c r="P58" s="27">
        <v>46961</v>
      </c>
      <c r="Q58" s="27">
        <v>46961</v>
      </c>
      <c r="R58" s="27">
        <v>0</v>
      </c>
      <c r="S58" s="27">
        <v>0</v>
      </c>
      <c r="T58" s="27"/>
      <c r="U58" s="30"/>
      <c r="V58" s="30"/>
      <c r="W58" s="27"/>
      <c r="X58" s="27"/>
      <c r="Y58" s="27" t="s">
        <v>127</v>
      </c>
      <c r="Z58" s="30"/>
      <c r="AA58" s="30"/>
      <c r="AB58" s="30"/>
    </row>
    <row r="59" s="28" customFormat="1">
      <c r="A59" s="27" t="s">
        <v>179</v>
      </c>
      <c r="B59" s="27" t="s">
        <v>30</v>
      </c>
      <c r="C59" s="27" t="s">
        <v>180</v>
      </c>
      <c r="D59" s="27" t="str">
        <f>"500106198409032111"</f>
        <v>500106198409032111</v>
      </c>
      <c r="E59" s="27" t="s">
        <v>45</v>
      </c>
      <c r="F59" s="27" t="s">
        <v>122</v>
      </c>
      <c r="G59" s="29">
        <v>500000</v>
      </c>
      <c r="H59" s="27">
        <v>36</v>
      </c>
      <c r="I59" s="27" t="s">
        <v>127</v>
      </c>
      <c r="J59" s="27" t="str">
        <f>"13883840689"</f>
        <v>13883840689</v>
      </c>
      <c r="K59" s="29" t="s">
        <v>35</v>
      </c>
      <c r="L59" s="27" t="s">
        <v>47</v>
      </c>
      <c r="M59" s="27"/>
      <c r="N59" s="27" t="s">
        <v>57</v>
      </c>
      <c r="O59" s="27">
        <v>0</v>
      </c>
      <c r="P59" s="27">
        <v>16773</v>
      </c>
      <c r="Q59" s="27">
        <v>16773</v>
      </c>
      <c r="R59" s="27">
        <v>0</v>
      </c>
      <c r="S59" s="27">
        <v>0</v>
      </c>
      <c r="T59" s="27"/>
      <c r="U59" s="30"/>
      <c r="V59" s="30"/>
      <c r="W59" s="27" t="s">
        <v>159</v>
      </c>
      <c r="X59" s="27" t="s">
        <v>160</v>
      </c>
      <c r="Y59" s="27" t="s">
        <v>127</v>
      </c>
      <c r="Z59" s="30"/>
      <c r="AA59" s="30"/>
      <c r="AB59" s="30"/>
    </row>
    <row r="60" s="28" customFormat="1">
      <c r="A60" s="27" t="s">
        <v>181</v>
      </c>
      <c r="B60" s="27" t="s">
        <v>30</v>
      </c>
      <c r="C60" s="27" t="s">
        <v>182</v>
      </c>
      <c r="D60" s="27" t="str">
        <f>"500235198602148172"</f>
        <v>500235198602148172</v>
      </c>
      <c r="E60" s="27" t="s">
        <v>45</v>
      </c>
      <c r="F60" s="27" t="s">
        <v>122</v>
      </c>
      <c r="G60" s="29">
        <v>186000</v>
      </c>
      <c r="H60" s="27">
        <v>36</v>
      </c>
      <c r="I60" s="27" t="s">
        <v>127</v>
      </c>
      <c r="J60" s="27" t="str">
        <f>"15520022228"</f>
        <v>15520022228</v>
      </c>
      <c r="K60" s="29" t="s">
        <v>68</v>
      </c>
      <c r="L60" s="27" t="s">
        <v>47</v>
      </c>
      <c r="M60" s="27"/>
      <c r="N60" s="27" t="s">
        <v>57</v>
      </c>
      <c r="O60" s="27">
        <v>0</v>
      </c>
      <c r="P60" s="27">
        <v>6212</v>
      </c>
      <c r="Q60" s="27">
        <v>6212</v>
      </c>
      <c r="R60" s="27">
        <v>0</v>
      </c>
      <c r="S60" s="27">
        <v>0</v>
      </c>
      <c r="T60" s="27"/>
      <c r="U60" s="30"/>
      <c r="V60" s="30"/>
      <c r="W60" s="27" t="s">
        <v>159</v>
      </c>
      <c r="X60" s="27" t="s">
        <v>160</v>
      </c>
      <c r="Y60" s="27" t="s">
        <v>127</v>
      </c>
      <c r="Z60" s="30"/>
      <c r="AA60" s="30"/>
      <c r="AB60" s="30"/>
    </row>
    <row r="61" s="28" customFormat="1">
      <c r="A61" s="27" t="s">
        <v>183</v>
      </c>
      <c r="B61" s="27" t="s">
        <v>30</v>
      </c>
      <c r="C61" s="27" t="s">
        <v>184</v>
      </c>
      <c r="D61" s="27" t="str">
        <f>"429001198206158161"</f>
        <v>429001198206158161</v>
      </c>
      <c r="E61" s="27" t="s">
        <v>45</v>
      </c>
      <c r="F61" s="27" t="s">
        <v>122</v>
      </c>
      <c r="G61" s="29">
        <v>500000</v>
      </c>
      <c r="H61" s="27">
        <v>36</v>
      </c>
      <c r="I61" s="27" t="s">
        <v>127</v>
      </c>
      <c r="J61" s="27" t="str">
        <f>"13714041916"</f>
        <v>13714041916</v>
      </c>
      <c r="K61" s="29" t="s">
        <v>89</v>
      </c>
      <c r="L61" s="27" t="s">
        <v>36</v>
      </c>
      <c r="M61" s="27"/>
      <c r="N61" s="27" t="s">
        <v>57</v>
      </c>
      <c r="O61" s="27">
        <v>0</v>
      </c>
      <c r="P61" s="27">
        <v>43258</v>
      </c>
      <c r="Q61" s="27">
        <v>43258</v>
      </c>
      <c r="R61" s="27">
        <v>0</v>
      </c>
      <c r="S61" s="27">
        <v>0</v>
      </c>
      <c r="T61" s="27"/>
      <c r="U61" s="30"/>
      <c r="V61" s="30"/>
      <c r="W61" s="27"/>
      <c r="X61" s="27"/>
      <c r="Y61" s="27" t="s">
        <v>127</v>
      </c>
      <c r="Z61" s="30"/>
      <c r="AA61" s="30"/>
      <c r="AB61" s="30"/>
    </row>
    <row r="62" s="28" customFormat="1">
      <c r="A62" s="27" t="s">
        <v>185</v>
      </c>
      <c r="B62" s="27" t="s">
        <v>30</v>
      </c>
      <c r="C62" s="27" t="s">
        <v>186</v>
      </c>
      <c r="D62" s="27" t="str">
        <f>"362227198210072231"</f>
        <v>362227198210072231</v>
      </c>
      <c r="E62" s="27" t="s">
        <v>45</v>
      </c>
      <c r="F62" s="27" t="s">
        <v>122</v>
      </c>
      <c r="G62" s="29">
        <v>500000</v>
      </c>
      <c r="H62" s="27">
        <v>36</v>
      </c>
      <c r="I62" s="27" t="s">
        <v>127</v>
      </c>
      <c r="J62" s="27" t="str">
        <f>"18088888600"</f>
        <v>18088888600</v>
      </c>
      <c r="K62" s="29" t="s">
        <v>68</v>
      </c>
      <c r="L62" s="27" t="s">
        <v>36</v>
      </c>
      <c r="M62" s="27"/>
      <c r="N62" s="27" t="s">
        <v>57</v>
      </c>
      <c r="O62" s="27">
        <v>0</v>
      </c>
      <c r="P62" s="27">
        <v>1095742</v>
      </c>
      <c r="Q62" s="27">
        <v>1095742</v>
      </c>
      <c r="R62" s="27">
        <v>0</v>
      </c>
      <c r="S62" s="27">
        <v>0</v>
      </c>
      <c r="T62" s="27"/>
      <c r="U62" s="30"/>
      <c r="V62" s="30"/>
      <c r="W62" s="27"/>
      <c r="X62" s="27"/>
      <c r="Y62" s="27" t="s">
        <v>127</v>
      </c>
      <c r="Z62" s="30"/>
      <c r="AA62" s="30"/>
      <c r="AB62" s="30"/>
    </row>
    <row r="63" s="28" customFormat="1">
      <c r="A63" s="27" t="s">
        <v>187</v>
      </c>
      <c r="B63" s="27" t="s">
        <v>30</v>
      </c>
      <c r="C63" s="27" t="s">
        <v>188</v>
      </c>
      <c r="D63" s="27" t="str">
        <f>"441502198110120249"</f>
        <v>441502198110120249</v>
      </c>
      <c r="E63" s="27" t="s">
        <v>45</v>
      </c>
      <c r="F63" s="27" t="s">
        <v>122</v>
      </c>
      <c r="G63" s="29">
        <v>127000</v>
      </c>
      <c r="H63" s="27">
        <v>36</v>
      </c>
      <c r="I63" s="27" t="s">
        <v>127</v>
      </c>
      <c r="J63" s="27" t="str">
        <f>"13418676496"</f>
        <v>13418676496</v>
      </c>
      <c r="K63" s="29" t="s">
        <v>35</v>
      </c>
      <c r="L63" s="27" t="s">
        <v>36</v>
      </c>
      <c r="M63" s="27"/>
      <c r="N63" s="27" t="s">
        <v>57</v>
      </c>
      <c r="O63" s="27">
        <v>0</v>
      </c>
      <c r="P63" s="27">
        <v>8577</v>
      </c>
      <c r="Q63" s="27">
        <v>8577</v>
      </c>
      <c r="R63" s="27">
        <v>0</v>
      </c>
      <c r="S63" s="27">
        <v>0</v>
      </c>
      <c r="T63" s="27"/>
      <c r="U63" s="30"/>
      <c r="V63" s="30"/>
      <c r="W63" s="27"/>
      <c r="X63" s="27"/>
      <c r="Y63" s="27" t="s">
        <v>127</v>
      </c>
      <c r="Z63" s="30"/>
      <c r="AA63" s="30"/>
      <c r="AB63" s="30"/>
    </row>
    <row r="64" s="28" customFormat="1">
      <c r="A64" s="27" t="s">
        <v>189</v>
      </c>
      <c r="B64" s="27" t="s">
        <v>30</v>
      </c>
      <c r="C64" s="27" t="s">
        <v>190</v>
      </c>
      <c r="D64" s="27" t="s">
        <v>191</v>
      </c>
      <c r="E64" s="27" t="s">
        <v>45</v>
      </c>
      <c r="F64" s="27" t="s">
        <v>122</v>
      </c>
      <c r="G64" s="29">
        <v>200000</v>
      </c>
      <c r="H64" s="27">
        <v>36</v>
      </c>
      <c r="I64" s="27" t="s">
        <v>127</v>
      </c>
      <c r="J64" s="27" t="str">
        <f>"13929898606"</f>
        <v>13929898606</v>
      </c>
      <c r="K64" s="29" t="s">
        <v>89</v>
      </c>
      <c r="L64" s="27" t="s">
        <v>47</v>
      </c>
      <c r="M64" s="27"/>
      <c r="N64" s="27" t="s">
        <v>57</v>
      </c>
      <c r="O64" s="27">
        <v>0</v>
      </c>
      <c r="P64" s="27">
        <v>7560</v>
      </c>
      <c r="Q64" s="27">
        <v>7560</v>
      </c>
      <c r="R64" s="27">
        <v>0</v>
      </c>
      <c r="S64" s="27">
        <v>0</v>
      </c>
      <c r="T64" s="27"/>
      <c r="U64" s="30"/>
      <c r="V64" s="30"/>
      <c r="W64" s="27"/>
      <c r="X64" s="27"/>
      <c r="Y64" s="27" t="s">
        <v>127</v>
      </c>
      <c r="Z64" s="30"/>
      <c r="AA64" s="30"/>
      <c r="AB64" s="30"/>
    </row>
    <row r="65" s="28" customFormat="1">
      <c r="A65" s="27" t="s">
        <v>192</v>
      </c>
      <c r="B65" s="27" t="s">
        <v>50</v>
      </c>
      <c r="C65" s="27" t="s">
        <v>193</v>
      </c>
      <c r="D65" s="27" t="str">
        <f>"511923198410100436"</f>
        <v>511923198410100436</v>
      </c>
      <c r="E65" s="27" t="s">
        <v>45</v>
      </c>
      <c r="F65" s="27" t="s">
        <v>122</v>
      </c>
      <c r="G65" s="29">
        <v>279000</v>
      </c>
      <c r="H65" s="27">
        <v>36</v>
      </c>
      <c r="I65" s="27" t="s">
        <v>127</v>
      </c>
      <c r="J65" s="27" t="str">
        <f>"13048933099"</f>
        <v>13048933099</v>
      </c>
      <c r="K65" s="29" t="s">
        <v>68</v>
      </c>
      <c r="L65" s="27" t="s">
        <v>36</v>
      </c>
      <c r="M65" s="27"/>
      <c r="N65" s="27" t="s">
        <v>57</v>
      </c>
      <c r="O65" s="27">
        <v>0</v>
      </c>
      <c r="P65" s="27">
        <v>9331</v>
      </c>
      <c r="Q65" s="27">
        <v>9331</v>
      </c>
      <c r="R65" s="27">
        <v>0</v>
      </c>
      <c r="S65" s="27">
        <v>0</v>
      </c>
      <c r="T65" s="27"/>
      <c r="U65" s="30"/>
      <c r="V65" s="30"/>
      <c r="W65" s="27"/>
      <c r="X65" s="27"/>
      <c r="Y65" s="27" t="s">
        <v>127</v>
      </c>
      <c r="Z65" s="30"/>
      <c r="AA65" s="30"/>
      <c r="AB65" s="30"/>
    </row>
    <row r="66" s="28" customFormat="1">
      <c r="A66" s="27" t="s">
        <v>194</v>
      </c>
      <c r="B66" s="27" t="s">
        <v>50</v>
      </c>
      <c r="C66" s="27" t="s">
        <v>195</v>
      </c>
      <c r="D66" s="27" t="str">
        <f>"441422197801173724"</f>
        <v>441422197801173724</v>
      </c>
      <c r="E66" s="27" t="s">
        <v>45</v>
      </c>
      <c r="F66" s="27" t="s">
        <v>122</v>
      </c>
      <c r="G66" s="29">
        <v>220000</v>
      </c>
      <c r="H66" s="27">
        <v>36</v>
      </c>
      <c r="I66" s="27" t="s">
        <v>127</v>
      </c>
      <c r="J66" s="27" t="str">
        <f>"13824305033"</f>
        <v>13824305033</v>
      </c>
      <c r="K66" s="29" t="s">
        <v>35</v>
      </c>
      <c r="L66" s="27" t="s">
        <v>36</v>
      </c>
      <c r="M66" s="27"/>
      <c r="N66" s="27" t="s">
        <v>57</v>
      </c>
      <c r="O66" s="27">
        <v>0</v>
      </c>
      <c r="P66" s="27">
        <v>7349</v>
      </c>
      <c r="Q66" s="27">
        <v>7349</v>
      </c>
      <c r="R66" s="27">
        <v>0</v>
      </c>
      <c r="S66" s="27">
        <v>0</v>
      </c>
      <c r="T66" s="27"/>
      <c r="U66" s="30"/>
      <c r="V66" s="30"/>
      <c r="W66" s="27"/>
      <c r="X66" s="27"/>
      <c r="Y66" s="27" t="s">
        <v>127</v>
      </c>
      <c r="Z66" s="30"/>
      <c r="AA66" s="30"/>
      <c r="AB66" s="30"/>
    </row>
    <row r="67" s="28" customFormat="1">
      <c r="A67" s="27" t="s">
        <v>196</v>
      </c>
      <c r="B67" s="27" t="s">
        <v>30</v>
      </c>
      <c r="C67" s="27" t="s">
        <v>197</v>
      </c>
      <c r="D67" s="27" t="str">
        <f>"430703197901036465"</f>
        <v>430703197901036465</v>
      </c>
      <c r="E67" s="27" t="s">
        <v>45</v>
      </c>
      <c r="F67" s="27" t="s">
        <v>122</v>
      </c>
      <c r="G67" s="29">
        <v>200000</v>
      </c>
      <c r="H67" s="27">
        <v>36</v>
      </c>
      <c r="I67" s="27" t="s">
        <v>127</v>
      </c>
      <c r="J67" s="27" t="str">
        <f>"13502875593"</f>
        <v>13502875593</v>
      </c>
      <c r="K67" s="29" t="s">
        <v>35</v>
      </c>
      <c r="L67" s="27" t="s">
        <v>47</v>
      </c>
      <c r="M67" s="27"/>
      <c r="N67" s="27" t="s">
        <v>57</v>
      </c>
      <c r="O67" s="27">
        <v>0</v>
      </c>
      <c r="P67" s="27">
        <v>6783</v>
      </c>
      <c r="Q67" s="27">
        <v>6783</v>
      </c>
      <c r="R67" s="27">
        <v>0</v>
      </c>
      <c r="S67" s="27">
        <v>0</v>
      </c>
      <c r="T67" s="27"/>
      <c r="U67" s="30"/>
      <c r="V67" s="30"/>
      <c r="W67" s="27" t="s">
        <v>40</v>
      </c>
      <c r="X67" s="27" t="s">
        <v>41</v>
      </c>
      <c r="Y67" s="27" t="s">
        <v>127</v>
      </c>
      <c r="Z67" s="30"/>
      <c r="AA67" s="30"/>
      <c r="AB67" s="30"/>
    </row>
    <row r="68" s="28" customFormat="1">
      <c r="A68" s="27" t="s">
        <v>198</v>
      </c>
      <c r="B68" s="27" t="s">
        <v>30</v>
      </c>
      <c r="C68" s="27" t="s">
        <v>199</v>
      </c>
      <c r="D68" s="27" t="str">
        <f>"512925197209212136"</f>
        <v>512925197209212136</v>
      </c>
      <c r="E68" s="27" t="s">
        <v>45</v>
      </c>
      <c r="F68" s="27" t="s">
        <v>122</v>
      </c>
      <c r="G68" s="29">
        <v>120000</v>
      </c>
      <c r="H68" s="27">
        <v>24</v>
      </c>
      <c r="I68" s="27" t="s">
        <v>127</v>
      </c>
      <c r="J68" s="27" t="str">
        <f>"13823264826"</f>
        <v>13823264826</v>
      </c>
      <c r="K68" s="29" t="s">
        <v>35</v>
      </c>
      <c r="L68" s="27" t="s">
        <v>36</v>
      </c>
      <c r="M68" s="27"/>
      <c r="N68" s="27" t="s">
        <v>57</v>
      </c>
      <c r="O68" s="27">
        <v>0</v>
      </c>
      <c r="P68" s="27">
        <v>4002</v>
      </c>
      <c r="Q68" s="27">
        <v>4002</v>
      </c>
      <c r="R68" s="27">
        <v>0</v>
      </c>
      <c r="S68" s="27">
        <v>0</v>
      </c>
      <c r="T68" s="27"/>
      <c r="U68" s="30"/>
      <c r="V68" s="30"/>
      <c r="W68" s="27"/>
      <c r="X68" s="27"/>
      <c r="Y68" s="27" t="s">
        <v>127</v>
      </c>
      <c r="Z68" s="30"/>
      <c r="AA68" s="30"/>
      <c r="AB68" s="30"/>
    </row>
    <row r="69" s="28" customFormat="1">
      <c r="A69" s="27" t="s">
        <v>200</v>
      </c>
      <c r="B69" s="27" t="s">
        <v>50</v>
      </c>
      <c r="C69" s="27" t="s">
        <v>201</v>
      </c>
      <c r="D69" s="27" t="str">
        <f>"500384198907280337"</f>
        <v>500384198907280337</v>
      </c>
      <c r="E69" s="27" t="s">
        <v>45</v>
      </c>
      <c r="F69" s="27" t="s">
        <v>122</v>
      </c>
      <c r="G69" s="29">
        <v>84000</v>
      </c>
      <c r="H69" s="27">
        <v>36</v>
      </c>
      <c r="I69" s="27" t="s">
        <v>127</v>
      </c>
      <c r="J69" s="27" t="str">
        <f>"15223822246"</f>
        <v>15223822246</v>
      </c>
      <c r="K69" s="29" t="s">
        <v>89</v>
      </c>
      <c r="L69" s="27" t="s">
        <v>47</v>
      </c>
      <c r="M69" s="27"/>
      <c r="N69" s="27" t="s">
        <v>57</v>
      </c>
      <c r="O69" s="27">
        <v>0</v>
      </c>
      <c r="P69" s="27">
        <v>2813</v>
      </c>
      <c r="Q69" s="27">
        <v>2813</v>
      </c>
      <c r="R69" s="27">
        <v>0</v>
      </c>
      <c r="S69" s="27">
        <v>0</v>
      </c>
      <c r="T69" s="27"/>
      <c r="U69" s="30"/>
      <c r="V69" s="30"/>
      <c r="W69" s="27" t="s">
        <v>159</v>
      </c>
      <c r="X69" s="27" t="s">
        <v>160</v>
      </c>
      <c r="Y69" s="27" t="s">
        <v>127</v>
      </c>
      <c r="Z69" s="30"/>
      <c r="AA69" s="30"/>
      <c r="AB69" s="30"/>
    </row>
    <row r="70" s="28" customFormat="1">
      <c r="A70" s="27" t="s">
        <v>202</v>
      </c>
      <c r="B70" s="27" t="s">
        <v>30</v>
      </c>
      <c r="C70" s="27" t="s">
        <v>190</v>
      </c>
      <c r="D70" s="27" t="s">
        <v>191</v>
      </c>
      <c r="E70" s="27" t="s">
        <v>45</v>
      </c>
      <c r="F70" s="27" t="s">
        <v>122</v>
      </c>
      <c r="G70" s="29">
        <v>200000</v>
      </c>
      <c r="H70" s="27">
        <v>36</v>
      </c>
      <c r="I70" s="27" t="s">
        <v>127</v>
      </c>
      <c r="J70" s="27" t="str">
        <f>"13929898606"</f>
        <v>13929898606</v>
      </c>
      <c r="K70" s="29" t="s">
        <v>89</v>
      </c>
      <c r="L70" s="27" t="s">
        <v>47</v>
      </c>
      <c r="M70" s="27"/>
      <c r="N70" s="27" t="s">
        <v>57</v>
      </c>
      <c r="O70" s="27">
        <v>0</v>
      </c>
      <c r="P70" s="27">
        <v>7560</v>
      </c>
      <c r="Q70" s="27">
        <v>7560</v>
      </c>
      <c r="R70" s="27">
        <v>0</v>
      </c>
      <c r="S70" s="27">
        <v>0</v>
      </c>
      <c r="T70" s="27"/>
      <c r="U70" s="30"/>
      <c r="V70" s="30"/>
      <c r="W70" s="27"/>
      <c r="X70" s="27"/>
      <c r="Y70" s="27" t="s">
        <v>127</v>
      </c>
      <c r="Z70" s="30"/>
      <c r="AA70" s="30"/>
      <c r="AB70" s="30"/>
    </row>
    <row r="71" s="28" customFormat="1">
      <c r="A71" s="27" t="s">
        <v>203</v>
      </c>
      <c r="B71" s="27" t="s">
        <v>30</v>
      </c>
      <c r="C71" s="27" t="s">
        <v>204</v>
      </c>
      <c r="D71" s="27" t="str">
        <f>"440922197012120861"</f>
        <v>440922197012120861</v>
      </c>
      <c r="E71" s="27" t="s">
        <v>45</v>
      </c>
      <c r="F71" s="27" t="s">
        <v>122</v>
      </c>
      <c r="G71" s="29">
        <v>280000</v>
      </c>
      <c r="H71" s="27">
        <v>36</v>
      </c>
      <c r="I71" s="27" t="s">
        <v>127</v>
      </c>
      <c r="J71" s="27" t="str">
        <f>"18925191866"</f>
        <v>18925191866</v>
      </c>
      <c r="K71" s="29" t="s">
        <v>35</v>
      </c>
      <c r="L71" s="27" t="s">
        <v>36</v>
      </c>
      <c r="M71" s="27"/>
      <c r="N71" s="27" t="s">
        <v>57</v>
      </c>
      <c r="O71" s="27">
        <v>0</v>
      </c>
      <c r="P71" s="27">
        <v>11677</v>
      </c>
      <c r="Q71" s="27">
        <v>11677</v>
      </c>
      <c r="R71" s="27">
        <v>0</v>
      </c>
      <c r="S71" s="27">
        <v>0</v>
      </c>
      <c r="T71" s="27"/>
      <c r="U71" s="30"/>
      <c r="V71" s="30"/>
      <c r="W71" s="27" t="s">
        <v>108</v>
      </c>
      <c r="X71" s="27" t="s">
        <v>109</v>
      </c>
      <c r="Y71" s="27" t="s">
        <v>127</v>
      </c>
      <c r="Z71" s="30"/>
      <c r="AA71" s="30"/>
      <c r="AB71" s="30"/>
    </row>
    <row r="72" s="28" customFormat="1">
      <c r="A72" s="27" t="s">
        <v>205</v>
      </c>
      <c r="B72" s="27" t="s">
        <v>30</v>
      </c>
      <c r="C72" s="27" t="s">
        <v>206</v>
      </c>
      <c r="D72" s="27" t="str">
        <f>"510219198006146922"</f>
        <v>510219198006146922</v>
      </c>
      <c r="E72" s="27" t="s">
        <v>45</v>
      </c>
      <c r="F72" s="27" t="s">
        <v>122</v>
      </c>
      <c r="G72" s="29">
        <v>200000</v>
      </c>
      <c r="H72" s="27">
        <v>24</v>
      </c>
      <c r="I72" s="27" t="s">
        <v>127</v>
      </c>
      <c r="J72" s="27" t="str">
        <f>"18607595396"</f>
        <v>18607595396</v>
      </c>
      <c r="K72" s="29" t="s">
        <v>35</v>
      </c>
      <c r="L72" s="27" t="s">
        <v>36</v>
      </c>
      <c r="M72" s="27"/>
      <c r="N72" s="27" t="s">
        <v>57</v>
      </c>
      <c r="O72" s="27">
        <v>0</v>
      </c>
      <c r="P72" s="27">
        <v>9817</v>
      </c>
      <c r="Q72" s="27">
        <v>9817</v>
      </c>
      <c r="R72" s="27">
        <v>0</v>
      </c>
      <c r="S72" s="27">
        <v>0</v>
      </c>
      <c r="T72" s="27"/>
      <c r="U72" s="30"/>
      <c r="V72" s="30"/>
      <c r="W72" s="27"/>
      <c r="X72" s="27"/>
      <c r="Y72" s="27" t="s">
        <v>127</v>
      </c>
      <c r="Z72" s="30"/>
      <c r="AA72" s="30"/>
      <c r="AB72" s="30"/>
    </row>
    <row r="73" s="28" customFormat="1">
      <c r="A73" s="27" t="s">
        <v>207</v>
      </c>
      <c r="B73" s="27" t="s">
        <v>30</v>
      </c>
      <c r="C73" s="27" t="s">
        <v>208</v>
      </c>
      <c r="D73" s="27" t="str">
        <f>"350821198810241263"</f>
        <v>350821198810241263</v>
      </c>
      <c r="E73" s="27" t="s">
        <v>45</v>
      </c>
      <c r="F73" s="27" t="s">
        <v>122</v>
      </c>
      <c r="G73" s="29">
        <v>400000</v>
      </c>
      <c r="H73" s="27">
        <v>36</v>
      </c>
      <c r="I73" s="27" t="s">
        <v>127</v>
      </c>
      <c r="J73" s="27" t="str">
        <f>"13631651692"</f>
        <v>13631651692</v>
      </c>
      <c r="K73" s="29" t="s">
        <v>68</v>
      </c>
      <c r="L73" s="27" t="s">
        <v>36</v>
      </c>
      <c r="M73" s="27"/>
      <c r="N73" s="27" t="s">
        <v>57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/>
      <c r="U73" s="30"/>
      <c r="V73" s="30"/>
      <c r="W73" s="27"/>
      <c r="X73" s="27"/>
      <c r="Y73" s="27" t="s">
        <v>127</v>
      </c>
      <c r="Z73" s="30"/>
      <c r="AA73" s="30"/>
      <c r="AB73" s="30"/>
    </row>
    <row r="74" s="28" customFormat="1">
      <c r="A74" s="27" t="s">
        <v>209</v>
      </c>
      <c r="B74" s="27" t="s">
        <v>30</v>
      </c>
      <c r="C74" s="27" t="s">
        <v>210</v>
      </c>
      <c r="D74" s="27" t="str">
        <f>"441281197606010056"</f>
        <v>441281197606010056</v>
      </c>
      <c r="E74" s="27" t="s">
        <v>45</v>
      </c>
      <c r="F74" s="27" t="s">
        <v>122</v>
      </c>
      <c r="G74" s="29">
        <v>80000</v>
      </c>
      <c r="H74" s="27">
        <v>36</v>
      </c>
      <c r="I74" s="27" t="s">
        <v>127</v>
      </c>
      <c r="J74" s="27" t="str">
        <f>"13602301392"</f>
        <v>13602301392</v>
      </c>
      <c r="K74" s="29" t="s">
        <v>35</v>
      </c>
      <c r="L74" s="27" t="s">
        <v>36</v>
      </c>
      <c r="M74" s="27"/>
      <c r="N74" s="27" t="s">
        <v>57</v>
      </c>
      <c r="O74" s="27">
        <v>0</v>
      </c>
      <c r="P74" s="27">
        <v>4279</v>
      </c>
      <c r="Q74" s="27">
        <v>4279</v>
      </c>
      <c r="R74" s="27">
        <v>0</v>
      </c>
      <c r="S74" s="27">
        <v>0</v>
      </c>
      <c r="T74" s="27"/>
      <c r="U74" s="30"/>
      <c r="V74" s="30"/>
      <c r="W74" s="27" t="s">
        <v>74</v>
      </c>
      <c r="X74" s="27" t="s">
        <v>75</v>
      </c>
      <c r="Y74" s="27" t="s">
        <v>127</v>
      </c>
      <c r="Z74" s="30"/>
      <c r="AA74" s="30"/>
      <c r="AB74" s="30"/>
    </row>
    <row r="75" s="28" customFormat="1">
      <c r="A75" s="27" t="s">
        <v>211</v>
      </c>
      <c r="B75" s="27" t="s">
        <v>30</v>
      </c>
      <c r="C75" s="27" t="s">
        <v>206</v>
      </c>
      <c r="D75" s="27" t="str">
        <f>"510219198006146922"</f>
        <v>510219198006146922</v>
      </c>
      <c r="E75" s="27" t="s">
        <v>45</v>
      </c>
      <c r="F75" s="27" t="s">
        <v>122</v>
      </c>
      <c r="G75" s="29">
        <v>200000</v>
      </c>
      <c r="H75" s="27">
        <v>24</v>
      </c>
      <c r="I75" s="27" t="s">
        <v>127</v>
      </c>
      <c r="J75" s="27" t="str">
        <f>"18607595396"</f>
        <v>18607595396</v>
      </c>
      <c r="K75" s="29" t="s">
        <v>35</v>
      </c>
      <c r="L75" s="27" t="s">
        <v>36</v>
      </c>
      <c r="M75" s="27"/>
      <c r="N75" s="27" t="s">
        <v>57</v>
      </c>
      <c r="O75" s="27">
        <v>0</v>
      </c>
      <c r="P75" s="27">
        <v>9731</v>
      </c>
      <c r="Q75" s="27">
        <v>9731</v>
      </c>
      <c r="R75" s="27">
        <v>0</v>
      </c>
      <c r="S75" s="27">
        <v>0</v>
      </c>
      <c r="T75" s="27"/>
      <c r="U75" s="30"/>
      <c r="V75" s="30"/>
      <c r="W75" s="27"/>
      <c r="X75" s="27"/>
      <c r="Y75" s="27" t="s">
        <v>127</v>
      </c>
      <c r="Z75" s="30"/>
      <c r="AA75" s="30"/>
      <c r="AB75" s="30"/>
    </row>
    <row r="76" s="28" customFormat="1">
      <c r="A76" s="27" t="s">
        <v>212</v>
      </c>
      <c r="B76" s="27" t="s">
        <v>50</v>
      </c>
      <c r="C76" s="27" t="s">
        <v>213</v>
      </c>
      <c r="D76" s="27" t="str">
        <f>"440924197704032734"</f>
        <v>440924197704032734</v>
      </c>
      <c r="E76" s="27" t="s">
        <v>45</v>
      </c>
      <c r="F76" s="27" t="s">
        <v>122</v>
      </c>
      <c r="G76" s="29">
        <v>500000</v>
      </c>
      <c r="H76" s="27">
        <v>36</v>
      </c>
      <c r="I76" s="27" t="s">
        <v>127</v>
      </c>
      <c r="J76" s="27" t="str">
        <f>"13510017303"</f>
        <v>13510017303</v>
      </c>
      <c r="K76" s="29" t="s">
        <v>89</v>
      </c>
      <c r="L76" s="27" t="s">
        <v>47</v>
      </c>
      <c r="M76" s="27"/>
      <c r="N76" s="27" t="s">
        <v>57</v>
      </c>
      <c r="O76" s="27">
        <v>0</v>
      </c>
      <c r="P76" s="27">
        <v>19384</v>
      </c>
      <c r="Q76" s="27">
        <v>19384</v>
      </c>
      <c r="R76" s="27">
        <v>0</v>
      </c>
      <c r="S76" s="27">
        <v>0</v>
      </c>
      <c r="T76" s="27"/>
      <c r="U76" s="30"/>
      <c r="V76" s="30"/>
      <c r="W76" s="27"/>
      <c r="X76" s="27"/>
      <c r="Y76" s="27" t="s">
        <v>127</v>
      </c>
      <c r="Z76" s="30"/>
      <c r="AA76" s="30"/>
      <c r="AB76" s="30"/>
    </row>
    <row r="77" s="28" customFormat="1">
      <c r="A77" s="27" t="s">
        <v>214</v>
      </c>
      <c r="B77" s="27" t="s">
        <v>30</v>
      </c>
      <c r="C77" s="27" t="s">
        <v>206</v>
      </c>
      <c r="D77" s="27" t="str">
        <f>"510219198006146922"</f>
        <v>510219198006146922</v>
      </c>
      <c r="E77" s="27" t="s">
        <v>45</v>
      </c>
      <c r="F77" s="27" t="s">
        <v>122</v>
      </c>
      <c r="G77" s="29">
        <v>200000</v>
      </c>
      <c r="H77" s="27">
        <v>24</v>
      </c>
      <c r="I77" s="27" t="s">
        <v>127</v>
      </c>
      <c r="J77" s="27" t="str">
        <f>"18607595396"</f>
        <v>18607595396</v>
      </c>
      <c r="K77" s="29" t="s">
        <v>35</v>
      </c>
      <c r="L77" s="27" t="s">
        <v>36</v>
      </c>
      <c r="M77" s="27"/>
      <c r="N77" s="27" t="s">
        <v>57</v>
      </c>
      <c r="O77" s="27">
        <v>0</v>
      </c>
      <c r="P77" s="27">
        <v>9731</v>
      </c>
      <c r="Q77" s="27">
        <v>9731</v>
      </c>
      <c r="R77" s="27">
        <v>0</v>
      </c>
      <c r="S77" s="27">
        <v>0</v>
      </c>
      <c r="T77" s="27"/>
      <c r="U77" s="30"/>
      <c r="V77" s="30"/>
      <c r="W77" s="27" t="s">
        <v>215</v>
      </c>
      <c r="X77" s="27" t="s">
        <v>216</v>
      </c>
      <c r="Y77" s="27" t="s">
        <v>127</v>
      </c>
      <c r="Z77" s="30"/>
      <c r="AA77" s="30"/>
      <c r="AB77" s="30"/>
    </row>
    <row r="78" s="28" customFormat="1">
      <c r="A78" s="27" t="s">
        <v>217</v>
      </c>
      <c r="B78" s="27" t="s">
        <v>50</v>
      </c>
      <c r="C78" s="27" t="s">
        <v>218</v>
      </c>
      <c r="D78" s="27" t="str">
        <f>"430105198309071522"</f>
        <v>430105198309071522</v>
      </c>
      <c r="E78" s="27" t="s">
        <v>45</v>
      </c>
      <c r="F78" s="27" t="s">
        <v>122</v>
      </c>
      <c r="G78" s="29">
        <v>250000</v>
      </c>
      <c r="H78" s="27">
        <v>36</v>
      </c>
      <c r="I78" s="27" t="s">
        <v>127</v>
      </c>
      <c r="J78" s="27" t="str">
        <f>"13751052949"</f>
        <v>13751052949</v>
      </c>
      <c r="K78" s="29" t="s">
        <v>89</v>
      </c>
      <c r="L78" s="27" t="s">
        <v>36</v>
      </c>
      <c r="M78" s="27"/>
      <c r="N78" s="27" t="s">
        <v>57</v>
      </c>
      <c r="O78" s="27">
        <v>0</v>
      </c>
      <c r="P78" s="27">
        <v>8349</v>
      </c>
      <c r="Q78" s="27">
        <v>8349</v>
      </c>
      <c r="R78" s="27">
        <v>0</v>
      </c>
      <c r="S78" s="27">
        <v>0</v>
      </c>
      <c r="T78" s="27"/>
      <c r="U78" s="30"/>
      <c r="V78" s="30"/>
      <c r="W78" s="27"/>
      <c r="X78" s="27"/>
      <c r="Y78" s="27" t="s">
        <v>127</v>
      </c>
      <c r="Z78" s="30"/>
      <c r="AA78" s="30"/>
      <c r="AB78" s="30"/>
    </row>
    <row r="79" s="28" customFormat="1">
      <c r="A79" s="27" t="s">
        <v>219</v>
      </c>
      <c r="B79" s="27" t="s">
        <v>30</v>
      </c>
      <c r="C79" s="27" t="s">
        <v>220</v>
      </c>
      <c r="D79" s="27" t="s">
        <v>221</v>
      </c>
      <c r="E79" s="27" t="s">
        <v>45</v>
      </c>
      <c r="F79" s="27" t="s">
        <v>122</v>
      </c>
      <c r="G79" s="29">
        <v>200000</v>
      </c>
      <c r="H79" s="27">
        <v>24</v>
      </c>
      <c r="I79" s="27" t="s">
        <v>127</v>
      </c>
      <c r="J79" s="27" t="str">
        <f>"13532996008"</f>
        <v>13532996008</v>
      </c>
      <c r="K79" s="29" t="s">
        <v>68</v>
      </c>
      <c r="L79" s="27" t="s">
        <v>36</v>
      </c>
      <c r="M79" s="27"/>
      <c r="N79" s="27" t="s">
        <v>57</v>
      </c>
      <c r="O79" s="27">
        <v>0</v>
      </c>
      <c r="P79" s="27">
        <v>17099</v>
      </c>
      <c r="Q79" s="27">
        <v>17099</v>
      </c>
      <c r="R79" s="27">
        <v>0</v>
      </c>
      <c r="S79" s="27">
        <v>0</v>
      </c>
      <c r="T79" s="27"/>
      <c r="U79" s="30"/>
      <c r="V79" s="30"/>
      <c r="W79" s="27"/>
      <c r="X79" s="27"/>
      <c r="Y79" s="27" t="s">
        <v>127</v>
      </c>
      <c r="Z79" s="30"/>
      <c r="AA79" s="30"/>
      <c r="AB79" s="30"/>
    </row>
    <row r="80" s="28" customFormat="1">
      <c r="A80" s="27" t="s">
        <v>222</v>
      </c>
      <c r="B80" s="27" t="s">
        <v>30</v>
      </c>
      <c r="C80" s="27" t="s">
        <v>223</v>
      </c>
      <c r="D80" s="27" t="str">
        <f>"432822197309094902"</f>
        <v>432822197309094902</v>
      </c>
      <c r="E80" s="27" t="s">
        <v>45</v>
      </c>
      <c r="F80" s="27" t="s">
        <v>122</v>
      </c>
      <c r="G80" s="29">
        <v>150000</v>
      </c>
      <c r="H80" s="27">
        <v>36</v>
      </c>
      <c r="I80" s="27" t="s">
        <v>127</v>
      </c>
      <c r="J80" s="27" t="str">
        <f>"15986399768"</f>
        <v>15986399768</v>
      </c>
      <c r="K80" s="29" t="s">
        <v>35</v>
      </c>
      <c r="L80" s="27" t="s">
        <v>36</v>
      </c>
      <c r="M80" s="27"/>
      <c r="N80" s="27" t="s">
        <v>57</v>
      </c>
      <c r="O80" s="27">
        <v>0</v>
      </c>
      <c r="P80" s="27">
        <v>6862</v>
      </c>
      <c r="Q80" s="27">
        <v>6862</v>
      </c>
      <c r="R80" s="27">
        <v>0</v>
      </c>
      <c r="S80" s="27">
        <v>0</v>
      </c>
      <c r="T80" s="27"/>
      <c r="U80" s="30"/>
      <c r="V80" s="30"/>
      <c r="W80" s="27" t="s">
        <v>108</v>
      </c>
      <c r="X80" s="27" t="s">
        <v>109</v>
      </c>
      <c r="Y80" s="27" t="s">
        <v>127</v>
      </c>
      <c r="Z80" s="30"/>
      <c r="AA80" s="30"/>
      <c r="AB80" s="30"/>
    </row>
    <row r="81" s="28" customFormat="1">
      <c r="A81" s="27" t="s">
        <v>224</v>
      </c>
      <c r="B81" s="27" t="s">
        <v>30</v>
      </c>
      <c r="C81" s="27" t="s">
        <v>225</v>
      </c>
      <c r="D81" s="27" t="s">
        <v>226</v>
      </c>
      <c r="E81" s="27" t="s">
        <v>45</v>
      </c>
      <c r="F81" s="27" t="s">
        <v>122</v>
      </c>
      <c r="G81" s="29">
        <v>300000</v>
      </c>
      <c r="H81" s="27">
        <v>24</v>
      </c>
      <c r="I81" s="27" t="s">
        <v>127</v>
      </c>
      <c r="J81" s="27" t="str">
        <f>"13600263890"</f>
        <v>13600263890</v>
      </c>
      <c r="K81" s="29" t="s">
        <v>35</v>
      </c>
      <c r="L81" s="27" t="s">
        <v>36</v>
      </c>
      <c r="M81" s="27"/>
      <c r="N81" s="27" t="s">
        <v>57</v>
      </c>
      <c r="O81" s="27">
        <v>0</v>
      </c>
      <c r="P81" s="27">
        <v>10772</v>
      </c>
      <c r="Q81" s="27">
        <v>10772</v>
      </c>
      <c r="R81" s="27">
        <v>0</v>
      </c>
      <c r="S81" s="27">
        <v>0</v>
      </c>
      <c r="T81" s="27"/>
      <c r="U81" s="30"/>
      <c r="V81" s="30"/>
      <c r="W81" s="27"/>
      <c r="X81" s="27"/>
      <c r="Y81" s="27" t="s">
        <v>127</v>
      </c>
      <c r="Z81" s="30"/>
      <c r="AA81" s="30"/>
      <c r="AB81" s="30"/>
    </row>
    <row r="82" s="28" customFormat="1">
      <c r="A82" s="27" t="s">
        <v>227</v>
      </c>
      <c r="B82" s="27" t="s">
        <v>30</v>
      </c>
      <c r="C82" s="27" t="s">
        <v>228</v>
      </c>
      <c r="D82" s="27" t="str">
        <f>"422822198801182544"</f>
        <v>422822198801182544</v>
      </c>
      <c r="E82" s="27" t="s">
        <v>45</v>
      </c>
      <c r="F82" s="27" t="s">
        <v>122</v>
      </c>
      <c r="G82" s="29">
        <v>300000</v>
      </c>
      <c r="H82" s="27">
        <v>36</v>
      </c>
      <c r="I82" s="27" t="s">
        <v>127</v>
      </c>
      <c r="J82" s="27" t="str">
        <f>"13600320969"</f>
        <v>13600320969</v>
      </c>
      <c r="K82" s="29" t="s">
        <v>35</v>
      </c>
      <c r="L82" s="27" t="s">
        <v>36</v>
      </c>
      <c r="M82" s="27"/>
      <c r="N82" s="27" t="s">
        <v>57</v>
      </c>
      <c r="O82" s="27">
        <v>0</v>
      </c>
      <c r="P82" s="27">
        <v>30226</v>
      </c>
      <c r="Q82" s="27">
        <v>30226</v>
      </c>
      <c r="R82" s="27">
        <v>0</v>
      </c>
      <c r="S82" s="27">
        <v>0</v>
      </c>
      <c r="T82" s="27"/>
      <c r="U82" s="30"/>
      <c r="V82" s="30"/>
      <c r="W82" s="27" t="s">
        <v>108</v>
      </c>
      <c r="X82" s="27" t="s">
        <v>109</v>
      </c>
      <c r="Y82" s="27" t="s">
        <v>127</v>
      </c>
      <c r="Z82" s="30"/>
      <c r="AA82" s="30"/>
      <c r="AB82" s="30"/>
    </row>
    <row r="83" s="28" customFormat="1">
      <c r="A83" s="27" t="s">
        <v>229</v>
      </c>
      <c r="B83" s="27" t="s">
        <v>30</v>
      </c>
      <c r="C83" s="27" t="s">
        <v>230</v>
      </c>
      <c r="D83" s="27" t="str">
        <f>"445281198208220320"</f>
        <v>445281198208220320</v>
      </c>
      <c r="E83" s="27" t="s">
        <v>45</v>
      </c>
      <c r="F83" s="27" t="s">
        <v>122</v>
      </c>
      <c r="G83" s="29">
        <v>300000</v>
      </c>
      <c r="H83" s="27">
        <v>24</v>
      </c>
      <c r="I83" s="27" t="s">
        <v>127</v>
      </c>
      <c r="J83" s="27" t="str">
        <f>"13922899664"</f>
        <v>13922899664</v>
      </c>
      <c r="K83" s="29" t="s">
        <v>35</v>
      </c>
      <c r="L83" s="27" t="s">
        <v>47</v>
      </c>
      <c r="M83" s="27"/>
      <c r="N83" s="27" t="s">
        <v>57</v>
      </c>
      <c r="O83" s="27">
        <v>0</v>
      </c>
      <c r="P83" s="27">
        <v>12313</v>
      </c>
      <c r="Q83" s="27">
        <v>12313</v>
      </c>
      <c r="R83" s="27">
        <v>0</v>
      </c>
      <c r="S83" s="27">
        <v>0</v>
      </c>
      <c r="T83" s="27"/>
      <c r="U83" s="30"/>
      <c r="V83" s="30"/>
      <c r="W83" s="27" t="s">
        <v>40</v>
      </c>
      <c r="X83" s="27" t="s">
        <v>41</v>
      </c>
      <c r="Y83" s="27" t="s">
        <v>127</v>
      </c>
      <c r="Z83" s="30"/>
      <c r="AA83" s="30"/>
      <c r="AB83" s="30"/>
    </row>
    <row r="84" s="28" customFormat="1">
      <c r="A84" s="27" t="s">
        <v>231</v>
      </c>
      <c r="B84" s="27" t="s">
        <v>30</v>
      </c>
      <c r="C84" s="27" t="s">
        <v>232</v>
      </c>
      <c r="D84" s="27" t="s">
        <v>233</v>
      </c>
      <c r="E84" s="27" t="s">
        <v>45</v>
      </c>
      <c r="F84" s="27" t="s">
        <v>122</v>
      </c>
      <c r="G84" s="29">
        <v>220000</v>
      </c>
      <c r="H84" s="27">
        <v>36</v>
      </c>
      <c r="I84" s="27" t="s">
        <v>127</v>
      </c>
      <c r="J84" s="27" t="str">
        <f>"18682373398"</f>
        <v>18682373398</v>
      </c>
      <c r="K84" s="29" t="s">
        <v>35</v>
      </c>
      <c r="L84" s="27" t="s">
        <v>36</v>
      </c>
      <c r="M84" s="27"/>
      <c r="N84" s="27" t="s">
        <v>57</v>
      </c>
      <c r="O84" s="27">
        <v>0</v>
      </c>
      <c r="P84" s="27">
        <v>7419</v>
      </c>
      <c r="Q84" s="27">
        <v>7419</v>
      </c>
      <c r="R84" s="27">
        <v>0</v>
      </c>
      <c r="S84" s="27">
        <v>0</v>
      </c>
      <c r="T84" s="27"/>
      <c r="U84" s="30"/>
      <c r="V84" s="30"/>
      <c r="W84" s="27" t="s">
        <v>40</v>
      </c>
      <c r="X84" s="27" t="s">
        <v>41</v>
      </c>
      <c r="Y84" s="27" t="s">
        <v>127</v>
      </c>
      <c r="Z84" s="30"/>
      <c r="AA84" s="30"/>
      <c r="AB84" s="30"/>
    </row>
    <row r="85" s="28" customFormat="1">
      <c r="A85" s="27" t="s">
        <v>234</v>
      </c>
      <c r="B85" s="27" t="s">
        <v>50</v>
      </c>
      <c r="C85" s="27" t="s">
        <v>235</v>
      </c>
      <c r="D85" s="27" t="str">
        <f>"445281198205143710"</f>
        <v>445281198205143710</v>
      </c>
      <c r="E85" s="27" t="s">
        <v>45</v>
      </c>
      <c r="F85" s="27" t="s">
        <v>122</v>
      </c>
      <c r="G85" s="29">
        <v>300000</v>
      </c>
      <c r="H85" s="27">
        <v>36</v>
      </c>
      <c r="I85" s="27" t="s">
        <v>127</v>
      </c>
      <c r="J85" s="27" t="str">
        <f>"13714710939"</f>
        <v>13714710939</v>
      </c>
      <c r="K85" s="29" t="s">
        <v>35</v>
      </c>
      <c r="L85" s="27" t="s">
        <v>36</v>
      </c>
      <c r="M85" s="27"/>
      <c r="N85" s="27" t="s">
        <v>57</v>
      </c>
      <c r="O85" s="27">
        <v>0</v>
      </c>
      <c r="P85" s="27">
        <v>10926</v>
      </c>
      <c r="Q85" s="27">
        <v>10926</v>
      </c>
      <c r="R85" s="27">
        <v>0</v>
      </c>
      <c r="S85" s="27">
        <v>0</v>
      </c>
      <c r="T85" s="27"/>
      <c r="U85" s="30"/>
      <c r="V85" s="30"/>
      <c r="W85" s="27"/>
      <c r="X85" s="27"/>
      <c r="Y85" s="27" t="s">
        <v>127</v>
      </c>
      <c r="Z85" s="30"/>
      <c r="AA85" s="30"/>
      <c r="AB85" s="30"/>
    </row>
    <row r="86" s="28" customFormat="1">
      <c r="A86" s="27" t="s">
        <v>236</v>
      </c>
      <c r="B86" s="27" t="s">
        <v>30</v>
      </c>
      <c r="C86" s="27" t="s">
        <v>220</v>
      </c>
      <c r="D86" s="27" t="s">
        <v>221</v>
      </c>
      <c r="E86" s="27" t="s">
        <v>45</v>
      </c>
      <c r="F86" s="27" t="s">
        <v>122</v>
      </c>
      <c r="G86" s="29">
        <v>150000</v>
      </c>
      <c r="H86" s="27">
        <v>24</v>
      </c>
      <c r="I86" s="27" t="s">
        <v>127</v>
      </c>
      <c r="J86" s="27" t="str">
        <f>"13532996008"</f>
        <v>13532996008</v>
      </c>
      <c r="K86" s="29" t="s">
        <v>68</v>
      </c>
      <c r="L86" s="27" t="s">
        <v>36</v>
      </c>
      <c r="M86" s="27"/>
      <c r="N86" s="27" t="s">
        <v>57</v>
      </c>
      <c r="O86" s="27">
        <v>0</v>
      </c>
      <c r="P86" s="27">
        <v>17099</v>
      </c>
      <c r="Q86" s="27">
        <v>17099</v>
      </c>
      <c r="R86" s="27">
        <v>0</v>
      </c>
      <c r="S86" s="27">
        <v>0</v>
      </c>
      <c r="T86" s="27"/>
      <c r="U86" s="30"/>
      <c r="V86" s="30"/>
      <c r="W86" s="27" t="s">
        <v>74</v>
      </c>
      <c r="X86" s="27" t="s">
        <v>75</v>
      </c>
      <c r="Y86" s="27" t="s">
        <v>127</v>
      </c>
      <c r="Z86" s="30"/>
      <c r="AA86" s="30"/>
      <c r="AB86" s="30"/>
    </row>
    <row r="87" s="28" customFormat="1">
      <c r="A87" s="27" t="s">
        <v>237</v>
      </c>
      <c r="B87" s="27" t="s">
        <v>50</v>
      </c>
      <c r="C87" s="27" t="s">
        <v>238</v>
      </c>
      <c r="D87" s="27" t="str">
        <f>"430411198209173023"</f>
        <v>430411198209173023</v>
      </c>
      <c r="E87" s="27" t="s">
        <v>45</v>
      </c>
      <c r="F87" s="27" t="s">
        <v>122</v>
      </c>
      <c r="G87" s="29">
        <v>327000</v>
      </c>
      <c r="H87" s="27">
        <v>36</v>
      </c>
      <c r="I87" s="27" t="s">
        <v>127</v>
      </c>
      <c r="J87" s="27" t="str">
        <f>"13590258885"</f>
        <v>13590258885</v>
      </c>
      <c r="K87" s="29" t="s">
        <v>68</v>
      </c>
      <c r="L87" s="27" t="s">
        <v>36</v>
      </c>
      <c r="M87" s="27"/>
      <c r="N87" s="27" t="s">
        <v>57</v>
      </c>
      <c r="O87" s="27">
        <v>0</v>
      </c>
      <c r="P87" s="27">
        <v>10908</v>
      </c>
      <c r="Q87" s="27">
        <v>10908</v>
      </c>
      <c r="R87" s="27">
        <v>0</v>
      </c>
      <c r="S87" s="27">
        <v>0</v>
      </c>
      <c r="T87" s="27"/>
      <c r="U87" s="30"/>
      <c r="V87" s="30"/>
      <c r="W87" s="27"/>
      <c r="X87" s="27"/>
      <c r="Y87" s="27" t="s">
        <v>127</v>
      </c>
      <c r="Z87" s="30"/>
      <c r="AA87" s="30"/>
      <c r="AB87" s="30"/>
    </row>
    <row r="88" s="28" customFormat="1">
      <c r="A88" s="27" t="s">
        <v>239</v>
      </c>
      <c r="B88" s="27" t="s">
        <v>30</v>
      </c>
      <c r="C88" s="27" t="s">
        <v>240</v>
      </c>
      <c r="D88" s="27" t="str">
        <f>"510521195906081903"</f>
        <v>510521195906081903</v>
      </c>
      <c r="E88" s="27" t="s">
        <v>45</v>
      </c>
      <c r="F88" s="27" t="s">
        <v>122</v>
      </c>
      <c r="G88" s="29">
        <v>180000</v>
      </c>
      <c r="H88" s="27">
        <v>36</v>
      </c>
      <c r="I88" s="27" t="s">
        <v>127</v>
      </c>
      <c r="J88" s="27" t="str">
        <f>"13751117096"</f>
        <v>13751117096</v>
      </c>
      <c r="K88" s="29" t="s">
        <v>35</v>
      </c>
      <c r="L88" s="27" t="s">
        <v>36</v>
      </c>
      <c r="M88" s="27"/>
      <c r="N88" s="27" t="s">
        <v>57</v>
      </c>
      <c r="O88" s="27">
        <v>0</v>
      </c>
      <c r="P88" s="27">
        <v>6053</v>
      </c>
      <c r="Q88" s="27">
        <v>6053</v>
      </c>
      <c r="R88" s="27">
        <v>0</v>
      </c>
      <c r="S88" s="27">
        <v>0</v>
      </c>
      <c r="T88" s="27"/>
      <c r="U88" s="30"/>
      <c r="V88" s="30"/>
      <c r="W88" s="27"/>
      <c r="X88" s="27"/>
      <c r="Y88" s="27" t="s">
        <v>127</v>
      </c>
      <c r="Z88" s="30"/>
      <c r="AA88" s="30"/>
      <c r="AB88" s="30"/>
    </row>
    <row r="89" s="28" customFormat="1">
      <c r="A89" s="27" t="s">
        <v>241</v>
      </c>
      <c r="B89" s="27" t="s">
        <v>30</v>
      </c>
      <c r="C89" s="27" t="s">
        <v>242</v>
      </c>
      <c r="D89" s="27" t="str">
        <f>"511221198201017475"</f>
        <v>511221198201017475</v>
      </c>
      <c r="E89" s="27" t="s">
        <v>45</v>
      </c>
      <c r="F89" s="27" t="s">
        <v>122</v>
      </c>
      <c r="G89" s="29">
        <v>92000</v>
      </c>
      <c r="H89" s="27">
        <v>36</v>
      </c>
      <c r="I89" s="27" t="s">
        <v>127</v>
      </c>
      <c r="J89" s="27" t="str">
        <f>"15826447446"</f>
        <v>15826447446</v>
      </c>
      <c r="K89" s="29" t="s">
        <v>35</v>
      </c>
      <c r="L89" s="27" t="s">
        <v>47</v>
      </c>
      <c r="M89" s="27"/>
      <c r="N89" s="27" t="s">
        <v>57</v>
      </c>
      <c r="O89" s="27">
        <v>0</v>
      </c>
      <c r="P89" s="27">
        <v>6138</v>
      </c>
      <c r="Q89" s="27">
        <v>6138</v>
      </c>
      <c r="R89" s="27">
        <v>0</v>
      </c>
      <c r="S89" s="27">
        <v>0</v>
      </c>
      <c r="T89" s="27"/>
      <c r="U89" s="30"/>
      <c r="V89" s="30"/>
      <c r="W89" s="27" t="s">
        <v>159</v>
      </c>
      <c r="X89" s="27" t="s">
        <v>160</v>
      </c>
      <c r="Y89" s="27" t="s">
        <v>127</v>
      </c>
      <c r="Z89" s="30"/>
      <c r="AA89" s="30"/>
      <c r="AB89" s="30"/>
    </row>
    <row r="90" s="28" customFormat="1">
      <c r="A90" s="27" t="s">
        <v>243</v>
      </c>
      <c r="B90" s="27" t="s">
        <v>30</v>
      </c>
      <c r="C90" s="27" t="s">
        <v>244</v>
      </c>
      <c r="D90" s="27" t="str">
        <f>"510215196210050456"</f>
        <v>510215196210050456</v>
      </c>
      <c r="E90" s="27" t="s">
        <v>45</v>
      </c>
      <c r="F90" s="27" t="s">
        <v>122</v>
      </c>
      <c r="G90" s="29">
        <v>130000</v>
      </c>
      <c r="H90" s="27">
        <v>36</v>
      </c>
      <c r="I90" s="27" t="s">
        <v>127</v>
      </c>
      <c r="J90" s="27" t="str">
        <f>"13983700887"</f>
        <v>13983700887</v>
      </c>
      <c r="K90" s="29" t="s">
        <v>35</v>
      </c>
      <c r="L90" s="27" t="s">
        <v>47</v>
      </c>
      <c r="M90" s="27"/>
      <c r="N90" s="27" t="s">
        <v>57</v>
      </c>
      <c r="O90" s="27">
        <v>0</v>
      </c>
      <c r="P90" s="27">
        <v>4365</v>
      </c>
      <c r="Q90" s="27">
        <v>4365</v>
      </c>
      <c r="R90" s="27">
        <v>0</v>
      </c>
      <c r="S90" s="27">
        <v>0</v>
      </c>
      <c r="T90" s="27"/>
      <c r="U90" s="30"/>
      <c r="V90" s="30"/>
      <c r="W90" s="27"/>
      <c r="X90" s="27"/>
      <c r="Y90" s="27" t="s">
        <v>127</v>
      </c>
      <c r="Z90" s="30"/>
      <c r="AA90" s="30"/>
      <c r="AB90" s="30"/>
    </row>
    <row r="91" s="28" customFormat="1">
      <c r="A91" s="27" t="s">
        <v>245</v>
      </c>
      <c r="B91" s="27" t="s">
        <v>50</v>
      </c>
      <c r="C91" s="27" t="s">
        <v>246</v>
      </c>
      <c r="D91" s="27" t="str">
        <f>"430723197906290644"</f>
        <v>430723197906290644</v>
      </c>
      <c r="E91" s="27" t="s">
        <v>45</v>
      </c>
      <c r="F91" s="27" t="s">
        <v>122</v>
      </c>
      <c r="G91" s="29">
        <v>78000</v>
      </c>
      <c r="H91" s="27">
        <v>36</v>
      </c>
      <c r="I91" s="27" t="s">
        <v>127</v>
      </c>
      <c r="J91" s="27" t="str">
        <f>"15999662632"</f>
        <v>15999662632</v>
      </c>
      <c r="K91" s="29" t="s">
        <v>35</v>
      </c>
      <c r="L91" s="27" t="s">
        <v>36</v>
      </c>
      <c r="M91" s="27"/>
      <c r="N91" s="27" t="s">
        <v>57</v>
      </c>
      <c r="O91" s="27">
        <v>0</v>
      </c>
      <c r="P91" s="27">
        <v>5146</v>
      </c>
      <c r="Q91" s="27">
        <v>5146</v>
      </c>
      <c r="R91" s="27">
        <v>0</v>
      </c>
      <c r="S91" s="27">
        <v>0</v>
      </c>
      <c r="T91" s="27"/>
      <c r="U91" s="30"/>
      <c r="V91" s="30"/>
      <c r="W91" s="27" t="s">
        <v>40</v>
      </c>
      <c r="X91" s="27" t="s">
        <v>41</v>
      </c>
      <c r="Y91" s="27" t="s">
        <v>127</v>
      </c>
      <c r="Z91" s="30"/>
      <c r="AA91" s="30"/>
      <c r="AB91" s="30"/>
    </row>
    <row r="92" s="28" customFormat="1">
      <c r="A92" s="27" t="s">
        <v>247</v>
      </c>
      <c r="B92" s="27" t="s">
        <v>30</v>
      </c>
      <c r="C92" s="27" t="s">
        <v>248</v>
      </c>
      <c r="D92" s="27" t="str">
        <f>"511622198808072823"</f>
        <v>511622198808072823</v>
      </c>
      <c r="E92" s="27" t="s">
        <v>45</v>
      </c>
      <c r="F92" s="27" t="s">
        <v>122</v>
      </c>
      <c r="G92" s="29">
        <v>300000</v>
      </c>
      <c r="H92" s="27">
        <v>36</v>
      </c>
      <c r="I92" s="27" t="s">
        <v>127</v>
      </c>
      <c r="J92" s="27" t="str">
        <f>"13533566391"</f>
        <v>13533566391</v>
      </c>
      <c r="K92" s="29" t="s">
        <v>35</v>
      </c>
      <c r="L92" s="27" t="s">
        <v>36</v>
      </c>
      <c r="M92" s="27"/>
      <c r="N92" s="27" t="s">
        <v>57</v>
      </c>
      <c r="O92" s="27">
        <v>0</v>
      </c>
      <c r="P92" s="27">
        <v>13959</v>
      </c>
      <c r="Q92" s="27">
        <v>13959</v>
      </c>
      <c r="R92" s="27">
        <v>0</v>
      </c>
      <c r="S92" s="27">
        <v>0</v>
      </c>
      <c r="T92" s="27"/>
      <c r="U92" s="30"/>
      <c r="V92" s="30"/>
      <c r="W92" s="27"/>
      <c r="X92" s="27"/>
      <c r="Y92" s="27" t="s">
        <v>127</v>
      </c>
      <c r="Z92" s="30"/>
      <c r="AA92" s="30"/>
      <c r="AB92" s="30"/>
    </row>
    <row r="93" s="28" customFormat="1">
      <c r="A93" s="27" t="s">
        <v>249</v>
      </c>
      <c r="B93" s="27" t="s">
        <v>30</v>
      </c>
      <c r="C93" s="27" t="s">
        <v>250</v>
      </c>
      <c r="D93" s="27" t="str">
        <f>"452402198510290367"</f>
        <v>452402198510290367</v>
      </c>
      <c r="E93" s="27" t="s">
        <v>45</v>
      </c>
      <c r="F93" s="27" t="s">
        <v>122</v>
      </c>
      <c r="G93" s="29">
        <v>145000</v>
      </c>
      <c r="H93" s="27">
        <v>36</v>
      </c>
      <c r="I93" s="27" t="s">
        <v>127</v>
      </c>
      <c r="J93" s="27" t="str">
        <f>"18664082211"</f>
        <v>18664082211</v>
      </c>
      <c r="K93" s="29" t="s">
        <v>35</v>
      </c>
      <c r="L93" s="27" t="s">
        <v>36</v>
      </c>
      <c r="M93" s="27"/>
      <c r="N93" s="27" t="s">
        <v>57</v>
      </c>
      <c r="O93" s="27">
        <v>0</v>
      </c>
      <c r="P93" s="27">
        <v>10872</v>
      </c>
      <c r="Q93" s="27">
        <v>10872</v>
      </c>
      <c r="R93" s="27">
        <v>0</v>
      </c>
      <c r="S93" s="27">
        <v>0</v>
      </c>
      <c r="T93" s="27"/>
      <c r="U93" s="30"/>
      <c r="V93" s="30"/>
      <c r="W93" s="27" t="s">
        <v>74</v>
      </c>
      <c r="X93" s="27" t="s">
        <v>75</v>
      </c>
      <c r="Y93" s="27" t="s">
        <v>127</v>
      </c>
      <c r="Z93" s="30"/>
      <c r="AA93" s="30"/>
      <c r="AB93" s="30"/>
    </row>
    <row r="94" s="28" customFormat="1">
      <c r="A94" s="27" t="s">
        <v>251</v>
      </c>
      <c r="B94" s="27" t="s">
        <v>30</v>
      </c>
      <c r="C94" s="27" t="s">
        <v>252</v>
      </c>
      <c r="D94" s="27" t="str">
        <f>"440122197011190311"</f>
        <v>440122197011190311</v>
      </c>
      <c r="E94" s="27" t="s">
        <v>45</v>
      </c>
      <c r="F94" s="27" t="s">
        <v>122</v>
      </c>
      <c r="G94" s="29">
        <v>148000</v>
      </c>
      <c r="H94" s="27">
        <v>36</v>
      </c>
      <c r="I94" s="27" t="s">
        <v>127</v>
      </c>
      <c r="J94" s="27" t="str">
        <f>"13926173238"</f>
        <v>13926173238</v>
      </c>
      <c r="K94" s="29" t="s">
        <v>35</v>
      </c>
      <c r="L94" s="27" t="s">
        <v>47</v>
      </c>
      <c r="M94" s="27"/>
      <c r="N94" s="27" t="s">
        <v>57</v>
      </c>
      <c r="O94" s="27">
        <v>0</v>
      </c>
      <c r="P94" s="27">
        <v>4962</v>
      </c>
      <c r="Q94" s="27">
        <v>4962</v>
      </c>
      <c r="R94" s="27">
        <v>0</v>
      </c>
      <c r="S94" s="27">
        <v>0</v>
      </c>
      <c r="T94" s="27"/>
      <c r="U94" s="30"/>
      <c r="V94" s="30"/>
      <c r="W94" s="27" t="s">
        <v>108</v>
      </c>
      <c r="X94" s="27" t="s">
        <v>109</v>
      </c>
      <c r="Y94" s="27" t="s">
        <v>127</v>
      </c>
      <c r="Z94" s="30"/>
      <c r="AA94" s="30"/>
      <c r="AB94" s="30"/>
    </row>
    <row r="95" s="28" customFormat="1">
      <c r="A95" s="27" t="s">
        <v>253</v>
      </c>
      <c r="B95" s="27" t="s">
        <v>50</v>
      </c>
      <c r="C95" s="27" t="s">
        <v>254</v>
      </c>
      <c r="D95" s="27" t="str">
        <f>"510224196312052643"</f>
        <v>510224196312052643</v>
      </c>
      <c r="E95" s="27" t="s">
        <v>45</v>
      </c>
      <c r="F95" s="27" t="s">
        <v>122</v>
      </c>
      <c r="G95" s="29">
        <v>64000</v>
      </c>
      <c r="H95" s="27">
        <v>36</v>
      </c>
      <c r="I95" s="27" t="s">
        <v>255</v>
      </c>
      <c r="J95" s="27" t="str">
        <f>"18725636818"</f>
        <v>18725636818</v>
      </c>
      <c r="K95" s="29" t="s">
        <v>35</v>
      </c>
      <c r="L95" s="27" t="s">
        <v>47</v>
      </c>
      <c r="M95" s="27"/>
      <c r="N95" s="27" t="s">
        <v>57</v>
      </c>
      <c r="O95" s="27">
        <v>0</v>
      </c>
      <c r="P95" s="27">
        <v>2163</v>
      </c>
      <c r="Q95" s="27">
        <v>2163</v>
      </c>
      <c r="R95" s="27">
        <v>0</v>
      </c>
      <c r="S95" s="27">
        <v>0</v>
      </c>
      <c r="T95" s="27"/>
      <c r="U95" s="30"/>
      <c r="V95" s="30"/>
      <c r="W95" s="27"/>
      <c r="X95" s="27"/>
      <c r="Y95" s="27" t="s">
        <v>255</v>
      </c>
      <c r="Z95" s="30"/>
      <c r="AA95" s="30"/>
      <c r="AB95" s="30"/>
    </row>
    <row r="96" s="28" customFormat="1">
      <c r="A96" s="27" t="s">
        <v>256</v>
      </c>
      <c r="B96" s="27" t="s">
        <v>30</v>
      </c>
      <c r="C96" s="27" t="s">
        <v>257</v>
      </c>
      <c r="D96" s="27" t="str">
        <f>"452127198404050686"</f>
        <v>452127198404050686</v>
      </c>
      <c r="E96" s="27" t="s">
        <v>45</v>
      </c>
      <c r="F96" s="27" t="s">
        <v>122</v>
      </c>
      <c r="G96" s="29">
        <v>111000</v>
      </c>
      <c r="H96" s="27">
        <v>36</v>
      </c>
      <c r="I96" s="27" t="s">
        <v>255</v>
      </c>
      <c r="J96" s="27" t="str">
        <f>"18028223699"</f>
        <v>18028223699</v>
      </c>
      <c r="K96" s="29" t="s">
        <v>35</v>
      </c>
      <c r="L96" s="27" t="s">
        <v>36</v>
      </c>
      <c r="M96" s="27"/>
      <c r="N96" s="27" t="s">
        <v>57</v>
      </c>
      <c r="O96" s="27">
        <v>0</v>
      </c>
      <c r="P96" s="27">
        <v>3727</v>
      </c>
      <c r="Q96" s="27">
        <v>3727</v>
      </c>
      <c r="R96" s="27">
        <v>0</v>
      </c>
      <c r="S96" s="27">
        <v>0</v>
      </c>
      <c r="T96" s="27"/>
      <c r="U96" s="30"/>
      <c r="V96" s="30"/>
      <c r="W96" s="27" t="s">
        <v>74</v>
      </c>
      <c r="X96" s="27" t="s">
        <v>75</v>
      </c>
      <c r="Y96" s="27" t="s">
        <v>255</v>
      </c>
      <c r="Z96" s="30"/>
      <c r="AA96" s="30"/>
      <c r="AB96" s="30"/>
    </row>
    <row r="97" s="28" customFormat="1">
      <c r="A97" s="27" t="s">
        <v>258</v>
      </c>
      <c r="B97" s="27" t="s">
        <v>30</v>
      </c>
      <c r="C97" s="27" t="s">
        <v>259</v>
      </c>
      <c r="D97" s="27" t="str">
        <f>"440102196311273231"</f>
        <v>440102196311273231</v>
      </c>
      <c r="E97" s="27" t="s">
        <v>45</v>
      </c>
      <c r="F97" s="27" t="s">
        <v>122</v>
      </c>
      <c r="G97" s="29">
        <v>300000</v>
      </c>
      <c r="H97" s="27">
        <v>36</v>
      </c>
      <c r="I97" s="27" t="s">
        <v>255</v>
      </c>
      <c r="J97" s="27" t="str">
        <f>"15815899939"</f>
        <v>15815899939</v>
      </c>
      <c r="K97" s="29" t="s">
        <v>68</v>
      </c>
      <c r="L97" s="27" t="s">
        <v>47</v>
      </c>
      <c r="M97" s="27"/>
      <c r="N97" s="27" t="s">
        <v>57</v>
      </c>
      <c r="O97" s="27">
        <v>0</v>
      </c>
      <c r="P97" s="27">
        <v>15127</v>
      </c>
      <c r="Q97" s="27">
        <v>15127</v>
      </c>
      <c r="R97" s="27">
        <v>0</v>
      </c>
      <c r="S97" s="27">
        <v>0</v>
      </c>
      <c r="T97" s="27"/>
      <c r="U97" s="30"/>
      <c r="V97" s="30"/>
      <c r="W97" s="27"/>
      <c r="X97" s="27"/>
      <c r="Y97" s="27" t="s">
        <v>255</v>
      </c>
      <c r="Z97" s="30"/>
      <c r="AA97" s="30"/>
      <c r="AB97" s="30"/>
    </row>
    <row r="98" s="28" customFormat="1">
      <c r="A98" s="27" t="s">
        <v>260</v>
      </c>
      <c r="B98" s="27" t="s">
        <v>30</v>
      </c>
      <c r="C98" s="27" t="s">
        <v>261</v>
      </c>
      <c r="D98" s="27" t="str">
        <f>"441623197201165234"</f>
        <v>441623197201165234</v>
      </c>
      <c r="E98" s="27" t="s">
        <v>45</v>
      </c>
      <c r="F98" s="27" t="s">
        <v>122</v>
      </c>
      <c r="G98" s="29">
        <v>420000</v>
      </c>
      <c r="H98" s="27">
        <v>36</v>
      </c>
      <c r="I98" s="27" t="s">
        <v>127</v>
      </c>
      <c r="J98" s="27" t="str">
        <f>"18664332622"</f>
        <v>18664332622</v>
      </c>
      <c r="K98" s="29" t="s">
        <v>35</v>
      </c>
      <c r="L98" s="27" t="s">
        <v>36</v>
      </c>
      <c r="M98" s="27"/>
      <c r="N98" s="27" t="s">
        <v>57</v>
      </c>
      <c r="O98" s="27">
        <v>0</v>
      </c>
      <c r="P98" s="27">
        <v>16016</v>
      </c>
      <c r="Q98" s="27">
        <v>16016</v>
      </c>
      <c r="R98" s="27">
        <v>0</v>
      </c>
      <c r="S98" s="27">
        <v>0</v>
      </c>
      <c r="T98" s="27"/>
      <c r="U98" s="30"/>
      <c r="V98" s="30"/>
      <c r="W98" s="27"/>
      <c r="X98" s="27"/>
      <c r="Y98" s="27" t="s">
        <v>127</v>
      </c>
      <c r="Z98" s="30"/>
      <c r="AA98" s="30"/>
      <c r="AB98" s="30"/>
    </row>
    <row r="99" s="28" customFormat="1">
      <c r="A99" s="27" t="s">
        <v>262</v>
      </c>
      <c r="B99" s="27" t="s">
        <v>30</v>
      </c>
      <c r="C99" s="27" t="s">
        <v>263</v>
      </c>
      <c r="D99" s="27" t="str">
        <f>"445281197807251837"</f>
        <v>445281197807251837</v>
      </c>
      <c r="E99" s="27" t="s">
        <v>45</v>
      </c>
      <c r="F99" s="27" t="s">
        <v>122</v>
      </c>
      <c r="G99" s="29">
        <v>265000</v>
      </c>
      <c r="H99" s="27">
        <v>36</v>
      </c>
      <c r="I99" s="27" t="s">
        <v>127</v>
      </c>
      <c r="J99" s="27" t="str">
        <f>"13430688855"</f>
        <v>13430688855</v>
      </c>
      <c r="K99" s="29" t="s">
        <v>68</v>
      </c>
      <c r="L99" s="27" t="s">
        <v>36</v>
      </c>
      <c r="M99" s="27"/>
      <c r="N99" s="27" t="s">
        <v>57</v>
      </c>
      <c r="O99" s="27">
        <v>0</v>
      </c>
      <c r="P99" s="27">
        <v>18795</v>
      </c>
      <c r="Q99" s="27">
        <v>18795</v>
      </c>
      <c r="R99" s="27">
        <v>0</v>
      </c>
      <c r="S99" s="27">
        <v>0</v>
      </c>
      <c r="T99" s="27"/>
      <c r="U99" s="30"/>
      <c r="V99" s="30"/>
      <c r="W99" s="27" t="s">
        <v>40</v>
      </c>
      <c r="X99" s="27" t="s">
        <v>41</v>
      </c>
      <c r="Y99" s="27" t="s">
        <v>127</v>
      </c>
      <c r="Z99" s="30"/>
      <c r="AA99" s="30"/>
      <c r="AB99" s="30"/>
    </row>
    <row r="100" s="28" customFormat="1">
      <c r="A100" s="27" t="s">
        <v>264</v>
      </c>
      <c r="B100" s="27" t="s">
        <v>30</v>
      </c>
      <c r="C100" s="27" t="s">
        <v>265</v>
      </c>
      <c r="D100" s="27" t="str">
        <f>"510224197405271006"</f>
        <v>510224197405271006</v>
      </c>
      <c r="E100" s="27" t="s">
        <v>45</v>
      </c>
      <c r="F100" s="27" t="s">
        <v>122</v>
      </c>
      <c r="G100" s="29">
        <v>200000</v>
      </c>
      <c r="H100" s="27">
        <v>36</v>
      </c>
      <c r="I100" s="27" t="s">
        <v>127</v>
      </c>
      <c r="J100" s="27" t="str">
        <f>"13678495094"</f>
        <v>13678495094</v>
      </c>
      <c r="K100" s="29" t="s">
        <v>89</v>
      </c>
      <c r="L100" s="27" t="s">
        <v>47</v>
      </c>
      <c r="M100" s="27"/>
      <c r="N100" s="27" t="s">
        <v>57</v>
      </c>
      <c r="O100" s="27">
        <v>0</v>
      </c>
      <c r="P100" s="27">
        <v>6865</v>
      </c>
      <c r="Q100" s="27">
        <v>6865</v>
      </c>
      <c r="R100" s="27">
        <v>0</v>
      </c>
      <c r="S100" s="27">
        <v>0</v>
      </c>
      <c r="T100" s="27"/>
      <c r="U100" s="30"/>
      <c r="V100" s="30"/>
      <c r="W100" s="27"/>
      <c r="X100" s="27"/>
      <c r="Y100" s="27" t="s">
        <v>127</v>
      </c>
      <c r="Z100" s="30"/>
      <c r="AA100" s="30"/>
      <c r="AB100" s="30"/>
    </row>
    <row r="101" s="28" customFormat="1">
      <c r="A101" s="27" t="s">
        <v>266</v>
      </c>
      <c r="B101" s="27" t="s">
        <v>30</v>
      </c>
      <c r="C101" s="27" t="s">
        <v>267</v>
      </c>
      <c r="D101" s="27" t="str">
        <f>"412823196904156475"</f>
        <v>412823196904156475</v>
      </c>
      <c r="E101" s="27" t="s">
        <v>45</v>
      </c>
      <c r="F101" s="27" t="s">
        <v>122</v>
      </c>
      <c r="G101" s="29">
        <v>500000</v>
      </c>
      <c r="H101" s="27">
        <v>36</v>
      </c>
      <c r="I101" s="27" t="s">
        <v>127</v>
      </c>
      <c r="J101" s="27" t="str">
        <f>"13928449635"</f>
        <v>13928449635</v>
      </c>
      <c r="K101" s="29" t="s">
        <v>35</v>
      </c>
      <c r="L101" s="27" t="s">
        <v>36</v>
      </c>
      <c r="M101" s="27"/>
      <c r="N101" s="27" t="s">
        <v>57</v>
      </c>
      <c r="O101" s="27">
        <v>0</v>
      </c>
      <c r="P101" s="27">
        <v>39039</v>
      </c>
      <c r="Q101" s="27">
        <v>39039</v>
      </c>
      <c r="R101" s="27">
        <v>0</v>
      </c>
      <c r="S101" s="27">
        <v>0</v>
      </c>
      <c r="T101" s="27"/>
      <c r="U101" s="30"/>
      <c r="V101" s="30"/>
      <c r="W101" s="27" t="s">
        <v>40</v>
      </c>
      <c r="X101" s="27" t="s">
        <v>41</v>
      </c>
      <c r="Y101" s="27" t="s">
        <v>127</v>
      </c>
      <c r="Z101" s="30"/>
      <c r="AA101" s="30"/>
      <c r="AB101" s="30"/>
    </row>
    <row r="102" s="28" customFormat="1">
      <c r="A102" s="27" t="s">
        <v>268</v>
      </c>
      <c r="B102" s="27" t="s">
        <v>30</v>
      </c>
      <c r="C102" s="27" t="s">
        <v>269</v>
      </c>
      <c r="D102" s="27" t="str">
        <f>"430223198105054526"</f>
        <v>430223198105054526</v>
      </c>
      <c r="E102" s="27" t="s">
        <v>45</v>
      </c>
      <c r="F102" s="27" t="s">
        <v>122</v>
      </c>
      <c r="G102" s="29">
        <v>200000</v>
      </c>
      <c r="H102" s="27">
        <v>36</v>
      </c>
      <c r="I102" s="27" t="s">
        <v>127</v>
      </c>
      <c r="J102" s="27" t="str">
        <f>"18665332856"</f>
        <v>18665332856</v>
      </c>
      <c r="K102" s="29" t="s">
        <v>35</v>
      </c>
      <c r="L102" s="27" t="s">
        <v>36</v>
      </c>
      <c r="M102" s="27"/>
      <c r="N102" s="27" t="s">
        <v>57</v>
      </c>
      <c r="O102" s="27">
        <v>0</v>
      </c>
      <c r="P102" s="27">
        <v>8191</v>
      </c>
      <c r="Q102" s="27">
        <v>8191</v>
      </c>
      <c r="R102" s="27">
        <v>0</v>
      </c>
      <c r="S102" s="27">
        <v>0</v>
      </c>
      <c r="T102" s="27"/>
      <c r="U102" s="30"/>
      <c r="V102" s="30"/>
      <c r="W102" s="27"/>
      <c r="X102" s="27"/>
      <c r="Y102" s="27" t="s">
        <v>127</v>
      </c>
      <c r="Z102" s="30"/>
      <c r="AA102" s="30"/>
      <c r="AB102" s="30"/>
    </row>
    <row r="103" s="28" customFormat="1">
      <c r="A103" s="27" t="s">
        <v>270</v>
      </c>
      <c r="B103" s="27" t="s">
        <v>50</v>
      </c>
      <c r="C103" s="27" t="s">
        <v>271</v>
      </c>
      <c r="D103" s="27" t="str">
        <f>"421023198411058144"</f>
        <v>421023198411058144</v>
      </c>
      <c r="E103" s="27" t="s">
        <v>45</v>
      </c>
      <c r="F103" s="27" t="s">
        <v>122</v>
      </c>
      <c r="G103" s="29">
        <v>210000</v>
      </c>
      <c r="H103" s="27">
        <v>24</v>
      </c>
      <c r="I103" s="27" t="s">
        <v>127</v>
      </c>
      <c r="J103" s="27" t="str">
        <f>"13632639859"</f>
        <v>13632639859</v>
      </c>
      <c r="K103" s="29" t="s">
        <v>35</v>
      </c>
      <c r="L103" s="27" t="s">
        <v>36</v>
      </c>
      <c r="M103" s="27"/>
      <c r="N103" s="27" t="s">
        <v>57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/>
      <c r="U103" s="30"/>
      <c r="V103" s="30"/>
      <c r="W103" s="27"/>
      <c r="X103" s="27"/>
      <c r="Y103" s="27" t="s">
        <v>127</v>
      </c>
      <c r="Z103" s="30"/>
      <c r="AA103" s="30"/>
      <c r="AB103" s="30"/>
    </row>
    <row r="104" s="28" customFormat="1">
      <c r="A104" s="27" t="s">
        <v>272</v>
      </c>
      <c r="B104" s="27" t="s">
        <v>30</v>
      </c>
      <c r="C104" s="27" t="s">
        <v>273</v>
      </c>
      <c r="D104" s="27" t="str">
        <f>"442000198211010912"</f>
        <v>442000198211010912</v>
      </c>
      <c r="E104" s="27" t="s">
        <v>45</v>
      </c>
      <c r="F104" s="27" t="s">
        <v>122</v>
      </c>
      <c r="G104" s="29">
        <v>248000</v>
      </c>
      <c r="H104" s="27">
        <v>36</v>
      </c>
      <c r="I104" s="27" t="s">
        <v>127</v>
      </c>
      <c r="J104" s="27" t="str">
        <f>"13926003205"</f>
        <v>13926003205</v>
      </c>
      <c r="K104" s="29" t="s">
        <v>35</v>
      </c>
      <c r="L104" s="27" t="s">
        <v>36</v>
      </c>
      <c r="M104" s="27"/>
      <c r="N104" s="27" t="s">
        <v>57</v>
      </c>
      <c r="O104" s="27">
        <v>0</v>
      </c>
      <c r="P104" s="27">
        <v>8296</v>
      </c>
      <c r="Q104" s="27">
        <v>8296</v>
      </c>
      <c r="R104" s="27">
        <v>0</v>
      </c>
      <c r="S104" s="27">
        <v>0</v>
      </c>
      <c r="T104" s="27"/>
      <c r="U104" s="30"/>
      <c r="V104" s="30"/>
      <c r="W104" s="27" t="s">
        <v>108</v>
      </c>
      <c r="X104" s="27" t="s">
        <v>109</v>
      </c>
      <c r="Y104" s="27" t="s">
        <v>127</v>
      </c>
      <c r="Z104" s="30"/>
      <c r="AA104" s="30"/>
      <c r="AB104" s="30"/>
    </row>
    <row r="105" s="28" customFormat="1">
      <c r="A105" s="27" t="s">
        <v>274</v>
      </c>
      <c r="B105" s="27" t="s">
        <v>30</v>
      </c>
      <c r="C105" s="27" t="s">
        <v>275</v>
      </c>
      <c r="D105" s="27" t="str">
        <f>"430527198210221818"</f>
        <v>430527198210221818</v>
      </c>
      <c r="E105" s="27" t="s">
        <v>45</v>
      </c>
      <c r="F105" s="27" t="s">
        <v>122</v>
      </c>
      <c r="G105" s="29">
        <v>117000</v>
      </c>
      <c r="H105" s="27">
        <v>36</v>
      </c>
      <c r="I105" s="27" t="s">
        <v>127</v>
      </c>
      <c r="J105" s="27" t="str">
        <f>"15019243918"</f>
        <v>15019243918</v>
      </c>
      <c r="K105" s="29" t="s">
        <v>35</v>
      </c>
      <c r="L105" s="27" t="s">
        <v>36</v>
      </c>
      <c r="M105" s="27"/>
      <c r="N105" s="27" t="s">
        <v>57</v>
      </c>
      <c r="O105" s="27">
        <v>0</v>
      </c>
      <c r="P105" s="27">
        <v>3914</v>
      </c>
      <c r="Q105" s="27">
        <v>3914</v>
      </c>
      <c r="R105" s="27">
        <v>0</v>
      </c>
      <c r="S105" s="27">
        <v>0</v>
      </c>
      <c r="T105" s="27"/>
      <c r="U105" s="30"/>
      <c r="V105" s="30"/>
      <c r="W105" s="27"/>
      <c r="X105" s="27"/>
      <c r="Y105" s="27" t="s">
        <v>127</v>
      </c>
      <c r="Z105" s="30"/>
      <c r="AA105" s="30"/>
      <c r="AB105" s="30"/>
    </row>
    <row r="106" s="28" customFormat="1">
      <c r="A106" s="27" t="s">
        <v>276</v>
      </c>
      <c r="B106" s="27" t="s">
        <v>30</v>
      </c>
      <c r="C106" s="27" t="s">
        <v>277</v>
      </c>
      <c r="D106" s="27" t="str">
        <f>"440527197510045016"</f>
        <v>440527197510045016</v>
      </c>
      <c r="E106" s="27" t="s">
        <v>45</v>
      </c>
      <c r="F106" s="27" t="s">
        <v>122</v>
      </c>
      <c r="G106" s="29">
        <v>300000</v>
      </c>
      <c r="H106" s="27">
        <v>36</v>
      </c>
      <c r="I106" s="27" t="s">
        <v>127</v>
      </c>
      <c r="J106" s="27" t="str">
        <f>"13600071439"</f>
        <v>13600071439</v>
      </c>
      <c r="K106" s="29" t="s">
        <v>35</v>
      </c>
      <c r="L106" s="27" t="s">
        <v>36</v>
      </c>
      <c r="M106" s="27"/>
      <c r="N106" s="27" t="s">
        <v>57</v>
      </c>
      <c r="O106" s="27">
        <v>0</v>
      </c>
      <c r="P106" s="27">
        <v>19600</v>
      </c>
      <c r="Q106" s="27">
        <v>19600</v>
      </c>
      <c r="R106" s="27">
        <v>0</v>
      </c>
      <c r="S106" s="27">
        <v>0</v>
      </c>
      <c r="T106" s="27"/>
      <c r="U106" s="30"/>
      <c r="V106" s="30"/>
      <c r="W106" s="27" t="s">
        <v>108</v>
      </c>
      <c r="X106" s="27" t="s">
        <v>109</v>
      </c>
      <c r="Y106" s="27" t="s">
        <v>127</v>
      </c>
      <c r="Z106" s="30"/>
      <c r="AA106" s="30"/>
      <c r="AB106" s="30"/>
    </row>
    <row r="107" s="28" customFormat="1">
      <c r="A107" s="27" t="s">
        <v>278</v>
      </c>
      <c r="B107" s="27" t="s">
        <v>30</v>
      </c>
      <c r="C107" s="27" t="s">
        <v>279</v>
      </c>
      <c r="D107" s="27" t="str">
        <f>"320102196511080015"</f>
        <v>320102196511080015</v>
      </c>
      <c r="E107" s="27" t="s">
        <v>45</v>
      </c>
      <c r="F107" s="27" t="s">
        <v>122</v>
      </c>
      <c r="G107" s="29">
        <v>200000</v>
      </c>
      <c r="H107" s="27">
        <v>36</v>
      </c>
      <c r="I107" s="27" t="s">
        <v>127</v>
      </c>
      <c r="J107" s="27" t="str">
        <f>"13509673736"</f>
        <v>13509673736</v>
      </c>
      <c r="K107" s="29" t="s">
        <v>35</v>
      </c>
      <c r="L107" s="27" t="s">
        <v>36</v>
      </c>
      <c r="M107" s="27"/>
      <c r="N107" s="27" t="s">
        <v>57</v>
      </c>
      <c r="O107" s="27">
        <v>0</v>
      </c>
      <c r="P107" s="27">
        <v>22800</v>
      </c>
      <c r="Q107" s="27">
        <v>22800</v>
      </c>
      <c r="R107" s="27">
        <v>0</v>
      </c>
      <c r="S107" s="27">
        <v>0</v>
      </c>
      <c r="T107" s="27"/>
      <c r="U107" s="30"/>
      <c r="V107" s="30"/>
      <c r="W107" s="27" t="s">
        <v>40</v>
      </c>
      <c r="X107" s="27" t="s">
        <v>41</v>
      </c>
      <c r="Y107" s="27" t="s">
        <v>127</v>
      </c>
      <c r="Z107" s="30"/>
      <c r="AA107" s="30"/>
      <c r="AB107" s="30"/>
    </row>
    <row r="108" s="28" customFormat="1">
      <c r="A108" s="27" t="s">
        <v>280</v>
      </c>
      <c r="B108" s="27" t="s">
        <v>30</v>
      </c>
      <c r="C108" s="27" t="s">
        <v>281</v>
      </c>
      <c r="D108" s="27" t="s">
        <v>282</v>
      </c>
      <c r="E108" s="27" t="s">
        <v>45</v>
      </c>
      <c r="F108" s="27" t="s">
        <v>122</v>
      </c>
      <c r="G108" s="29">
        <v>300000</v>
      </c>
      <c r="H108" s="27">
        <v>36</v>
      </c>
      <c r="I108" s="27" t="s">
        <v>127</v>
      </c>
      <c r="J108" s="27" t="str">
        <f>"13593649753"</f>
        <v>13593649753</v>
      </c>
      <c r="K108" s="29" t="s">
        <v>35</v>
      </c>
      <c r="L108" s="27" t="s">
        <v>36</v>
      </c>
      <c r="M108" s="27"/>
      <c r="N108" s="27" t="s">
        <v>57</v>
      </c>
      <c r="O108" s="27">
        <v>0</v>
      </c>
      <c r="P108" s="27">
        <v>13794</v>
      </c>
      <c r="Q108" s="27">
        <v>13794</v>
      </c>
      <c r="R108" s="27">
        <v>0</v>
      </c>
      <c r="S108" s="27">
        <v>0</v>
      </c>
      <c r="T108" s="27"/>
      <c r="U108" s="30"/>
      <c r="V108" s="30"/>
      <c r="W108" s="27" t="s">
        <v>74</v>
      </c>
      <c r="X108" s="27" t="s">
        <v>75</v>
      </c>
      <c r="Y108" s="27" t="s">
        <v>127</v>
      </c>
      <c r="Z108" s="30"/>
      <c r="AA108" s="30"/>
      <c r="AB108" s="30"/>
    </row>
    <row r="109" s="28" customFormat="1">
      <c r="A109" s="27" t="s">
        <v>283</v>
      </c>
      <c r="B109" s="27" t="s">
        <v>30</v>
      </c>
      <c r="C109" s="27" t="s">
        <v>284</v>
      </c>
      <c r="D109" s="27" t="str">
        <f>"341124198010164028"</f>
        <v>341124198010164028</v>
      </c>
      <c r="E109" s="27" t="s">
        <v>45</v>
      </c>
      <c r="F109" s="27" t="s">
        <v>122</v>
      </c>
      <c r="G109" s="29">
        <v>200000</v>
      </c>
      <c r="H109" s="27">
        <v>24</v>
      </c>
      <c r="I109" s="27" t="s">
        <v>127</v>
      </c>
      <c r="J109" s="27" t="str">
        <f>"13760883387"</f>
        <v>13760883387</v>
      </c>
      <c r="K109" s="29" t="s">
        <v>35</v>
      </c>
      <c r="L109" s="27" t="s">
        <v>36</v>
      </c>
      <c r="M109" s="27"/>
      <c r="N109" s="27" t="s">
        <v>57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/>
      <c r="U109" s="30"/>
      <c r="V109" s="30"/>
      <c r="W109" s="27"/>
      <c r="X109" s="27"/>
      <c r="Y109" s="27" t="s">
        <v>127</v>
      </c>
      <c r="Z109" s="30"/>
      <c r="AA109" s="30"/>
      <c r="AB109" s="30"/>
    </row>
    <row r="110" s="28" customFormat="1">
      <c r="A110" s="27" t="s">
        <v>285</v>
      </c>
      <c r="B110" s="27" t="s">
        <v>30</v>
      </c>
      <c r="C110" s="27" t="s">
        <v>286</v>
      </c>
      <c r="D110" s="27" t="str">
        <f>"430723198706233826"</f>
        <v>430723198706233826</v>
      </c>
      <c r="E110" s="27" t="s">
        <v>45</v>
      </c>
      <c r="F110" s="27" t="s">
        <v>122</v>
      </c>
      <c r="G110" s="29">
        <v>130000</v>
      </c>
      <c r="H110" s="27">
        <v>24</v>
      </c>
      <c r="I110" s="27" t="s">
        <v>127</v>
      </c>
      <c r="J110" s="27" t="str">
        <f>"13528511535"</f>
        <v>13528511535</v>
      </c>
      <c r="K110" s="29" t="s">
        <v>35</v>
      </c>
      <c r="L110" s="27" t="s">
        <v>36</v>
      </c>
      <c r="M110" s="27"/>
      <c r="N110" s="27" t="s">
        <v>57</v>
      </c>
      <c r="O110" s="27">
        <v>0</v>
      </c>
      <c r="P110" s="27">
        <v>5429</v>
      </c>
      <c r="Q110" s="27">
        <v>5429</v>
      </c>
      <c r="R110" s="27">
        <v>0</v>
      </c>
      <c r="S110" s="27">
        <v>0</v>
      </c>
      <c r="T110" s="27"/>
      <c r="U110" s="30"/>
      <c r="V110" s="30"/>
      <c r="W110" s="27" t="s">
        <v>74</v>
      </c>
      <c r="X110" s="27" t="s">
        <v>75</v>
      </c>
      <c r="Y110" s="27" t="s">
        <v>127</v>
      </c>
      <c r="Z110" s="30"/>
      <c r="AA110" s="30"/>
      <c r="AB110" s="30"/>
    </row>
    <row r="111" s="28" customFormat="1">
      <c r="A111" s="27" t="s">
        <v>287</v>
      </c>
      <c r="B111" s="27" t="s">
        <v>30</v>
      </c>
      <c r="C111" s="27" t="s">
        <v>288</v>
      </c>
      <c r="D111" s="27" t="str">
        <f>"430722197303233046"</f>
        <v>430722197303233046</v>
      </c>
      <c r="E111" s="27" t="s">
        <v>45</v>
      </c>
      <c r="F111" s="27" t="s">
        <v>122</v>
      </c>
      <c r="G111" s="29">
        <v>200000</v>
      </c>
      <c r="H111" s="27">
        <v>12</v>
      </c>
      <c r="I111" s="27" t="s">
        <v>127</v>
      </c>
      <c r="J111" s="27" t="str">
        <f>"18025233656"</f>
        <v>18025233656</v>
      </c>
      <c r="K111" s="29" t="s">
        <v>35</v>
      </c>
      <c r="L111" s="27" t="s">
        <v>36</v>
      </c>
      <c r="M111" s="27"/>
      <c r="N111" s="27" t="s">
        <v>57</v>
      </c>
      <c r="O111" s="27">
        <v>0</v>
      </c>
      <c r="P111" s="27">
        <v>13343</v>
      </c>
      <c r="Q111" s="27">
        <v>13343</v>
      </c>
      <c r="R111" s="27">
        <v>0</v>
      </c>
      <c r="S111" s="27">
        <v>0</v>
      </c>
      <c r="T111" s="27"/>
      <c r="U111" s="30"/>
      <c r="V111" s="30"/>
      <c r="W111" s="27" t="s">
        <v>74</v>
      </c>
      <c r="X111" s="27" t="s">
        <v>75</v>
      </c>
      <c r="Y111" s="27" t="s">
        <v>127</v>
      </c>
      <c r="Z111" s="30"/>
      <c r="AA111" s="30"/>
      <c r="AB111" s="30"/>
    </row>
    <row r="112" s="28" customFormat="1">
      <c r="A112" s="27" t="s">
        <v>289</v>
      </c>
      <c r="B112" s="27" t="s">
        <v>30</v>
      </c>
      <c r="C112" s="27" t="s">
        <v>290</v>
      </c>
      <c r="D112" s="27" t="s">
        <v>291</v>
      </c>
      <c r="E112" s="27" t="s">
        <v>45</v>
      </c>
      <c r="F112" s="27" t="s">
        <v>122</v>
      </c>
      <c r="G112" s="29">
        <v>96000</v>
      </c>
      <c r="H112" s="27">
        <v>36</v>
      </c>
      <c r="I112" s="27" t="s">
        <v>127</v>
      </c>
      <c r="J112" s="27" t="str">
        <f>"13798828876"</f>
        <v>13798828876</v>
      </c>
      <c r="K112" s="29" t="s">
        <v>35</v>
      </c>
      <c r="L112" s="27" t="s">
        <v>36</v>
      </c>
      <c r="M112" s="27"/>
      <c r="N112" s="27" t="s">
        <v>57</v>
      </c>
      <c r="O112" s="27">
        <v>0</v>
      </c>
      <c r="P112" s="27">
        <v>3210</v>
      </c>
      <c r="Q112" s="27">
        <v>3210</v>
      </c>
      <c r="R112" s="27">
        <v>0</v>
      </c>
      <c r="S112" s="27">
        <v>0</v>
      </c>
      <c r="T112" s="27"/>
      <c r="U112" s="30"/>
      <c r="V112" s="30"/>
      <c r="W112" s="27" t="s">
        <v>74</v>
      </c>
      <c r="X112" s="27" t="s">
        <v>75</v>
      </c>
      <c r="Y112" s="27" t="s">
        <v>127</v>
      </c>
      <c r="Z112" s="30"/>
      <c r="AA112" s="30"/>
      <c r="AB112" s="30"/>
    </row>
    <row r="113" s="28" customFormat="1">
      <c r="A113" s="27" t="s">
        <v>292</v>
      </c>
      <c r="B113" s="27" t="s">
        <v>30</v>
      </c>
      <c r="C113" s="27" t="s">
        <v>293</v>
      </c>
      <c r="D113" s="27" t="s">
        <v>294</v>
      </c>
      <c r="E113" s="27" t="s">
        <v>45</v>
      </c>
      <c r="F113" s="27" t="s">
        <v>122</v>
      </c>
      <c r="G113" s="29">
        <v>60000</v>
      </c>
      <c r="H113" s="27">
        <v>36</v>
      </c>
      <c r="I113" s="27" t="s">
        <v>127</v>
      </c>
      <c r="J113" s="27" t="str">
        <f>"15123820996"</f>
        <v>15123820996</v>
      </c>
      <c r="K113" s="29" t="s">
        <v>35</v>
      </c>
      <c r="L113" s="27" t="s">
        <v>47</v>
      </c>
      <c r="M113" s="27"/>
      <c r="N113" s="27" t="s">
        <v>57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/>
      <c r="U113" s="30"/>
      <c r="V113" s="30"/>
      <c r="W113" s="27" t="s">
        <v>159</v>
      </c>
      <c r="X113" s="27" t="s">
        <v>160</v>
      </c>
      <c r="Y113" s="27" t="s">
        <v>127</v>
      </c>
      <c r="Z113" s="30"/>
      <c r="AA113" s="30"/>
      <c r="AB113" s="30"/>
    </row>
    <row r="114" s="28" customFormat="1">
      <c r="A114" s="27" t="s">
        <v>295</v>
      </c>
      <c r="B114" s="27" t="s">
        <v>30</v>
      </c>
      <c r="C114" s="27" t="s">
        <v>296</v>
      </c>
      <c r="D114" s="27" t="str">
        <f>"432927197404162624"</f>
        <v>432927197404162624</v>
      </c>
      <c r="E114" s="27" t="s">
        <v>45</v>
      </c>
      <c r="F114" s="27" t="s">
        <v>122</v>
      </c>
      <c r="G114" s="29">
        <v>300000</v>
      </c>
      <c r="H114" s="27">
        <v>36</v>
      </c>
      <c r="I114" s="27" t="s">
        <v>127</v>
      </c>
      <c r="J114" s="27" t="str">
        <f>"15876985640"</f>
        <v>15876985640</v>
      </c>
      <c r="K114" s="29" t="s">
        <v>35</v>
      </c>
      <c r="L114" s="27" t="s">
        <v>36</v>
      </c>
      <c r="M114" s="27"/>
      <c r="N114" s="27" t="s">
        <v>57</v>
      </c>
      <c r="O114" s="27">
        <v>0</v>
      </c>
      <c r="P114" s="27">
        <v>10899</v>
      </c>
      <c r="Q114" s="27">
        <v>10899</v>
      </c>
      <c r="R114" s="27">
        <v>0</v>
      </c>
      <c r="S114" s="27">
        <v>0</v>
      </c>
      <c r="T114" s="27"/>
      <c r="U114" s="30"/>
      <c r="V114" s="30"/>
      <c r="W114" s="27"/>
      <c r="X114" s="27"/>
      <c r="Y114" s="27" t="s">
        <v>127</v>
      </c>
      <c r="Z114" s="30"/>
      <c r="AA114" s="30"/>
      <c r="AB114" s="30"/>
    </row>
    <row r="115" s="28" customFormat="1">
      <c r="A115" s="27" t="s">
        <v>297</v>
      </c>
      <c r="B115" s="27" t="s">
        <v>30</v>
      </c>
      <c r="C115" s="27" t="s">
        <v>298</v>
      </c>
      <c r="D115" s="27" t="str">
        <f>"362430197902192319"</f>
        <v>362430197902192319</v>
      </c>
      <c r="E115" s="27" t="s">
        <v>45</v>
      </c>
      <c r="F115" s="27" t="s">
        <v>122</v>
      </c>
      <c r="G115" s="29">
        <v>93000</v>
      </c>
      <c r="H115" s="27">
        <v>36</v>
      </c>
      <c r="I115" s="27" t="s">
        <v>127</v>
      </c>
      <c r="J115" s="27" t="str">
        <f>"15919455865"</f>
        <v>15919455865</v>
      </c>
      <c r="K115" s="29" t="s">
        <v>35</v>
      </c>
      <c r="L115" s="27" t="s">
        <v>36</v>
      </c>
      <c r="M115" s="27"/>
      <c r="N115" s="27" t="s">
        <v>57</v>
      </c>
      <c r="O115" s="27">
        <v>0</v>
      </c>
      <c r="P115" s="27">
        <v>3101</v>
      </c>
      <c r="Q115" s="27">
        <v>3101</v>
      </c>
      <c r="R115" s="27">
        <v>0</v>
      </c>
      <c r="S115" s="27">
        <v>0</v>
      </c>
      <c r="T115" s="27"/>
      <c r="U115" s="30"/>
      <c r="V115" s="30"/>
      <c r="W115" s="27" t="s">
        <v>40</v>
      </c>
      <c r="X115" s="27" t="s">
        <v>41</v>
      </c>
      <c r="Y115" s="27" t="s">
        <v>127</v>
      </c>
      <c r="Z115" s="30"/>
      <c r="AA115" s="30"/>
      <c r="AB115" s="30"/>
    </row>
    <row r="116" s="28" customFormat="1">
      <c r="A116" s="27" t="s">
        <v>299</v>
      </c>
      <c r="B116" s="27" t="s">
        <v>30</v>
      </c>
      <c r="C116" s="27" t="s">
        <v>300</v>
      </c>
      <c r="D116" s="27" t="str">
        <f>"332626197803091695"</f>
        <v>332626197803091695</v>
      </c>
      <c r="E116" s="27" t="s">
        <v>45</v>
      </c>
      <c r="F116" s="27" t="s">
        <v>122</v>
      </c>
      <c r="G116" s="29">
        <v>120000</v>
      </c>
      <c r="H116" s="27">
        <v>36</v>
      </c>
      <c r="I116" s="27" t="s">
        <v>127</v>
      </c>
      <c r="J116" s="27" t="str">
        <f>"13510964288"</f>
        <v>13510964288</v>
      </c>
      <c r="K116" s="29" t="s">
        <v>35</v>
      </c>
      <c r="L116" s="27" t="s">
        <v>36</v>
      </c>
      <c r="M116" s="27"/>
      <c r="N116" s="27" t="s">
        <v>57</v>
      </c>
      <c r="O116" s="27">
        <v>0</v>
      </c>
      <c r="P116" s="27">
        <v>11888</v>
      </c>
      <c r="Q116" s="27">
        <v>11888</v>
      </c>
      <c r="R116" s="27">
        <v>0</v>
      </c>
      <c r="S116" s="27">
        <v>0</v>
      </c>
      <c r="T116" s="27"/>
      <c r="U116" s="30"/>
      <c r="V116" s="30"/>
      <c r="W116" s="27"/>
      <c r="X116" s="27"/>
      <c r="Y116" s="27" t="s">
        <v>127</v>
      </c>
      <c r="Z116" s="30"/>
      <c r="AA116" s="30"/>
      <c r="AB116" s="30"/>
    </row>
    <row r="117" s="28" customFormat="1">
      <c r="A117" s="27" t="s">
        <v>301</v>
      </c>
      <c r="B117" s="27" t="s">
        <v>50</v>
      </c>
      <c r="C117" s="27" t="s">
        <v>302</v>
      </c>
      <c r="D117" s="27" t="str">
        <f>"230624198107180826"</f>
        <v>230624198107180826</v>
      </c>
      <c r="E117" s="27" t="s">
        <v>45</v>
      </c>
      <c r="F117" s="27" t="s">
        <v>122</v>
      </c>
      <c r="G117" s="29">
        <v>71000</v>
      </c>
      <c r="H117" s="27">
        <v>36</v>
      </c>
      <c r="I117" s="27" t="s">
        <v>127</v>
      </c>
      <c r="J117" s="27" t="str">
        <f>"18565388267"</f>
        <v>18565388267</v>
      </c>
      <c r="K117" s="29" t="s">
        <v>35</v>
      </c>
      <c r="L117" s="27" t="s">
        <v>36</v>
      </c>
      <c r="M117" s="27"/>
      <c r="N117" s="27" t="s">
        <v>57</v>
      </c>
      <c r="O117" s="27">
        <v>0</v>
      </c>
      <c r="P117" s="27">
        <v>2371</v>
      </c>
      <c r="Q117" s="27">
        <v>2371</v>
      </c>
      <c r="R117" s="27">
        <v>0</v>
      </c>
      <c r="S117" s="27">
        <v>0</v>
      </c>
      <c r="T117" s="27"/>
      <c r="U117" s="30"/>
      <c r="V117" s="30"/>
      <c r="W117" s="27" t="s">
        <v>108</v>
      </c>
      <c r="X117" s="27" t="s">
        <v>109</v>
      </c>
      <c r="Y117" s="27" t="s">
        <v>127</v>
      </c>
      <c r="Z117" s="30"/>
      <c r="AA117" s="30"/>
      <c r="AB117" s="30"/>
    </row>
    <row r="118" s="28" customFormat="1">
      <c r="A118" s="27" t="s">
        <v>303</v>
      </c>
      <c r="B118" s="27" t="s">
        <v>30</v>
      </c>
      <c r="C118" s="27" t="s">
        <v>304</v>
      </c>
      <c r="D118" s="27" t="str">
        <f>"452702198402074778"</f>
        <v>452702198402074778</v>
      </c>
      <c r="E118" s="27" t="s">
        <v>45</v>
      </c>
      <c r="F118" s="27" t="s">
        <v>122</v>
      </c>
      <c r="G118" s="29">
        <v>300000</v>
      </c>
      <c r="H118" s="27">
        <v>36</v>
      </c>
      <c r="I118" s="27" t="s">
        <v>127</v>
      </c>
      <c r="J118" s="27" t="str">
        <f>"13603016477"</f>
        <v>13603016477</v>
      </c>
      <c r="K118" s="29" t="s">
        <v>35</v>
      </c>
      <c r="L118" s="27" t="s">
        <v>47</v>
      </c>
      <c r="M118" s="27"/>
      <c r="N118" s="27" t="s">
        <v>57</v>
      </c>
      <c r="O118" s="27">
        <v>0</v>
      </c>
      <c r="P118" s="27">
        <v>12087</v>
      </c>
      <c r="Q118" s="27">
        <v>12087</v>
      </c>
      <c r="R118" s="27">
        <v>0</v>
      </c>
      <c r="S118" s="27">
        <v>0</v>
      </c>
      <c r="T118" s="27"/>
      <c r="U118" s="30"/>
      <c r="V118" s="30"/>
      <c r="W118" s="27"/>
      <c r="X118" s="27"/>
      <c r="Y118" s="27" t="s">
        <v>127</v>
      </c>
      <c r="Z118" s="30"/>
      <c r="AA118" s="30"/>
      <c r="AB118" s="30"/>
    </row>
    <row r="119" s="28" customFormat="1">
      <c r="A119" s="27" t="s">
        <v>305</v>
      </c>
      <c r="B119" s="27" t="s">
        <v>30</v>
      </c>
      <c r="C119" s="27" t="s">
        <v>306</v>
      </c>
      <c r="D119" s="27" t="str">
        <f>"500224198707114244"</f>
        <v>500224198707114244</v>
      </c>
      <c r="E119" s="27" t="s">
        <v>45</v>
      </c>
      <c r="F119" s="27" t="s">
        <v>122</v>
      </c>
      <c r="G119" s="29">
        <v>89000</v>
      </c>
      <c r="H119" s="27">
        <v>36</v>
      </c>
      <c r="I119" s="27" t="s">
        <v>127</v>
      </c>
      <c r="J119" s="27" t="str">
        <f>"13883617505"</f>
        <v>13883617505</v>
      </c>
      <c r="K119" s="29" t="s">
        <v>35</v>
      </c>
      <c r="L119" s="27" t="s">
        <v>47</v>
      </c>
      <c r="M119" s="27" t="s">
        <v>156</v>
      </c>
      <c r="N119" s="27" t="s">
        <v>57</v>
      </c>
      <c r="O119" s="27">
        <v>0</v>
      </c>
      <c r="P119" s="27">
        <v>2973</v>
      </c>
      <c r="Q119" s="27">
        <v>2973</v>
      </c>
      <c r="R119" s="27">
        <v>0</v>
      </c>
      <c r="S119" s="27">
        <v>0</v>
      </c>
      <c r="T119" s="27"/>
      <c r="U119" s="30"/>
      <c r="V119" s="30"/>
      <c r="W119" s="27" t="s">
        <v>159</v>
      </c>
      <c r="X119" s="27" t="s">
        <v>160</v>
      </c>
      <c r="Y119" s="27" t="s">
        <v>127</v>
      </c>
      <c r="Z119" s="30"/>
      <c r="AA119" s="30"/>
      <c r="AB119" s="30"/>
    </row>
    <row r="120" s="28" customFormat="1">
      <c r="A120" s="27" t="s">
        <v>307</v>
      </c>
      <c r="B120" s="27" t="s">
        <v>30</v>
      </c>
      <c r="C120" s="27" t="s">
        <v>308</v>
      </c>
      <c r="D120" s="27" t="str">
        <f>"522221198209132825"</f>
        <v>522221198209132825</v>
      </c>
      <c r="E120" s="27" t="s">
        <v>45</v>
      </c>
      <c r="F120" s="27" t="s">
        <v>122</v>
      </c>
      <c r="G120" s="29">
        <v>168000</v>
      </c>
      <c r="H120" s="27">
        <v>36</v>
      </c>
      <c r="I120" s="27" t="s">
        <v>127</v>
      </c>
      <c r="J120" s="27" t="str">
        <f>"15322821012"</f>
        <v>15322821012</v>
      </c>
      <c r="K120" s="29" t="s">
        <v>35</v>
      </c>
      <c r="L120" s="27" t="s">
        <v>36</v>
      </c>
      <c r="M120" s="27" t="s">
        <v>37</v>
      </c>
      <c r="N120" s="27" t="s">
        <v>57</v>
      </c>
      <c r="O120" s="27">
        <v>0</v>
      </c>
      <c r="P120" s="27">
        <v>5629</v>
      </c>
      <c r="Q120" s="27">
        <v>5629</v>
      </c>
      <c r="R120" s="27">
        <v>0</v>
      </c>
      <c r="S120" s="27">
        <v>0</v>
      </c>
      <c r="T120" s="27"/>
      <c r="U120" s="30"/>
      <c r="V120" s="30"/>
      <c r="W120" s="27"/>
      <c r="X120" s="27"/>
      <c r="Y120" s="27" t="s">
        <v>127</v>
      </c>
      <c r="Z120" s="30"/>
      <c r="AA120" s="30"/>
      <c r="AB120" s="30"/>
    </row>
    <row r="121" s="28" customFormat="1">
      <c r="A121" s="27" t="s">
        <v>309</v>
      </c>
      <c r="B121" s="27" t="s">
        <v>30</v>
      </c>
      <c r="C121" s="27" t="s">
        <v>310</v>
      </c>
      <c r="D121" s="27" t="str">
        <f>"440525196302153437"</f>
        <v>440525196302153437</v>
      </c>
      <c r="E121" s="27" t="s">
        <v>45</v>
      </c>
      <c r="F121" s="27" t="s">
        <v>122</v>
      </c>
      <c r="G121" s="29">
        <v>150000</v>
      </c>
      <c r="H121" s="27">
        <v>24</v>
      </c>
      <c r="I121" s="27" t="s">
        <v>127</v>
      </c>
      <c r="J121" s="27" t="str">
        <f>"13829220317"</f>
        <v>13829220317</v>
      </c>
      <c r="K121" s="29" t="s">
        <v>35</v>
      </c>
      <c r="L121" s="27" t="s">
        <v>36</v>
      </c>
      <c r="M121" s="27" t="s">
        <v>37</v>
      </c>
      <c r="N121" s="27" t="s">
        <v>57</v>
      </c>
      <c r="O121" s="27">
        <v>0</v>
      </c>
      <c r="P121" s="27">
        <v>6805</v>
      </c>
      <c r="Q121" s="27">
        <v>6805</v>
      </c>
      <c r="R121" s="27">
        <v>0</v>
      </c>
      <c r="S121" s="27">
        <v>0</v>
      </c>
      <c r="T121" s="27"/>
      <c r="U121" s="30"/>
      <c r="V121" s="30"/>
      <c r="W121" s="27"/>
      <c r="X121" s="27"/>
      <c r="Y121" s="27" t="s">
        <v>127</v>
      </c>
      <c r="Z121" s="30"/>
      <c r="AA121" s="30"/>
      <c r="AB121" s="30"/>
    </row>
    <row r="122" s="28" customFormat="1">
      <c r="A122" s="27" t="s">
        <v>311</v>
      </c>
      <c r="B122" s="27" t="s">
        <v>30</v>
      </c>
      <c r="C122" s="27" t="s">
        <v>312</v>
      </c>
      <c r="D122" s="27" t="str">
        <f>"442527197003291329"</f>
        <v>442527197003291329</v>
      </c>
      <c r="E122" s="27" t="s">
        <v>45</v>
      </c>
      <c r="F122" s="27" t="s">
        <v>122</v>
      </c>
      <c r="G122" s="29">
        <v>100000</v>
      </c>
      <c r="H122" s="27">
        <v>36</v>
      </c>
      <c r="I122" s="27" t="s">
        <v>127</v>
      </c>
      <c r="J122" s="27" t="str">
        <f>"13360660117"</f>
        <v>13360660117</v>
      </c>
      <c r="K122" s="29" t="s">
        <v>35</v>
      </c>
      <c r="L122" s="27" t="s">
        <v>47</v>
      </c>
      <c r="M122" s="27" t="s">
        <v>156</v>
      </c>
      <c r="N122" s="27" t="s">
        <v>57</v>
      </c>
      <c r="O122" s="27">
        <v>0</v>
      </c>
      <c r="P122" s="27">
        <v>3457</v>
      </c>
      <c r="Q122" s="27">
        <v>3457</v>
      </c>
      <c r="R122" s="27">
        <v>0</v>
      </c>
      <c r="S122" s="27">
        <v>0</v>
      </c>
      <c r="T122" s="27"/>
      <c r="U122" s="30"/>
      <c r="V122" s="30"/>
      <c r="W122" s="27" t="s">
        <v>74</v>
      </c>
      <c r="X122" s="27" t="s">
        <v>75</v>
      </c>
      <c r="Y122" s="27" t="s">
        <v>127</v>
      </c>
      <c r="Z122" s="30"/>
      <c r="AA122" s="30"/>
      <c r="AB122" s="30"/>
    </row>
    <row r="123" s="28" customFormat="1">
      <c r="A123" s="27" t="s">
        <v>313</v>
      </c>
      <c r="B123" s="27" t="s">
        <v>30</v>
      </c>
      <c r="C123" s="27" t="s">
        <v>314</v>
      </c>
      <c r="D123" s="27" t="s">
        <v>315</v>
      </c>
      <c r="E123" s="27" t="s">
        <v>45</v>
      </c>
      <c r="F123" s="27" t="s">
        <v>122</v>
      </c>
      <c r="G123" s="29">
        <v>188000</v>
      </c>
      <c r="H123" s="27">
        <v>36</v>
      </c>
      <c r="I123" s="27" t="s">
        <v>127</v>
      </c>
      <c r="J123" s="27" t="str">
        <f>"13713087628"</f>
        <v>13713087628</v>
      </c>
      <c r="K123" s="29" t="s">
        <v>35</v>
      </c>
      <c r="L123" s="27" t="s">
        <v>47</v>
      </c>
      <c r="M123" s="27" t="s">
        <v>156</v>
      </c>
      <c r="N123" s="27" t="s">
        <v>57</v>
      </c>
      <c r="O123" s="27">
        <v>0</v>
      </c>
      <c r="P123" s="27">
        <v>10783</v>
      </c>
      <c r="Q123" s="27">
        <v>10783</v>
      </c>
      <c r="R123" s="27">
        <v>0</v>
      </c>
      <c r="S123" s="27">
        <v>0</v>
      </c>
      <c r="T123" s="27"/>
      <c r="U123" s="30"/>
      <c r="V123" s="30"/>
      <c r="W123" s="27"/>
      <c r="X123" s="27"/>
      <c r="Y123" s="27" t="s">
        <v>127</v>
      </c>
      <c r="Z123" s="30"/>
      <c r="AA123" s="30"/>
      <c r="AB123" s="30"/>
    </row>
    <row r="124" s="28" customFormat="1">
      <c r="A124" s="27" t="s">
        <v>316</v>
      </c>
      <c r="B124" s="27" t="s">
        <v>30</v>
      </c>
      <c r="C124" s="27" t="s">
        <v>317</v>
      </c>
      <c r="D124" s="27" t="str">
        <f>"430621198903030026"</f>
        <v>430621198903030026</v>
      </c>
      <c r="E124" s="27" t="s">
        <v>45</v>
      </c>
      <c r="F124" s="27" t="s">
        <v>122</v>
      </c>
      <c r="G124" s="29">
        <v>200000</v>
      </c>
      <c r="H124" s="27">
        <v>36</v>
      </c>
      <c r="I124" s="27" t="s">
        <v>127</v>
      </c>
      <c r="J124" s="27" t="str">
        <f>"13425117851"</f>
        <v>13425117851</v>
      </c>
      <c r="K124" s="29" t="s">
        <v>89</v>
      </c>
      <c r="L124" s="27" t="s">
        <v>36</v>
      </c>
      <c r="M124" s="27" t="s">
        <v>37</v>
      </c>
      <c r="N124" s="27" t="s">
        <v>57</v>
      </c>
      <c r="O124" s="27">
        <v>0</v>
      </c>
      <c r="P124" s="27">
        <v>20240</v>
      </c>
      <c r="Q124" s="27">
        <v>20240</v>
      </c>
      <c r="R124" s="27">
        <v>0</v>
      </c>
      <c r="S124" s="27">
        <v>0</v>
      </c>
      <c r="T124" s="27"/>
      <c r="U124" s="30"/>
      <c r="V124" s="30"/>
      <c r="W124" s="27" t="s">
        <v>40</v>
      </c>
      <c r="X124" s="27" t="s">
        <v>41</v>
      </c>
      <c r="Y124" s="27" t="s">
        <v>127</v>
      </c>
      <c r="Z124" s="30"/>
      <c r="AA124" s="30"/>
      <c r="AB124" s="30"/>
    </row>
    <row r="125" s="28" customFormat="1">
      <c r="A125" s="27" t="s">
        <v>318</v>
      </c>
      <c r="B125" s="27" t="s">
        <v>50</v>
      </c>
      <c r="C125" s="27" t="s">
        <v>319</v>
      </c>
      <c r="D125" s="27" t="str">
        <f>"421122198504153924"</f>
        <v>421122198504153924</v>
      </c>
      <c r="E125" s="27" t="s">
        <v>45</v>
      </c>
      <c r="F125" s="27" t="s">
        <v>122</v>
      </c>
      <c r="G125" s="29">
        <v>238000</v>
      </c>
      <c r="H125" s="27">
        <v>36</v>
      </c>
      <c r="I125" s="27" t="s">
        <v>127</v>
      </c>
      <c r="J125" s="27" t="str">
        <f>"15013775831"</f>
        <v>15013775831</v>
      </c>
      <c r="K125" s="29" t="s">
        <v>89</v>
      </c>
      <c r="L125" s="27" t="s">
        <v>36</v>
      </c>
      <c r="M125" s="27" t="s">
        <v>37</v>
      </c>
      <c r="N125" s="27" t="s">
        <v>57</v>
      </c>
      <c r="O125" s="27">
        <v>0</v>
      </c>
      <c r="P125" s="27">
        <v>7945</v>
      </c>
      <c r="Q125" s="27">
        <v>7945</v>
      </c>
      <c r="R125" s="27">
        <v>0</v>
      </c>
      <c r="S125" s="27">
        <v>0</v>
      </c>
      <c r="T125" s="27"/>
      <c r="U125" s="30"/>
      <c r="V125" s="30"/>
      <c r="W125" s="27" t="s">
        <v>40</v>
      </c>
      <c r="X125" s="27" t="s">
        <v>41</v>
      </c>
      <c r="Y125" s="27" t="s">
        <v>127</v>
      </c>
      <c r="Z125" s="30"/>
      <c r="AA125" s="30"/>
      <c r="AB125" s="30"/>
    </row>
    <row r="126" s="28" customFormat="1">
      <c r="A126" s="27" t="s">
        <v>320</v>
      </c>
      <c r="B126" s="27" t="s">
        <v>30</v>
      </c>
      <c r="C126" s="27" t="s">
        <v>321</v>
      </c>
      <c r="D126" s="27" t="str">
        <f>"440623197107010016"</f>
        <v>440623197107010016</v>
      </c>
      <c r="E126" s="27" t="s">
        <v>45</v>
      </c>
      <c r="F126" s="27" t="s">
        <v>122</v>
      </c>
      <c r="G126" s="29">
        <v>286000</v>
      </c>
      <c r="H126" s="27">
        <v>12</v>
      </c>
      <c r="I126" s="27" t="s">
        <v>127</v>
      </c>
      <c r="J126" s="27" t="str">
        <f>"18666511477"</f>
        <v>18666511477</v>
      </c>
      <c r="K126" s="29" t="s">
        <v>35</v>
      </c>
      <c r="L126" s="27" t="s">
        <v>36</v>
      </c>
      <c r="M126" s="27" t="s">
        <v>37</v>
      </c>
      <c r="N126" s="27" t="s">
        <v>57</v>
      </c>
      <c r="O126" s="27">
        <v>0</v>
      </c>
      <c r="P126" s="27">
        <v>7388</v>
      </c>
      <c r="Q126" s="27">
        <v>7388</v>
      </c>
      <c r="R126" s="27">
        <v>0</v>
      </c>
      <c r="S126" s="27">
        <v>0</v>
      </c>
      <c r="T126" s="27"/>
      <c r="U126" s="30"/>
      <c r="V126" s="30"/>
      <c r="W126" s="27" t="s">
        <v>74</v>
      </c>
      <c r="X126" s="27" t="s">
        <v>75</v>
      </c>
      <c r="Y126" s="27" t="s">
        <v>127</v>
      </c>
      <c r="Z126" s="30"/>
      <c r="AA126" s="30"/>
      <c r="AB126" s="30"/>
    </row>
    <row r="127" s="28" customFormat="1">
      <c r="A127" s="27" t="s">
        <v>322</v>
      </c>
      <c r="B127" s="27" t="s">
        <v>50</v>
      </c>
      <c r="C127" s="27" t="s">
        <v>323</v>
      </c>
      <c r="D127" s="27" t="str">
        <f>"512326197010155916"</f>
        <v>512326197010155916</v>
      </c>
      <c r="E127" s="27" t="s">
        <v>45</v>
      </c>
      <c r="F127" s="27" t="s">
        <v>122</v>
      </c>
      <c r="G127" s="29">
        <v>218000</v>
      </c>
      <c r="H127" s="27">
        <v>12</v>
      </c>
      <c r="I127" s="27" t="s">
        <v>127</v>
      </c>
      <c r="J127" s="27" t="str">
        <f>"13996870915"</f>
        <v>13996870915</v>
      </c>
      <c r="K127" s="29" t="s">
        <v>35</v>
      </c>
      <c r="L127" s="27" t="s">
        <v>47</v>
      </c>
      <c r="M127" s="27" t="s">
        <v>156</v>
      </c>
      <c r="N127" s="27" t="s">
        <v>57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/>
      <c r="U127" s="30"/>
      <c r="V127" s="30"/>
      <c r="W127" s="27"/>
      <c r="X127" s="27"/>
      <c r="Y127" s="27" t="s">
        <v>127</v>
      </c>
      <c r="Z127" s="30"/>
      <c r="AA127" s="30"/>
      <c r="AB127" s="30"/>
    </row>
    <row r="128" s="28" customFormat="1">
      <c r="A128" s="27" t="s">
        <v>324</v>
      </c>
      <c r="B128" s="27" t="s">
        <v>30</v>
      </c>
      <c r="C128" s="27" t="s">
        <v>325</v>
      </c>
      <c r="D128" s="27" t="str">
        <f>"440301198908292316"</f>
        <v>440301198908292316</v>
      </c>
      <c r="E128" s="27" t="s">
        <v>45</v>
      </c>
      <c r="F128" s="27" t="s">
        <v>122</v>
      </c>
      <c r="G128" s="29">
        <v>300000</v>
      </c>
      <c r="H128" s="27">
        <v>12</v>
      </c>
      <c r="I128" s="27" t="s">
        <v>127</v>
      </c>
      <c r="J128" s="27" t="str">
        <f>"13802583688"</f>
        <v>13802583688</v>
      </c>
      <c r="K128" s="29" t="s">
        <v>68</v>
      </c>
      <c r="L128" s="27" t="s">
        <v>47</v>
      </c>
      <c r="M128" s="27" t="s">
        <v>156</v>
      </c>
      <c r="N128" s="27" t="s">
        <v>57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/>
      <c r="U128" s="30"/>
      <c r="V128" s="30"/>
      <c r="W128" s="27"/>
      <c r="X128" s="27"/>
      <c r="Y128" s="27" t="s">
        <v>127</v>
      </c>
      <c r="Z128" s="30"/>
      <c r="AA128" s="30"/>
      <c r="AB128" s="30"/>
    </row>
    <row r="129" s="28" customFormat="1">
      <c r="A129" s="27" t="s">
        <v>326</v>
      </c>
      <c r="B129" s="27" t="s">
        <v>30</v>
      </c>
      <c r="C129" s="27" t="s">
        <v>327</v>
      </c>
      <c r="D129" s="27" t="str">
        <f>"430223197511113515"</f>
        <v>430223197511113515</v>
      </c>
      <c r="E129" s="27" t="s">
        <v>45</v>
      </c>
      <c r="F129" s="27" t="s">
        <v>122</v>
      </c>
      <c r="G129" s="29">
        <v>80000</v>
      </c>
      <c r="H129" s="27">
        <v>24</v>
      </c>
      <c r="I129" s="27" t="s">
        <v>127</v>
      </c>
      <c r="J129" s="27" t="str">
        <f>"18975333939"</f>
        <v>18975333939</v>
      </c>
      <c r="K129" s="29" t="s">
        <v>35</v>
      </c>
      <c r="L129" s="27" t="s">
        <v>36</v>
      </c>
      <c r="M129" s="27" t="s">
        <v>37</v>
      </c>
      <c r="N129" s="27" t="s">
        <v>57</v>
      </c>
      <c r="O129" s="27">
        <v>0</v>
      </c>
      <c r="P129" s="27">
        <v>2755</v>
      </c>
      <c r="Q129" s="27">
        <v>2755</v>
      </c>
      <c r="R129" s="27">
        <v>0</v>
      </c>
      <c r="S129" s="27">
        <v>0</v>
      </c>
      <c r="T129" s="27"/>
      <c r="U129" s="30"/>
      <c r="V129" s="30"/>
      <c r="W129" s="27" t="s">
        <v>108</v>
      </c>
      <c r="X129" s="27" t="s">
        <v>109</v>
      </c>
      <c r="Y129" s="27" t="s">
        <v>127</v>
      </c>
      <c r="Z129" s="30"/>
      <c r="AA129" s="30"/>
      <c r="AB129" s="30"/>
    </row>
    <row r="130" s="28" customFormat="1">
      <c r="A130" s="27" t="s">
        <v>328</v>
      </c>
      <c r="B130" s="27" t="s">
        <v>30</v>
      </c>
      <c r="C130" s="27" t="s">
        <v>329</v>
      </c>
      <c r="D130" s="27" t="str">
        <f>"441481198505187069"</f>
        <v>441481198505187069</v>
      </c>
      <c r="E130" s="27" t="s">
        <v>45</v>
      </c>
      <c r="F130" s="27" t="s">
        <v>122</v>
      </c>
      <c r="G130" s="29">
        <v>107000</v>
      </c>
      <c r="H130" s="27">
        <v>24</v>
      </c>
      <c r="I130" s="27" t="s">
        <v>127</v>
      </c>
      <c r="J130" s="27" t="str">
        <f>"18026305376"</f>
        <v>18026305376</v>
      </c>
      <c r="K130" s="29" t="s">
        <v>35</v>
      </c>
      <c r="L130" s="27" t="s">
        <v>36</v>
      </c>
      <c r="M130" s="27" t="s">
        <v>37</v>
      </c>
      <c r="N130" s="27" t="s">
        <v>57</v>
      </c>
      <c r="O130" s="27">
        <v>0</v>
      </c>
      <c r="P130" s="27">
        <v>3594</v>
      </c>
      <c r="Q130" s="27">
        <v>3594</v>
      </c>
      <c r="R130" s="27">
        <v>0</v>
      </c>
      <c r="S130" s="27">
        <v>0</v>
      </c>
      <c r="T130" s="27"/>
      <c r="U130" s="30"/>
      <c r="V130" s="30"/>
      <c r="W130" s="27"/>
      <c r="X130" s="27"/>
      <c r="Y130" s="27" t="s">
        <v>127</v>
      </c>
      <c r="Z130" s="30"/>
      <c r="AA130" s="30"/>
      <c r="AB130" s="30"/>
    </row>
    <row r="131" s="28" customFormat="1">
      <c r="A131" s="27" t="s">
        <v>330</v>
      </c>
      <c r="B131" s="27" t="s">
        <v>50</v>
      </c>
      <c r="C131" s="27" t="s">
        <v>331</v>
      </c>
      <c r="D131" s="27" t="str">
        <f>"653022197901153690"</f>
        <v>653022197901153690</v>
      </c>
      <c r="E131" s="27" t="s">
        <v>45</v>
      </c>
      <c r="F131" s="27" t="s">
        <v>122</v>
      </c>
      <c r="G131" s="29">
        <v>100000</v>
      </c>
      <c r="H131" s="27">
        <v>36</v>
      </c>
      <c r="I131" s="27" t="s">
        <v>127</v>
      </c>
      <c r="J131" s="27" t="str">
        <f>"13928435951"</f>
        <v>13928435951</v>
      </c>
      <c r="K131" s="29" t="s">
        <v>35</v>
      </c>
      <c r="L131" s="27" t="s">
        <v>47</v>
      </c>
      <c r="M131" s="27" t="s">
        <v>37</v>
      </c>
      <c r="N131" s="27" t="s">
        <v>57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/>
      <c r="U131" s="30"/>
      <c r="V131" s="30"/>
      <c r="W131" s="27"/>
      <c r="X131" s="27"/>
      <c r="Y131" s="27" t="s">
        <v>127</v>
      </c>
      <c r="Z131" s="30"/>
      <c r="AA131" s="30"/>
      <c r="AB131" s="30"/>
    </row>
    <row r="132" s="28" customFormat="1">
      <c r="A132" s="27" t="s">
        <v>332</v>
      </c>
      <c r="B132" s="27" t="s">
        <v>30</v>
      </c>
      <c r="C132" s="27" t="s">
        <v>333</v>
      </c>
      <c r="D132" s="27" t="str">
        <f>"430181197909106081"</f>
        <v>430181197909106081</v>
      </c>
      <c r="E132" s="27" t="s">
        <v>45</v>
      </c>
      <c r="F132" s="27" t="s">
        <v>122</v>
      </c>
      <c r="G132" s="29">
        <v>300000</v>
      </c>
      <c r="H132" s="27">
        <v>24</v>
      </c>
      <c r="I132" s="27" t="s">
        <v>127</v>
      </c>
      <c r="J132" s="27" t="str">
        <f>"18824415910"</f>
        <v>18824415910</v>
      </c>
      <c r="K132" s="29" t="s">
        <v>35</v>
      </c>
      <c r="L132" s="27" t="s">
        <v>36</v>
      </c>
      <c r="M132" s="27" t="s">
        <v>37</v>
      </c>
      <c r="N132" s="27" t="s">
        <v>57</v>
      </c>
      <c r="O132" s="27">
        <v>0</v>
      </c>
      <c r="P132" s="27">
        <v>12855</v>
      </c>
      <c r="Q132" s="27">
        <v>12855</v>
      </c>
      <c r="R132" s="27">
        <v>0</v>
      </c>
      <c r="S132" s="27">
        <v>0</v>
      </c>
      <c r="T132" s="27"/>
      <c r="U132" s="30"/>
      <c r="V132" s="30"/>
      <c r="W132" s="27"/>
      <c r="X132" s="27"/>
      <c r="Y132" s="27" t="s">
        <v>127</v>
      </c>
      <c r="Z132" s="30"/>
      <c r="AA132" s="30"/>
      <c r="AB132" s="30"/>
    </row>
    <row r="133" s="28" customFormat="1">
      <c r="A133" s="27" t="s">
        <v>334</v>
      </c>
      <c r="B133" s="27" t="s">
        <v>30</v>
      </c>
      <c r="C133" s="27" t="s">
        <v>335</v>
      </c>
      <c r="D133" s="27" t="str">
        <f>"440105197805122410"</f>
        <v>440105197805122410</v>
      </c>
      <c r="E133" s="27" t="s">
        <v>45</v>
      </c>
      <c r="F133" s="27" t="s">
        <v>122</v>
      </c>
      <c r="G133" s="29">
        <v>143000</v>
      </c>
      <c r="H133" s="27">
        <v>24</v>
      </c>
      <c r="I133" s="27" t="s">
        <v>127</v>
      </c>
      <c r="J133" s="27" t="str">
        <f>"13249909898"</f>
        <v>13249909898</v>
      </c>
      <c r="K133" s="29" t="s">
        <v>35</v>
      </c>
      <c r="L133" s="27" t="s">
        <v>47</v>
      </c>
      <c r="M133" s="27" t="s">
        <v>37</v>
      </c>
      <c r="N133" s="27" t="s">
        <v>57</v>
      </c>
      <c r="O133" s="27">
        <v>0</v>
      </c>
      <c r="P133" s="27">
        <v>4786</v>
      </c>
      <c r="Q133" s="27">
        <v>4786</v>
      </c>
      <c r="R133" s="27">
        <v>0</v>
      </c>
      <c r="S133" s="27">
        <v>0</v>
      </c>
      <c r="T133" s="27"/>
      <c r="U133" s="30"/>
      <c r="V133" s="30"/>
      <c r="W133" s="27" t="s">
        <v>74</v>
      </c>
      <c r="X133" s="27" t="s">
        <v>75</v>
      </c>
      <c r="Y133" s="27" t="s">
        <v>127</v>
      </c>
      <c r="Z133" s="30"/>
      <c r="AA133" s="30"/>
      <c r="AB133" s="30"/>
    </row>
    <row r="134" s="28" customFormat="1">
      <c r="A134" s="27" t="s">
        <v>336</v>
      </c>
      <c r="B134" s="27" t="s">
        <v>50</v>
      </c>
      <c r="C134" s="27" t="s">
        <v>337</v>
      </c>
      <c r="D134" s="27" t="str">
        <f>"440321197212263323"</f>
        <v>440321197212263323</v>
      </c>
      <c r="E134" s="27" t="s">
        <v>45</v>
      </c>
      <c r="F134" s="27" t="s">
        <v>122</v>
      </c>
      <c r="G134" s="29">
        <v>300000</v>
      </c>
      <c r="H134" s="27">
        <v>36</v>
      </c>
      <c r="I134" s="27" t="s">
        <v>127</v>
      </c>
      <c r="J134" s="27" t="str">
        <f>"13530030035"</f>
        <v>13530030035</v>
      </c>
      <c r="K134" s="29" t="s">
        <v>35</v>
      </c>
      <c r="L134" s="27" t="s">
        <v>47</v>
      </c>
      <c r="M134" s="27" t="s">
        <v>156</v>
      </c>
      <c r="N134" s="27" t="s">
        <v>57</v>
      </c>
      <c r="O134" s="27">
        <v>0</v>
      </c>
      <c r="P134" s="27">
        <v>17196</v>
      </c>
      <c r="Q134" s="27">
        <v>17196</v>
      </c>
      <c r="R134" s="27">
        <v>0</v>
      </c>
      <c r="S134" s="27">
        <v>0</v>
      </c>
      <c r="T134" s="27"/>
      <c r="U134" s="30"/>
      <c r="V134" s="30"/>
      <c r="W134" s="27" t="s">
        <v>40</v>
      </c>
      <c r="X134" s="27" t="s">
        <v>41</v>
      </c>
      <c r="Y134" s="27" t="s">
        <v>127</v>
      </c>
      <c r="Z134" s="30"/>
      <c r="AA134" s="30"/>
      <c r="AB134" s="30"/>
    </row>
    <row r="135" s="28" customFormat="1">
      <c r="A135" s="27" t="s">
        <v>338</v>
      </c>
      <c r="B135" s="27" t="s">
        <v>30</v>
      </c>
      <c r="C135" s="27" t="s">
        <v>339</v>
      </c>
      <c r="D135" s="27" t="str">
        <f>"513002198203031811"</f>
        <v>513002198203031811</v>
      </c>
      <c r="E135" s="27" t="s">
        <v>45</v>
      </c>
      <c r="F135" s="27" t="s">
        <v>122</v>
      </c>
      <c r="G135" s="29">
        <v>300000</v>
      </c>
      <c r="H135" s="27">
        <v>24</v>
      </c>
      <c r="I135" s="27" t="s">
        <v>127</v>
      </c>
      <c r="J135" s="27" t="str">
        <f>"13916925600"</f>
        <v>13916925600</v>
      </c>
      <c r="K135" s="29" t="s">
        <v>35</v>
      </c>
      <c r="L135" s="27" t="s">
        <v>36</v>
      </c>
      <c r="M135" s="27" t="s">
        <v>37</v>
      </c>
      <c r="N135" s="27" t="s">
        <v>57</v>
      </c>
      <c r="O135" s="27">
        <v>0</v>
      </c>
      <c r="P135" s="27">
        <v>13464</v>
      </c>
      <c r="Q135" s="27">
        <v>13464</v>
      </c>
      <c r="R135" s="27">
        <v>0</v>
      </c>
      <c r="S135" s="27">
        <v>0</v>
      </c>
      <c r="T135" s="27"/>
      <c r="U135" s="30"/>
      <c r="V135" s="30"/>
      <c r="W135" s="27" t="s">
        <v>74</v>
      </c>
      <c r="X135" s="27" t="s">
        <v>75</v>
      </c>
      <c r="Y135" s="27" t="s">
        <v>127</v>
      </c>
      <c r="Z135" s="30"/>
      <c r="AA135" s="30"/>
      <c r="AB135" s="30"/>
    </row>
    <row r="136" s="28" customFormat="1">
      <c r="A136" s="27" t="s">
        <v>340</v>
      </c>
      <c r="B136" s="27" t="s">
        <v>50</v>
      </c>
      <c r="C136" s="27" t="s">
        <v>341</v>
      </c>
      <c r="D136" s="27" t="str">
        <f>"321322198510171034"</f>
        <v>321322198510171034</v>
      </c>
      <c r="E136" s="27" t="s">
        <v>45</v>
      </c>
      <c r="F136" s="27" t="s">
        <v>122</v>
      </c>
      <c r="G136" s="29">
        <v>190000</v>
      </c>
      <c r="H136" s="27">
        <v>24</v>
      </c>
      <c r="I136" s="27" t="s">
        <v>127</v>
      </c>
      <c r="J136" s="27" t="str">
        <f>"18319054386"</f>
        <v>18319054386</v>
      </c>
      <c r="K136" s="29" t="s">
        <v>35</v>
      </c>
      <c r="L136" s="27" t="s">
        <v>36</v>
      </c>
      <c r="M136" s="27" t="s">
        <v>37</v>
      </c>
      <c r="N136" s="27" t="s">
        <v>57</v>
      </c>
      <c r="O136" s="27">
        <v>0</v>
      </c>
      <c r="P136" s="27">
        <v>6486</v>
      </c>
      <c r="Q136" s="27">
        <v>6486</v>
      </c>
      <c r="R136" s="27">
        <v>0</v>
      </c>
      <c r="S136" s="27">
        <v>0</v>
      </c>
      <c r="T136" s="27"/>
      <c r="U136" s="30"/>
      <c r="V136" s="30"/>
      <c r="W136" s="27" t="s">
        <v>40</v>
      </c>
      <c r="X136" s="27" t="s">
        <v>41</v>
      </c>
      <c r="Y136" s="27" t="s">
        <v>127</v>
      </c>
      <c r="Z136" s="30"/>
      <c r="AA136" s="30"/>
      <c r="AB136" s="30"/>
    </row>
    <row r="137" s="28" customFormat="1">
      <c r="A137" s="27" t="s">
        <v>342</v>
      </c>
      <c r="B137" s="27" t="s">
        <v>30</v>
      </c>
      <c r="C137" s="27" t="s">
        <v>343</v>
      </c>
      <c r="D137" s="27" t="str">
        <f>"360311198208273520"</f>
        <v>360311198208273520</v>
      </c>
      <c r="E137" s="27" t="s">
        <v>45</v>
      </c>
      <c r="F137" s="27" t="s">
        <v>122</v>
      </c>
      <c r="G137" s="29">
        <v>200000</v>
      </c>
      <c r="H137" s="27">
        <v>24</v>
      </c>
      <c r="I137" s="27" t="s">
        <v>127</v>
      </c>
      <c r="J137" s="27" t="str">
        <f>"15820275008"</f>
        <v>15820275008</v>
      </c>
      <c r="K137" s="29" t="s">
        <v>35</v>
      </c>
      <c r="L137" s="27" t="s">
        <v>47</v>
      </c>
      <c r="M137" s="27" t="s">
        <v>156</v>
      </c>
      <c r="N137" s="27" t="s">
        <v>57</v>
      </c>
      <c r="O137" s="27">
        <v>0</v>
      </c>
      <c r="P137" s="27">
        <v>11030</v>
      </c>
      <c r="Q137" s="27">
        <v>11030</v>
      </c>
      <c r="R137" s="27">
        <v>0</v>
      </c>
      <c r="S137" s="27">
        <v>0</v>
      </c>
      <c r="T137" s="27"/>
      <c r="U137" s="30"/>
      <c r="V137" s="30"/>
      <c r="W137" s="27" t="s">
        <v>108</v>
      </c>
      <c r="X137" s="27" t="s">
        <v>109</v>
      </c>
      <c r="Y137" s="27" t="s">
        <v>127</v>
      </c>
      <c r="Z137" s="30"/>
      <c r="AA137" s="30"/>
      <c r="AB137" s="30"/>
    </row>
    <row r="138" s="28" customFormat="1">
      <c r="A138" s="27" t="s">
        <v>344</v>
      </c>
      <c r="B138" s="27" t="s">
        <v>30</v>
      </c>
      <c r="C138" s="27" t="s">
        <v>345</v>
      </c>
      <c r="D138" s="27" t="str">
        <f>"412922197307092462"</f>
        <v>412922197307092462</v>
      </c>
      <c r="E138" s="27" t="s">
        <v>45</v>
      </c>
      <c r="F138" s="27" t="s">
        <v>122</v>
      </c>
      <c r="G138" s="29">
        <v>233000</v>
      </c>
      <c r="H138" s="27">
        <v>24</v>
      </c>
      <c r="I138" s="27" t="s">
        <v>127</v>
      </c>
      <c r="J138" s="27" t="str">
        <f>"13650000599"</f>
        <v>13650000599</v>
      </c>
      <c r="K138" s="29" t="s">
        <v>35</v>
      </c>
      <c r="L138" s="27" t="s">
        <v>36</v>
      </c>
      <c r="M138" s="27" t="s">
        <v>37</v>
      </c>
      <c r="N138" s="27" t="s">
        <v>57</v>
      </c>
      <c r="O138" s="27">
        <v>0</v>
      </c>
      <c r="P138" s="27">
        <v>7793</v>
      </c>
      <c r="Q138" s="27">
        <v>7793</v>
      </c>
      <c r="R138" s="27">
        <v>0</v>
      </c>
      <c r="S138" s="27">
        <v>0</v>
      </c>
      <c r="T138" s="27"/>
      <c r="U138" s="30"/>
      <c r="V138" s="30"/>
      <c r="W138" s="27" t="s">
        <v>74</v>
      </c>
      <c r="X138" s="27" t="s">
        <v>75</v>
      </c>
      <c r="Y138" s="27" t="s">
        <v>127</v>
      </c>
      <c r="Z138" s="30"/>
      <c r="AA138" s="30"/>
      <c r="AB138" s="30"/>
    </row>
    <row r="139" s="28" customFormat="1">
      <c r="A139" s="27" t="s">
        <v>346</v>
      </c>
      <c r="B139" s="27" t="s">
        <v>30</v>
      </c>
      <c r="C139" s="27" t="s">
        <v>347</v>
      </c>
      <c r="D139" s="27" t="str">
        <f>"440501197310141325"</f>
        <v>440501197310141325</v>
      </c>
      <c r="E139" s="27" t="s">
        <v>45</v>
      </c>
      <c r="F139" s="27" t="s">
        <v>122</v>
      </c>
      <c r="G139" s="29">
        <v>300000</v>
      </c>
      <c r="H139" s="27">
        <v>12</v>
      </c>
      <c r="I139" s="27" t="s">
        <v>127</v>
      </c>
      <c r="J139" s="27" t="str">
        <f>"18898738111"</f>
        <v>18898738111</v>
      </c>
      <c r="K139" s="29" t="s">
        <v>35</v>
      </c>
      <c r="L139" s="27" t="s">
        <v>36</v>
      </c>
      <c r="M139" s="27" t="s">
        <v>37</v>
      </c>
      <c r="N139" s="27" t="s">
        <v>57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/>
      <c r="U139" s="30"/>
      <c r="V139" s="30"/>
      <c r="W139" s="27"/>
      <c r="X139" s="27"/>
      <c r="Y139" s="27" t="s">
        <v>127</v>
      </c>
      <c r="Z139" s="30"/>
      <c r="AA139" s="30"/>
      <c r="AB139" s="30"/>
    </row>
    <row r="140" s="28" customFormat="1">
      <c r="A140" s="27" t="s">
        <v>348</v>
      </c>
      <c r="B140" s="27" t="s">
        <v>30</v>
      </c>
      <c r="C140" s="27" t="s">
        <v>349</v>
      </c>
      <c r="D140" s="27" t="str">
        <f>"411328198507097208"</f>
        <v>411328198507097208</v>
      </c>
      <c r="E140" s="27" t="s">
        <v>45</v>
      </c>
      <c r="F140" s="27" t="s">
        <v>122</v>
      </c>
      <c r="G140" s="29">
        <v>142000</v>
      </c>
      <c r="H140" s="27">
        <v>24</v>
      </c>
      <c r="I140" s="27" t="s">
        <v>127</v>
      </c>
      <c r="J140" s="27" t="str">
        <f>"18688816366"</f>
        <v>18688816366</v>
      </c>
      <c r="K140" s="29" t="s">
        <v>35</v>
      </c>
      <c r="L140" s="27" t="s">
        <v>36</v>
      </c>
      <c r="M140" s="27" t="s">
        <v>37</v>
      </c>
      <c r="N140" s="27" t="s">
        <v>57</v>
      </c>
      <c r="O140" s="27">
        <v>0</v>
      </c>
      <c r="P140" s="27">
        <v>4752</v>
      </c>
      <c r="Q140" s="27">
        <v>4752</v>
      </c>
      <c r="R140" s="27">
        <v>0</v>
      </c>
      <c r="S140" s="27">
        <v>0</v>
      </c>
      <c r="T140" s="27"/>
      <c r="U140" s="30"/>
      <c r="V140" s="30"/>
      <c r="W140" s="27"/>
      <c r="X140" s="27"/>
      <c r="Y140" s="27" t="s">
        <v>127</v>
      </c>
      <c r="Z140" s="30"/>
      <c r="AA140" s="30"/>
      <c r="AB140" s="30"/>
    </row>
    <row r="141" s="28" customFormat="1">
      <c r="A141" s="27" t="s">
        <v>350</v>
      </c>
      <c r="B141" s="27" t="s">
        <v>30</v>
      </c>
      <c r="C141" s="27" t="s">
        <v>351</v>
      </c>
      <c r="D141" s="27" t="s">
        <v>352</v>
      </c>
      <c r="E141" s="27" t="s">
        <v>45</v>
      </c>
      <c r="F141" s="27" t="s">
        <v>122</v>
      </c>
      <c r="G141" s="29">
        <v>150000</v>
      </c>
      <c r="H141" s="27">
        <v>24</v>
      </c>
      <c r="I141" s="27" t="s">
        <v>127</v>
      </c>
      <c r="J141" s="27" t="str">
        <f>"13809275322"</f>
        <v>13809275322</v>
      </c>
      <c r="K141" s="29" t="s">
        <v>35</v>
      </c>
      <c r="L141" s="27" t="s">
        <v>36</v>
      </c>
      <c r="M141" s="27" t="s">
        <v>37</v>
      </c>
      <c r="N141" s="27" t="s">
        <v>57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/>
      <c r="U141" s="30"/>
      <c r="V141" s="30"/>
      <c r="W141" s="27" t="s">
        <v>74</v>
      </c>
      <c r="X141" s="27" t="s">
        <v>75</v>
      </c>
      <c r="Y141" s="27" t="s">
        <v>127</v>
      </c>
      <c r="Z141" s="30"/>
      <c r="AA141" s="30"/>
      <c r="AB141" s="30"/>
    </row>
    <row r="142" s="28" customFormat="1">
      <c r="A142" s="27" t="s">
        <v>353</v>
      </c>
      <c r="B142" s="27" t="s">
        <v>30</v>
      </c>
      <c r="C142" s="27" t="s">
        <v>354</v>
      </c>
      <c r="D142" s="27" t="str">
        <f>"440801198709142945"</f>
        <v>440801198709142945</v>
      </c>
      <c r="E142" s="27" t="s">
        <v>45</v>
      </c>
      <c r="F142" s="27" t="s">
        <v>122</v>
      </c>
      <c r="G142" s="29">
        <v>60000</v>
      </c>
      <c r="H142" s="27">
        <v>24</v>
      </c>
      <c r="I142" s="27" t="s">
        <v>127</v>
      </c>
      <c r="J142" s="27" t="str">
        <f>"13702682943"</f>
        <v>13702682943</v>
      </c>
      <c r="K142" s="29" t="s">
        <v>35</v>
      </c>
      <c r="L142" s="27" t="s">
        <v>47</v>
      </c>
      <c r="M142" s="27" t="s">
        <v>37</v>
      </c>
      <c r="N142" s="27" t="s">
        <v>57</v>
      </c>
      <c r="O142" s="27">
        <v>0</v>
      </c>
      <c r="P142" s="27">
        <v>3921</v>
      </c>
      <c r="Q142" s="27">
        <v>3921</v>
      </c>
      <c r="R142" s="27">
        <v>0</v>
      </c>
      <c r="S142" s="27">
        <v>0</v>
      </c>
      <c r="T142" s="27"/>
      <c r="U142" s="30"/>
      <c r="V142" s="30"/>
      <c r="W142" s="27" t="s">
        <v>215</v>
      </c>
      <c r="X142" s="27" t="s">
        <v>216</v>
      </c>
      <c r="Y142" s="27" t="s">
        <v>127</v>
      </c>
      <c r="Z142" s="30"/>
      <c r="AA142" s="30"/>
      <c r="AB142" s="30"/>
    </row>
    <row r="143" s="28" customFormat="1">
      <c r="A143" s="27" t="s">
        <v>355</v>
      </c>
      <c r="B143" s="27" t="s">
        <v>30</v>
      </c>
      <c r="C143" s="27" t="s">
        <v>356</v>
      </c>
      <c r="D143" s="27" t="str">
        <f>"362426198504084320"</f>
        <v>362426198504084320</v>
      </c>
      <c r="E143" s="27" t="s">
        <v>45</v>
      </c>
      <c r="F143" s="27" t="s">
        <v>122</v>
      </c>
      <c r="G143" s="29">
        <v>97000</v>
      </c>
      <c r="H143" s="27">
        <v>24</v>
      </c>
      <c r="I143" s="27" t="s">
        <v>127</v>
      </c>
      <c r="J143" s="27" t="str">
        <f>"18998027172"</f>
        <v>18998027172</v>
      </c>
      <c r="K143" s="29" t="s">
        <v>35</v>
      </c>
      <c r="L143" s="27" t="s">
        <v>36</v>
      </c>
      <c r="M143" s="27" t="s">
        <v>37</v>
      </c>
      <c r="N143" s="27" t="s">
        <v>57</v>
      </c>
      <c r="O143" s="27">
        <v>0</v>
      </c>
      <c r="P143" s="27">
        <v>3263</v>
      </c>
      <c r="Q143" s="27">
        <v>3263</v>
      </c>
      <c r="R143" s="27">
        <v>0</v>
      </c>
      <c r="S143" s="27">
        <v>0</v>
      </c>
      <c r="T143" s="27"/>
      <c r="U143" s="30"/>
      <c r="V143" s="30"/>
      <c r="W143" s="27"/>
      <c r="X143" s="27"/>
      <c r="Y143" s="27" t="s">
        <v>127</v>
      </c>
      <c r="Z143" s="30"/>
      <c r="AA143" s="30"/>
      <c r="AB143" s="30"/>
    </row>
    <row r="144" s="28" customFormat="1">
      <c r="A144" s="27" t="s">
        <v>357</v>
      </c>
      <c r="B144" s="27" t="s">
        <v>30</v>
      </c>
      <c r="C144" s="27" t="s">
        <v>358</v>
      </c>
      <c r="D144" s="27" t="str">
        <f>"441621198007147341"</f>
        <v>441621198007147341</v>
      </c>
      <c r="E144" s="27" t="s">
        <v>45</v>
      </c>
      <c r="F144" s="27" t="s">
        <v>122</v>
      </c>
      <c r="G144" s="29">
        <v>200000</v>
      </c>
      <c r="H144" s="27">
        <v>12</v>
      </c>
      <c r="I144" s="27" t="s">
        <v>127</v>
      </c>
      <c r="J144" s="27" t="str">
        <f>"18820751673"</f>
        <v>18820751673</v>
      </c>
      <c r="K144" s="29" t="s">
        <v>35</v>
      </c>
      <c r="L144" s="27" t="s">
        <v>36</v>
      </c>
      <c r="M144" s="27" t="s">
        <v>37</v>
      </c>
      <c r="N144" s="27" t="s">
        <v>57</v>
      </c>
      <c r="O144" s="27">
        <v>0</v>
      </c>
      <c r="P144" s="27">
        <v>7073</v>
      </c>
      <c r="Q144" s="27">
        <v>7073</v>
      </c>
      <c r="R144" s="27">
        <v>0</v>
      </c>
      <c r="S144" s="27">
        <v>0</v>
      </c>
      <c r="T144" s="27"/>
      <c r="U144" s="30"/>
      <c r="V144" s="30"/>
      <c r="W144" s="27"/>
      <c r="X144" s="27"/>
      <c r="Y144" s="27" t="s">
        <v>127</v>
      </c>
      <c r="Z144" s="30"/>
      <c r="AA144" s="30"/>
      <c r="AB144" s="30"/>
    </row>
    <row r="145" s="28" customFormat="1">
      <c r="A145" s="27" t="s">
        <v>359</v>
      </c>
      <c r="B145" s="27" t="s">
        <v>30</v>
      </c>
      <c r="C145" s="27" t="s">
        <v>360</v>
      </c>
      <c r="D145" s="27" t="str">
        <f>"510282198110319349"</f>
        <v>510282198110319349</v>
      </c>
      <c r="E145" s="27" t="s">
        <v>45</v>
      </c>
      <c r="F145" s="27" t="s">
        <v>122</v>
      </c>
      <c r="G145" s="29">
        <v>110000</v>
      </c>
      <c r="H145" s="27">
        <v>24</v>
      </c>
      <c r="I145" s="27" t="s">
        <v>127</v>
      </c>
      <c r="J145" s="27" t="str">
        <f>"17783071945"</f>
        <v>17783071945</v>
      </c>
      <c r="K145" s="29" t="s">
        <v>35</v>
      </c>
      <c r="L145" s="27" t="s">
        <v>47</v>
      </c>
      <c r="M145" s="27" t="s">
        <v>37</v>
      </c>
      <c r="N145" s="27" t="s">
        <v>57</v>
      </c>
      <c r="O145" s="27">
        <v>0</v>
      </c>
      <c r="P145" s="27">
        <v>3702</v>
      </c>
      <c r="Q145" s="27">
        <v>3702</v>
      </c>
      <c r="R145" s="27">
        <v>0</v>
      </c>
      <c r="S145" s="27">
        <v>0</v>
      </c>
      <c r="T145" s="27"/>
      <c r="U145" s="30"/>
      <c r="V145" s="30"/>
      <c r="W145" s="27" t="s">
        <v>159</v>
      </c>
      <c r="X145" s="27" t="s">
        <v>160</v>
      </c>
      <c r="Y145" s="27" t="s">
        <v>127</v>
      </c>
      <c r="Z145" s="30"/>
      <c r="AA145" s="30"/>
      <c r="AB145" s="30"/>
    </row>
    <row r="146" s="28" customFormat="1">
      <c r="A146" s="27" t="s">
        <v>361</v>
      </c>
      <c r="B146" s="27" t="s">
        <v>30</v>
      </c>
      <c r="C146" s="27" t="s">
        <v>362</v>
      </c>
      <c r="D146" s="27" t="str">
        <f>"445281198510011247"</f>
        <v>445281198510011247</v>
      </c>
      <c r="E146" s="27" t="s">
        <v>45</v>
      </c>
      <c r="F146" s="27" t="s">
        <v>122</v>
      </c>
      <c r="G146" s="29">
        <v>200000</v>
      </c>
      <c r="H146" s="27">
        <v>24</v>
      </c>
      <c r="I146" s="27" t="s">
        <v>127</v>
      </c>
      <c r="J146" s="27" t="str">
        <f>"13691936086"</f>
        <v>13691936086</v>
      </c>
      <c r="K146" s="29" t="s">
        <v>35</v>
      </c>
      <c r="L146" s="27" t="s">
        <v>36</v>
      </c>
      <c r="M146" s="27" t="s">
        <v>37</v>
      </c>
      <c r="N146" s="27" t="s">
        <v>57</v>
      </c>
      <c r="O146" s="27">
        <v>0</v>
      </c>
      <c r="P146" s="27">
        <v>9760</v>
      </c>
      <c r="Q146" s="27">
        <v>9760</v>
      </c>
      <c r="R146" s="27">
        <v>0</v>
      </c>
      <c r="S146" s="27">
        <v>0</v>
      </c>
      <c r="T146" s="27"/>
      <c r="U146" s="30"/>
      <c r="V146" s="30"/>
      <c r="W146" s="27" t="s">
        <v>40</v>
      </c>
      <c r="X146" s="27" t="s">
        <v>41</v>
      </c>
      <c r="Y146" s="27" t="s">
        <v>127</v>
      </c>
      <c r="Z146" s="30"/>
      <c r="AA146" s="30"/>
      <c r="AB146" s="30"/>
    </row>
    <row r="147" s="28" customFormat="1">
      <c r="A147" s="27" t="s">
        <v>363</v>
      </c>
      <c r="B147" s="27" t="s">
        <v>30</v>
      </c>
      <c r="C147" s="27" t="s">
        <v>364</v>
      </c>
      <c r="D147" s="27" t="str">
        <f>"512225197207239572"</f>
        <v>512225197207239572</v>
      </c>
      <c r="E147" s="27" t="s">
        <v>45</v>
      </c>
      <c r="F147" s="27" t="s">
        <v>122</v>
      </c>
      <c r="G147" s="29">
        <v>240000</v>
      </c>
      <c r="H147" s="27">
        <v>36</v>
      </c>
      <c r="I147" s="27" t="s">
        <v>127</v>
      </c>
      <c r="J147" s="27" t="str">
        <f>"18996636123"</f>
        <v>18996636123</v>
      </c>
      <c r="K147" s="29" t="s">
        <v>35</v>
      </c>
      <c r="L147" s="27" t="s">
        <v>47</v>
      </c>
      <c r="M147" s="27" t="s">
        <v>37</v>
      </c>
      <c r="N147" s="27" t="s">
        <v>57</v>
      </c>
      <c r="O147" s="27">
        <v>0</v>
      </c>
      <c r="P147" s="27">
        <v>8187</v>
      </c>
      <c r="Q147" s="27">
        <v>8187</v>
      </c>
      <c r="R147" s="27">
        <v>0</v>
      </c>
      <c r="S147" s="27">
        <v>0</v>
      </c>
      <c r="T147" s="27"/>
      <c r="U147" s="30"/>
      <c r="V147" s="30"/>
      <c r="W147" s="27"/>
      <c r="X147" s="27"/>
      <c r="Y147" s="27" t="s">
        <v>127</v>
      </c>
      <c r="Z147" s="30"/>
      <c r="AA147" s="30"/>
      <c r="AB147" s="30"/>
    </row>
    <row r="148" s="28" customFormat="1">
      <c r="A148" s="27" t="s">
        <v>365</v>
      </c>
      <c r="B148" s="27" t="s">
        <v>30</v>
      </c>
      <c r="C148" s="27" t="s">
        <v>366</v>
      </c>
      <c r="D148" s="27" t="str">
        <f>"440923198311273447"</f>
        <v>440923198311273447</v>
      </c>
      <c r="E148" s="27" t="s">
        <v>45</v>
      </c>
      <c r="F148" s="27" t="s">
        <v>367</v>
      </c>
      <c r="G148" s="29">
        <v>198000</v>
      </c>
      <c r="H148" s="27">
        <v>24</v>
      </c>
      <c r="I148" s="27" t="s">
        <v>34</v>
      </c>
      <c r="J148" s="27" t="str">
        <f>"13710167207"</f>
        <v>13710167207</v>
      </c>
      <c r="K148" s="29" t="s">
        <v>35</v>
      </c>
      <c r="L148" s="27" t="s">
        <v>36</v>
      </c>
      <c r="M148" s="27" t="s">
        <v>37</v>
      </c>
      <c r="N148" s="27" t="s">
        <v>57</v>
      </c>
      <c r="O148" s="27">
        <v>0</v>
      </c>
      <c r="P148" s="27">
        <v>6227</v>
      </c>
      <c r="Q148" s="27">
        <v>6227</v>
      </c>
      <c r="R148" s="27">
        <v>0</v>
      </c>
      <c r="S148" s="27">
        <v>0</v>
      </c>
      <c r="T148" s="27"/>
      <c r="U148" s="30"/>
      <c r="V148" s="30"/>
      <c r="W148" s="27" t="s">
        <v>108</v>
      </c>
      <c r="X148" s="27" t="s">
        <v>109</v>
      </c>
      <c r="Y148" s="27" t="s">
        <v>34</v>
      </c>
      <c r="Z148" s="30"/>
      <c r="AA148" s="30"/>
      <c r="AB148" s="30"/>
    </row>
    <row r="149" s="28" customFormat="1">
      <c r="A149" s="27" t="s">
        <v>368</v>
      </c>
      <c r="B149" s="27" t="s">
        <v>50</v>
      </c>
      <c r="C149" s="27" t="s">
        <v>369</v>
      </c>
      <c r="D149" s="27" t="str">
        <f>"430103197902240510"</f>
        <v>430103197902240510</v>
      </c>
      <c r="E149" s="27" t="s">
        <v>45</v>
      </c>
      <c r="F149" s="27" t="s">
        <v>367</v>
      </c>
      <c r="G149" s="29">
        <v>50000</v>
      </c>
      <c r="H149" s="27">
        <v>36</v>
      </c>
      <c r="I149" s="27" t="s">
        <v>34</v>
      </c>
      <c r="J149" s="27" t="str">
        <f>"13924595596"</f>
        <v>13924595596</v>
      </c>
      <c r="K149" s="29" t="s">
        <v>35</v>
      </c>
      <c r="L149" s="27" t="s">
        <v>36</v>
      </c>
      <c r="M149" s="27" t="s">
        <v>37</v>
      </c>
      <c r="N149" s="27" t="s">
        <v>57</v>
      </c>
      <c r="O149" s="27">
        <v>0</v>
      </c>
      <c r="P149" s="27">
        <v>2300</v>
      </c>
      <c r="Q149" s="27">
        <v>2300</v>
      </c>
      <c r="R149" s="27">
        <v>0</v>
      </c>
      <c r="S149" s="27">
        <v>0</v>
      </c>
      <c r="T149" s="27"/>
      <c r="U149" s="30"/>
      <c r="V149" s="30"/>
      <c r="W149" s="27"/>
      <c r="X149" s="27"/>
      <c r="Y149" s="27" t="s">
        <v>34</v>
      </c>
      <c r="Z149" s="30"/>
      <c r="AA149" s="30"/>
      <c r="AB149" s="30"/>
    </row>
    <row r="150" s="28" customFormat="1">
      <c r="A150" s="27" t="s">
        <v>370</v>
      </c>
      <c r="B150" s="27" t="s">
        <v>50</v>
      </c>
      <c r="C150" s="27" t="s">
        <v>371</v>
      </c>
      <c r="D150" s="27" t="str">
        <f>"510232196507256726"</f>
        <v>510232196507256726</v>
      </c>
      <c r="E150" s="27" t="s">
        <v>45</v>
      </c>
      <c r="F150" s="27" t="s">
        <v>367</v>
      </c>
      <c r="G150" s="29">
        <v>74000</v>
      </c>
      <c r="H150" s="27">
        <v>12</v>
      </c>
      <c r="I150" s="27" t="s">
        <v>34</v>
      </c>
      <c r="J150" s="27" t="str">
        <f>"15023247225"</f>
        <v>15023247225</v>
      </c>
      <c r="K150" s="29" t="s">
        <v>35</v>
      </c>
      <c r="L150" s="27" t="s">
        <v>47</v>
      </c>
      <c r="M150" s="27" t="s">
        <v>37</v>
      </c>
      <c r="N150" s="27" t="s">
        <v>57</v>
      </c>
      <c r="O150" s="27">
        <v>0</v>
      </c>
      <c r="P150" s="27">
        <v>2497</v>
      </c>
      <c r="Q150" s="27">
        <v>2497</v>
      </c>
      <c r="R150" s="27">
        <v>0</v>
      </c>
      <c r="S150" s="27">
        <v>0</v>
      </c>
      <c r="T150" s="27"/>
      <c r="U150" s="30"/>
      <c r="V150" s="30"/>
      <c r="W150" s="27"/>
      <c r="X150" s="27"/>
      <c r="Y150" s="27" t="s">
        <v>34</v>
      </c>
      <c r="Z150" s="30"/>
      <c r="AA150" s="30"/>
      <c r="AB150" s="30"/>
    </row>
    <row r="151" s="28" customFormat="1">
      <c r="A151" s="27" t="s">
        <v>372</v>
      </c>
      <c r="B151" s="27" t="s">
        <v>50</v>
      </c>
      <c r="C151" s="27" t="s">
        <v>373</v>
      </c>
      <c r="D151" s="27" t="str">
        <f>"510822197308230026"</f>
        <v>510822197308230026</v>
      </c>
      <c r="E151" s="27" t="s">
        <v>45</v>
      </c>
      <c r="F151" s="27" t="s">
        <v>367</v>
      </c>
      <c r="G151" s="29">
        <v>300000</v>
      </c>
      <c r="H151" s="27">
        <v>36</v>
      </c>
      <c r="I151" s="27" t="s">
        <v>34</v>
      </c>
      <c r="J151" s="27" t="str">
        <f>"15923216890"</f>
        <v>15923216890</v>
      </c>
      <c r="K151" s="29" t="s">
        <v>89</v>
      </c>
      <c r="L151" s="27" t="s">
        <v>47</v>
      </c>
      <c r="M151" s="27" t="s">
        <v>37</v>
      </c>
      <c r="N151" s="27" t="s">
        <v>57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/>
      <c r="U151" s="30"/>
      <c r="V151" s="30"/>
      <c r="W151" s="27"/>
      <c r="X151" s="27"/>
      <c r="Y151" s="27" t="s">
        <v>34</v>
      </c>
      <c r="Z151" s="30"/>
      <c r="AA151" s="30"/>
      <c r="AB151" s="30"/>
    </row>
    <row r="152" s="28" customFormat="1">
      <c r="A152" s="27" t="s">
        <v>374</v>
      </c>
      <c r="B152" s="27" t="s">
        <v>30</v>
      </c>
      <c r="C152" s="27" t="s">
        <v>375</v>
      </c>
      <c r="D152" s="27" t="str">
        <f>"362229197303280011"</f>
        <v>362229197303280011</v>
      </c>
      <c r="E152" s="27" t="s">
        <v>45</v>
      </c>
      <c r="F152" s="27" t="s">
        <v>367</v>
      </c>
      <c r="G152" s="29">
        <v>100000</v>
      </c>
      <c r="H152" s="27">
        <v>12</v>
      </c>
      <c r="I152" s="27" t="s">
        <v>34</v>
      </c>
      <c r="J152" s="27" t="str">
        <f>"13501575486"</f>
        <v>13501575486</v>
      </c>
      <c r="K152" s="29" t="s">
        <v>35</v>
      </c>
      <c r="L152" s="27" t="s">
        <v>36</v>
      </c>
      <c r="M152" s="27" t="s">
        <v>37</v>
      </c>
      <c r="N152" s="27" t="s">
        <v>57</v>
      </c>
      <c r="O152" s="27">
        <v>0</v>
      </c>
      <c r="P152" s="27">
        <v>17568</v>
      </c>
      <c r="Q152" s="27">
        <v>17568</v>
      </c>
      <c r="R152" s="27">
        <v>0</v>
      </c>
      <c r="S152" s="27">
        <v>0</v>
      </c>
      <c r="T152" s="27"/>
      <c r="U152" s="30"/>
      <c r="V152" s="30"/>
      <c r="W152" s="27" t="s">
        <v>40</v>
      </c>
      <c r="X152" s="27" t="s">
        <v>41</v>
      </c>
      <c r="Y152" s="27" t="s">
        <v>34</v>
      </c>
      <c r="Z152" s="30"/>
      <c r="AA152" s="30"/>
      <c r="AB152" s="30"/>
    </row>
    <row r="153" s="28" customFormat="1">
      <c r="A153" s="27" t="s">
        <v>376</v>
      </c>
      <c r="B153" s="27" t="s">
        <v>30</v>
      </c>
      <c r="C153" s="27" t="s">
        <v>377</v>
      </c>
      <c r="D153" s="27" t="str">
        <f>"350823198705084967"</f>
        <v>350823198705084967</v>
      </c>
      <c r="E153" s="27" t="s">
        <v>45</v>
      </c>
      <c r="F153" s="27" t="s">
        <v>367</v>
      </c>
      <c r="G153" s="29">
        <v>199000</v>
      </c>
      <c r="H153" s="27">
        <v>24</v>
      </c>
      <c r="I153" s="27" t="s">
        <v>34</v>
      </c>
      <c r="J153" s="27" t="str">
        <f>"15012890658"</f>
        <v>15012890658</v>
      </c>
      <c r="K153" s="29" t="s">
        <v>35</v>
      </c>
      <c r="L153" s="27" t="s">
        <v>36</v>
      </c>
      <c r="M153" s="27" t="s">
        <v>37</v>
      </c>
      <c r="N153" s="27" t="s">
        <v>57</v>
      </c>
      <c r="O153" s="27">
        <v>0</v>
      </c>
      <c r="P153" s="27">
        <v>12674</v>
      </c>
      <c r="Q153" s="27">
        <v>12674</v>
      </c>
      <c r="R153" s="27">
        <v>0</v>
      </c>
      <c r="S153" s="27">
        <v>0</v>
      </c>
      <c r="T153" s="27"/>
      <c r="U153" s="30"/>
      <c r="V153" s="30"/>
      <c r="W153" s="27" t="s">
        <v>40</v>
      </c>
      <c r="X153" s="27" t="s">
        <v>41</v>
      </c>
      <c r="Y153" s="27" t="s">
        <v>34</v>
      </c>
      <c r="Z153" s="30"/>
      <c r="AA153" s="30"/>
      <c r="AB153" s="30"/>
    </row>
    <row r="154" s="28" customFormat="1">
      <c r="A154" s="27" t="s">
        <v>378</v>
      </c>
      <c r="B154" s="27" t="s">
        <v>30</v>
      </c>
      <c r="C154" s="27" t="s">
        <v>379</v>
      </c>
      <c r="D154" s="27" t="str">
        <f>"512323197003187216"</f>
        <v>512323197003187216</v>
      </c>
      <c r="E154" s="27" t="s">
        <v>45</v>
      </c>
      <c r="F154" s="27" t="s">
        <v>367</v>
      </c>
      <c r="G154" s="29">
        <v>59000</v>
      </c>
      <c r="H154" s="27">
        <v>24</v>
      </c>
      <c r="I154" s="27" t="s">
        <v>34</v>
      </c>
      <c r="J154" s="27" t="str">
        <f>"13512311693"</f>
        <v>13512311693</v>
      </c>
      <c r="K154" s="29" t="s">
        <v>89</v>
      </c>
      <c r="L154" s="27" t="s">
        <v>47</v>
      </c>
      <c r="M154" s="27" t="s">
        <v>156</v>
      </c>
      <c r="N154" s="27" t="s">
        <v>57</v>
      </c>
      <c r="O154" s="27">
        <v>0</v>
      </c>
      <c r="P154" s="27">
        <v>1982</v>
      </c>
      <c r="Q154" s="27">
        <v>1982</v>
      </c>
      <c r="R154" s="27">
        <v>0</v>
      </c>
      <c r="S154" s="27">
        <v>0</v>
      </c>
      <c r="T154" s="27"/>
      <c r="U154" s="30"/>
      <c r="V154" s="30"/>
      <c r="W154" s="27"/>
      <c r="X154" s="27"/>
      <c r="Y154" s="27" t="s">
        <v>34</v>
      </c>
      <c r="Z154" s="30"/>
      <c r="AA154" s="30"/>
      <c r="AB154" s="30"/>
    </row>
    <row r="155" s="28" customFormat="1">
      <c r="A155" s="27" t="s">
        <v>380</v>
      </c>
      <c r="B155" s="27" t="s">
        <v>30</v>
      </c>
      <c r="C155" s="27" t="s">
        <v>381</v>
      </c>
      <c r="D155" s="27" t="str">
        <f>"421126197608153815"</f>
        <v>421126197608153815</v>
      </c>
      <c r="E155" s="27" t="s">
        <v>45</v>
      </c>
      <c r="F155" s="27" t="s">
        <v>367</v>
      </c>
      <c r="G155" s="29">
        <v>151000</v>
      </c>
      <c r="H155" s="27">
        <v>24</v>
      </c>
      <c r="I155" s="27" t="s">
        <v>34</v>
      </c>
      <c r="J155" s="27" t="str">
        <f>"13929484865"</f>
        <v>13929484865</v>
      </c>
      <c r="K155" s="29" t="s">
        <v>35</v>
      </c>
      <c r="L155" s="27" t="s">
        <v>36</v>
      </c>
      <c r="M155" s="27" t="s">
        <v>37</v>
      </c>
      <c r="N155" s="27" t="s">
        <v>57</v>
      </c>
      <c r="O155" s="27">
        <v>0</v>
      </c>
      <c r="P155" s="27">
        <v>9847</v>
      </c>
      <c r="Q155" s="27">
        <v>9847</v>
      </c>
      <c r="R155" s="27">
        <v>0</v>
      </c>
      <c r="S155" s="27">
        <v>0</v>
      </c>
      <c r="T155" s="27"/>
      <c r="U155" s="30"/>
      <c r="V155" s="30"/>
      <c r="W155" s="27"/>
      <c r="X155" s="27"/>
      <c r="Y155" s="27" t="s">
        <v>34</v>
      </c>
      <c r="Z155" s="30"/>
      <c r="AA155" s="30"/>
      <c r="AB155" s="30"/>
    </row>
    <row r="156" s="28" customFormat="1">
      <c r="A156" s="27" t="s">
        <v>382</v>
      </c>
      <c r="B156" s="27" t="s">
        <v>30</v>
      </c>
      <c r="C156" s="27" t="s">
        <v>383</v>
      </c>
      <c r="D156" s="27" t="str">
        <f>"340802198307170022"</f>
        <v>340802198307170022</v>
      </c>
      <c r="E156" s="27" t="s">
        <v>45</v>
      </c>
      <c r="F156" s="27" t="s">
        <v>367</v>
      </c>
      <c r="G156" s="29">
        <v>125000</v>
      </c>
      <c r="H156" s="27">
        <v>24</v>
      </c>
      <c r="I156" s="27" t="s">
        <v>34</v>
      </c>
      <c r="J156" s="27" t="str">
        <f>"15826169897"</f>
        <v>15826169897</v>
      </c>
      <c r="K156" s="29" t="s">
        <v>35</v>
      </c>
      <c r="L156" s="27" t="s">
        <v>36</v>
      </c>
      <c r="M156" s="27" t="s">
        <v>37</v>
      </c>
      <c r="N156" s="27" t="s">
        <v>57</v>
      </c>
      <c r="O156" s="27">
        <v>0</v>
      </c>
      <c r="P156" s="27">
        <v>7919</v>
      </c>
      <c r="Q156" s="27">
        <v>7919</v>
      </c>
      <c r="R156" s="27">
        <v>0</v>
      </c>
      <c r="S156" s="27">
        <v>0</v>
      </c>
      <c r="T156" s="27"/>
      <c r="U156" s="30"/>
      <c r="V156" s="30"/>
      <c r="W156" s="27" t="s">
        <v>159</v>
      </c>
      <c r="X156" s="27" t="s">
        <v>160</v>
      </c>
      <c r="Y156" s="27" t="s">
        <v>34</v>
      </c>
      <c r="Z156" s="30"/>
      <c r="AA156" s="30"/>
      <c r="AB156" s="30"/>
    </row>
    <row r="157" s="28" customFormat="1">
      <c r="A157" s="27" t="s">
        <v>384</v>
      </c>
      <c r="B157" s="27" t="s">
        <v>30</v>
      </c>
      <c r="C157" s="27" t="s">
        <v>385</v>
      </c>
      <c r="D157" s="27" t="str">
        <f>"500240198903163959"</f>
        <v>500240198903163959</v>
      </c>
      <c r="E157" s="27" t="s">
        <v>45</v>
      </c>
      <c r="F157" s="27" t="s">
        <v>367</v>
      </c>
      <c r="G157" s="29">
        <v>286000</v>
      </c>
      <c r="H157" s="27">
        <v>24</v>
      </c>
      <c r="I157" s="27" t="s">
        <v>34</v>
      </c>
      <c r="J157" s="27" t="str">
        <f>"18883763888"</f>
        <v>18883763888</v>
      </c>
      <c r="K157" s="29" t="s">
        <v>68</v>
      </c>
      <c r="L157" s="27" t="s">
        <v>47</v>
      </c>
      <c r="M157" s="27" t="s">
        <v>156</v>
      </c>
      <c r="N157" s="27" t="s">
        <v>57</v>
      </c>
      <c r="O157" s="27">
        <v>0</v>
      </c>
      <c r="P157" s="27">
        <v>9551</v>
      </c>
      <c r="Q157" s="27">
        <v>9551</v>
      </c>
      <c r="R157" s="27">
        <v>0</v>
      </c>
      <c r="S157" s="27">
        <v>0</v>
      </c>
      <c r="T157" s="27"/>
      <c r="U157" s="30"/>
      <c r="V157" s="30"/>
      <c r="W157" s="27"/>
      <c r="X157" s="27"/>
      <c r="Y157" s="27" t="s">
        <v>34</v>
      </c>
      <c r="Z157" s="30"/>
      <c r="AA157" s="30"/>
      <c r="AB157" s="30"/>
    </row>
    <row r="158" s="28" customFormat="1">
      <c r="A158" s="27" t="s">
        <v>386</v>
      </c>
      <c r="B158" s="27" t="s">
        <v>30</v>
      </c>
      <c r="C158" s="27" t="s">
        <v>387</v>
      </c>
      <c r="D158" s="27" t="str">
        <f>"362201198206101622"</f>
        <v>362201198206101622</v>
      </c>
      <c r="E158" s="27" t="s">
        <v>45</v>
      </c>
      <c r="F158" s="27" t="s">
        <v>367</v>
      </c>
      <c r="G158" s="29">
        <v>100000</v>
      </c>
      <c r="H158" s="27">
        <v>24</v>
      </c>
      <c r="I158" s="27" t="s">
        <v>34</v>
      </c>
      <c r="J158" s="27" t="str">
        <f>"13751159917"</f>
        <v>13751159917</v>
      </c>
      <c r="K158" s="29" t="s">
        <v>35</v>
      </c>
      <c r="L158" s="27" t="s">
        <v>36</v>
      </c>
      <c r="M158" s="27" t="s">
        <v>37</v>
      </c>
      <c r="N158" s="27" t="s">
        <v>57</v>
      </c>
      <c r="O158" s="27">
        <v>0</v>
      </c>
      <c r="P158" s="27">
        <v>16074</v>
      </c>
      <c r="Q158" s="27">
        <v>16074</v>
      </c>
      <c r="R158" s="27">
        <v>0</v>
      </c>
      <c r="S158" s="27">
        <v>0</v>
      </c>
      <c r="T158" s="27"/>
      <c r="U158" s="30"/>
      <c r="V158" s="30"/>
      <c r="W158" s="27" t="s">
        <v>40</v>
      </c>
      <c r="X158" s="27" t="s">
        <v>41</v>
      </c>
      <c r="Y158" s="27" t="s">
        <v>34</v>
      </c>
      <c r="Z158" s="30"/>
      <c r="AA158" s="30"/>
      <c r="AB158" s="30"/>
    </row>
    <row r="159" s="28" customFormat="1">
      <c r="A159" s="27" t="s">
        <v>388</v>
      </c>
      <c r="B159" s="27" t="s">
        <v>50</v>
      </c>
      <c r="C159" s="27" t="s">
        <v>389</v>
      </c>
      <c r="D159" s="27" t="str">
        <f>"441900198709021326"</f>
        <v>441900198709021326</v>
      </c>
      <c r="E159" s="27" t="s">
        <v>45</v>
      </c>
      <c r="F159" s="27" t="s">
        <v>367</v>
      </c>
      <c r="G159" s="29">
        <v>100000</v>
      </c>
      <c r="H159" s="27">
        <v>36</v>
      </c>
      <c r="I159" s="27" t="s">
        <v>34</v>
      </c>
      <c r="J159" s="27" t="str">
        <f>"13728303808"</f>
        <v>13728303808</v>
      </c>
      <c r="K159" s="29" t="s">
        <v>35</v>
      </c>
      <c r="L159" s="27" t="s">
        <v>47</v>
      </c>
      <c r="M159" s="27" t="s">
        <v>37</v>
      </c>
      <c r="N159" s="27" t="s">
        <v>57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/>
      <c r="U159" s="30"/>
      <c r="V159" s="30"/>
      <c r="W159" s="27" t="s">
        <v>74</v>
      </c>
      <c r="X159" s="27" t="s">
        <v>75</v>
      </c>
      <c r="Y159" s="27" t="s">
        <v>34</v>
      </c>
      <c r="Z159" s="30"/>
      <c r="AA159" s="30"/>
      <c r="AB159" s="30"/>
    </row>
    <row r="160" s="28" customFormat="1">
      <c r="A160" s="27" t="s">
        <v>390</v>
      </c>
      <c r="B160" s="27" t="s">
        <v>30</v>
      </c>
      <c r="C160" s="27" t="s">
        <v>391</v>
      </c>
      <c r="D160" s="27" t="str">
        <f>"500221198906266620"</f>
        <v>500221198906266620</v>
      </c>
      <c r="E160" s="27" t="s">
        <v>45</v>
      </c>
      <c r="F160" s="27" t="s">
        <v>367</v>
      </c>
      <c r="G160" s="29">
        <v>170000</v>
      </c>
      <c r="H160" s="27">
        <v>24</v>
      </c>
      <c r="I160" s="27" t="s">
        <v>34</v>
      </c>
      <c r="J160" s="27" t="str">
        <f>"18716469584"</f>
        <v>18716469584</v>
      </c>
      <c r="K160" s="29" t="s">
        <v>68</v>
      </c>
      <c r="L160" s="27" t="s">
        <v>47</v>
      </c>
      <c r="M160" s="27" t="s">
        <v>37</v>
      </c>
      <c r="N160" s="27" t="s">
        <v>57</v>
      </c>
      <c r="O160" s="27">
        <v>0</v>
      </c>
      <c r="P160" s="27">
        <v>5732</v>
      </c>
      <c r="Q160" s="27">
        <v>5732</v>
      </c>
      <c r="R160" s="27">
        <v>0</v>
      </c>
      <c r="S160" s="27">
        <v>0</v>
      </c>
      <c r="T160" s="27"/>
      <c r="U160" s="30"/>
      <c r="V160" s="30"/>
      <c r="W160" s="27"/>
      <c r="X160" s="27"/>
      <c r="Y160" s="27" t="s">
        <v>34</v>
      </c>
      <c r="Z160" s="30"/>
      <c r="AA160" s="30"/>
      <c r="AB160" s="30"/>
    </row>
    <row r="161" s="28" customFormat="1">
      <c r="A161" s="27" t="s">
        <v>392</v>
      </c>
      <c r="B161" s="27" t="s">
        <v>30</v>
      </c>
      <c r="C161" s="27" t="s">
        <v>393</v>
      </c>
      <c r="D161" s="27" t="str">
        <f>"420621197402205725"</f>
        <v>420621197402205725</v>
      </c>
      <c r="E161" s="27" t="s">
        <v>45</v>
      </c>
      <c r="F161" s="27" t="s">
        <v>367</v>
      </c>
      <c r="G161" s="29">
        <v>128000</v>
      </c>
      <c r="H161" s="27">
        <v>24</v>
      </c>
      <c r="I161" s="27" t="s">
        <v>34</v>
      </c>
      <c r="J161" s="27" t="str">
        <f>"13431435168"</f>
        <v>13431435168</v>
      </c>
      <c r="K161" s="29" t="s">
        <v>35</v>
      </c>
      <c r="L161" s="27" t="s">
        <v>36</v>
      </c>
      <c r="M161" s="27" t="s">
        <v>37</v>
      </c>
      <c r="N161" s="27" t="s">
        <v>57</v>
      </c>
      <c r="O161" s="27">
        <v>0</v>
      </c>
      <c r="P161" s="27">
        <v>7084</v>
      </c>
      <c r="Q161" s="27">
        <v>7084</v>
      </c>
      <c r="R161" s="27">
        <v>0</v>
      </c>
      <c r="S161" s="27">
        <v>0</v>
      </c>
      <c r="T161" s="27"/>
      <c r="U161" s="30"/>
      <c r="V161" s="30"/>
      <c r="W161" s="27"/>
      <c r="X161" s="27"/>
      <c r="Y161" s="27" t="s">
        <v>34</v>
      </c>
      <c r="Z161" s="30"/>
      <c r="AA161" s="30"/>
      <c r="AB161" s="30"/>
    </row>
    <row r="162" s="28" customFormat="1">
      <c r="A162" s="27" t="s">
        <v>394</v>
      </c>
      <c r="B162" s="27" t="s">
        <v>30</v>
      </c>
      <c r="C162" s="27" t="s">
        <v>395</v>
      </c>
      <c r="D162" s="27" t="str">
        <f>"440307198107011113"</f>
        <v>440307198107011113</v>
      </c>
      <c r="E162" s="27" t="s">
        <v>45</v>
      </c>
      <c r="F162" s="27" t="s">
        <v>367</v>
      </c>
      <c r="G162" s="29">
        <v>199000</v>
      </c>
      <c r="H162" s="27">
        <v>24</v>
      </c>
      <c r="I162" s="27" t="s">
        <v>34</v>
      </c>
      <c r="J162" s="27" t="str">
        <f>"13823265950"</f>
        <v>13823265950</v>
      </c>
      <c r="K162" s="29" t="s">
        <v>35</v>
      </c>
      <c r="L162" s="27" t="s">
        <v>47</v>
      </c>
      <c r="M162" s="27" t="s">
        <v>37</v>
      </c>
      <c r="N162" s="27" t="s">
        <v>57</v>
      </c>
      <c r="O162" s="27">
        <v>0</v>
      </c>
      <c r="P162" s="27">
        <v>21795</v>
      </c>
      <c r="Q162" s="27">
        <v>21795</v>
      </c>
      <c r="R162" s="27">
        <v>0</v>
      </c>
      <c r="S162" s="27">
        <v>0</v>
      </c>
      <c r="T162" s="27"/>
      <c r="U162" s="30"/>
      <c r="V162" s="30"/>
      <c r="W162" s="27"/>
      <c r="X162" s="27"/>
      <c r="Y162" s="27" t="s">
        <v>34</v>
      </c>
      <c r="Z162" s="30"/>
      <c r="AA162" s="30"/>
      <c r="AB162" s="30"/>
    </row>
    <row r="163" s="28" customFormat="1">
      <c r="A163" s="27" t="s">
        <v>396</v>
      </c>
      <c r="B163" s="27" t="s">
        <v>30</v>
      </c>
      <c r="C163" s="27" t="s">
        <v>397</v>
      </c>
      <c r="D163" s="27" t="str">
        <f>"330327197803122904"</f>
        <v>330327197803122904</v>
      </c>
      <c r="E163" s="27" t="s">
        <v>45</v>
      </c>
      <c r="F163" s="27" t="s">
        <v>367</v>
      </c>
      <c r="G163" s="29">
        <v>190000</v>
      </c>
      <c r="H163" s="27">
        <v>24</v>
      </c>
      <c r="I163" s="27" t="s">
        <v>34</v>
      </c>
      <c r="J163" s="27" t="str">
        <f>"13676544885"</f>
        <v>13676544885</v>
      </c>
      <c r="K163" s="29" t="s">
        <v>68</v>
      </c>
      <c r="L163" s="27" t="s">
        <v>36</v>
      </c>
      <c r="M163" s="27" t="s">
        <v>37</v>
      </c>
      <c r="N163" s="27" t="s">
        <v>57</v>
      </c>
      <c r="O163" s="27">
        <v>0</v>
      </c>
      <c r="P163" s="27">
        <v>6965</v>
      </c>
      <c r="Q163" s="27">
        <v>6965</v>
      </c>
      <c r="R163" s="27">
        <v>0</v>
      </c>
      <c r="S163" s="27">
        <v>0</v>
      </c>
      <c r="T163" s="27"/>
      <c r="U163" s="30"/>
      <c r="V163" s="30"/>
      <c r="W163" s="27"/>
      <c r="X163" s="27"/>
      <c r="Y163" s="27" t="s">
        <v>34</v>
      </c>
      <c r="Z163" s="30"/>
      <c r="AA163" s="30"/>
      <c r="AB163" s="30"/>
    </row>
    <row r="164" s="28" customFormat="1">
      <c r="A164" s="27" t="s">
        <v>398</v>
      </c>
      <c r="B164" s="27" t="s">
        <v>30</v>
      </c>
      <c r="C164" s="27" t="s">
        <v>399</v>
      </c>
      <c r="D164" s="27" t="str">
        <f>"510282198004246828"</f>
        <v>510282198004246828</v>
      </c>
      <c r="E164" s="27" t="s">
        <v>45</v>
      </c>
      <c r="F164" s="27" t="s">
        <v>367</v>
      </c>
      <c r="G164" s="29">
        <v>300000</v>
      </c>
      <c r="H164" s="27">
        <v>24</v>
      </c>
      <c r="I164" s="27" t="s">
        <v>34</v>
      </c>
      <c r="J164" s="27" t="str">
        <f>"13983299492"</f>
        <v>13983299492</v>
      </c>
      <c r="K164" s="29" t="s">
        <v>35</v>
      </c>
      <c r="L164" s="27" t="s">
        <v>47</v>
      </c>
      <c r="M164" s="27" t="s">
        <v>37</v>
      </c>
      <c r="N164" s="27" t="s">
        <v>57</v>
      </c>
      <c r="O164" s="27">
        <v>0</v>
      </c>
      <c r="P164" s="27">
        <v>13286</v>
      </c>
      <c r="Q164" s="27">
        <v>13286</v>
      </c>
      <c r="R164" s="27">
        <v>0</v>
      </c>
      <c r="S164" s="27">
        <v>0</v>
      </c>
      <c r="T164" s="27"/>
      <c r="U164" s="30"/>
      <c r="V164" s="30"/>
      <c r="W164" s="27"/>
      <c r="X164" s="27"/>
      <c r="Y164" s="27" t="s">
        <v>34</v>
      </c>
      <c r="Z164" s="30"/>
      <c r="AA164" s="30"/>
      <c r="AB164" s="30"/>
    </row>
    <row r="165" s="28" customFormat="1">
      <c r="A165" s="27" t="s">
        <v>400</v>
      </c>
      <c r="B165" s="27" t="s">
        <v>50</v>
      </c>
      <c r="C165" s="27" t="s">
        <v>401</v>
      </c>
      <c r="D165" s="27" t="str">
        <f>"441423198605241719"</f>
        <v>441423198605241719</v>
      </c>
      <c r="E165" s="27" t="s">
        <v>45</v>
      </c>
      <c r="F165" s="27" t="s">
        <v>367</v>
      </c>
      <c r="G165" s="29">
        <v>90000</v>
      </c>
      <c r="H165" s="27">
        <v>36</v>
      </c>
      <c r="I165" s="27" t="s">
        <v>34</v>
      </c>
      <c r="J165" s="27" t="str">
        <f>"15217212761"</f>
        <v>15217212761</v>
      </c>
      <c r="K165" s="29" t="s">
        <v>35</v>
      </c>
      <c r="L165" s="27" t="s">
        <v>36</v>
      </c>
      <c r="M165" s="27" t="s">
        <v>37</v>
      </c>
      <c r="N165" s="27" t="s">
        <v>57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/>
      <c r="U165" s="30"/>
      <c r="V165" s="30"/>
      <c r="W165" s="27"/>
      <c r="X165" s="27"/>
      <c r="Y165" s="27" t="s">
        <v>34</v>
      </c>
      <c r="Z165" s="30"/>
      <c r="AA165" s="30"/>
      <c r="AB165" s="30"/>
    </row>
    <row r="166" s="28" customFormat="1">
      <c r="A166" s="27" t="s">
        <v>402</v>
      </c>
      <c r="B166" s="27" t="s">
        <v>30</v>
      </c>
      <c r="C166" s="27" t="s">
        <v>397</v>
      </c>
      <c r="D166" s="27" t="str">
        <f>"330327197803122904"</f>
        <v>330327197803122904</v>
      </c>
      <c r="E166" s="27" t="s">
        <v>45</v>
      </c>
      <c r="F166" s="27" t="s">
        <v>367</v>
      </c>
      <c r="G166" s="29">
        <v>120000</v>
      </c>
      <c r="H166" s="27">
        <v>24</v>
      </c>
      <c r="I166" s="27" t="s">
        <v>34</v>
      </c>
      <c r="J166" s="27" t="str">
        <f>"13676544885"</f>
        <v>13676544885</v>
      </c>
      <c r="K166" s="29" t="s">
        <v>68</v>
      </c>
      <c r="L166" s="27" t="s">
        <v>36</v>
      </c>
      <c r="M166" s="27" t="s">
        <v>37</v>
      </c>
      <c r="N166" s="27" t="s">
        <v>57</v>
      </c>
      <c r="O166" s="27">
        <v>0</v>
      </c>
      <c r="P166" s="27">
        <v>6965</v>
      </c>
      <c r="Q166" s="27">
        <v>6965</v>
      </c>
      <c r="R166" s="27">
        <v>0</v>
      </c>
      <c r="S166" s="27">
        <v>0</v>
      </c>
      <c r="T166" s="27"/>
      <c r="U166" s="30"/>
      <c r="V166" s="30"/>
      <c r="W166" s="27" t="s">
        <v>74</v>
      </c>
      <c r="X166" s="27" t="s">
        <v>75</v>
      </c>
      <c r="Y166" s="27" t="s">
        <v>34</v>
      </c>
      <c r="Z166" s="30"/>
      <c r="AA166" s="30"/>
      <c r="AB166" s="30"/>
    </row>
    <row r="167" s="28" customFormat="1">
      <c r="A167" s="27" t="s">
        <v>403</v>
      </c>
      <c r="B167" s="27" t="s">
        <v>30</v>
      </c>
      <c r="C167" s="27" t="s">
        <v>404</v>
      </c>
      <c r="D167" s="27" t="str">
        <f>"410221198205067627"</f>
        <v>410221198205067627</v>
      </c>
      <c r="E167" s="27" t="s">
        <v>45</v>
      </c>
      <c r="F167" s="27" t="s">
        <v>367</v>
      </c>
      <c r="G167" s="29">
        <v>72000</v>
      </c>
      <c r="H167" s="27">
        <v>12</v>
      </c>
      <c r="I167" s="27" t="s">
        <v>34</v>
      </c>
      <c r="J167" s="27" t="str">
        <f>"13688970780"</f>
        <v>13688970780</v>
      </c>
      <c r="K167" s="29" t="s">
        <v>35</v>
      </c>
      <c r="L167" s="27" t="s">
        <v>36</v>
      </c>
      <c r="M167" s="27" t="s">
        <v>37</v>
      </c>
      <c r="N167" s="27" t="s">
        <v>57</v>
      </c>
      <c r="O167" s="27">
        <v>0</v>
      </c>
      <c r="P167" s="27">
        <v>2415</v>
      </c>
      <c r="Q167" s="27">
        <v>2415</v>
      </c>
      <c r="R167" s="27">
        <v>0</v>
      </c>
      <c r="S167" s="27">
        <v>0</v>
      </c>
      <c r="T167" s="27"/>
      <c r="U167" s="30"/>
      <c r="V167" s="30"/>
      <c r="W167" s="27"/>
      <c r="X167" s="27"/>
      <c r="Y167" s="27" t="s">
        <v>34</v>
      </c>
      <c r="Z167" s="30"/>
      <c r="AA167" s="30"/>
      <c r="AB167" s="30"/>
    </row>
    <row r="168" s="28" customFormat="1">
      <c r="A168" s="27" t="s">
        <v>405</v>
      </c>
      <c r="B168" s="27" t="s">
        <v>30</v>
      </c>
      <c r="C168" s="27" t="s">
        <v>406</v>
      </c>
      <c r="D168" s="27" t="str">
        <f>"432902197109244224"</f>
        <v>432902197109244224</v>
      </c>
      <c r="E168" s="27" t="s">
        <v>45</v>
      </c>
      <c r="F168" s="27" t="s">
        <v>367</v>
      </c>
      <c r="G168" s="29">
        <v>180000</v>
      </c>
      <c r="H168" s="27">
        <v>24</v>
      </c>
      <c r="I168" s="27" t="s">
        <v>34</v>
      </c>
      <c r="J168" s="27" t="str">
        <f>"13726478412"</f>
        <v>13726478412</v>
      </c>
      <c r="K168" s="29" t="s">
        <v>35</v>
      </c>
      <c r="L168" s="27" t="s">
        <v>36</v>
      </c>
      <c r="M168" s="27" t="s">
        <v>37</v>
      </c>
      <c r="N168" s="27" t="s">
        <v>57</v>
      </c>
      <c r="O168" s="27">
        <v>0</v>
      </c>
      <c r="P168" s="27">
        <v>6114</v>
      </c>
      <c r="Q168" s="27">
        <v>6114</v>
      </c>
      <c r="R168" s="27">
        <v>0</v>
      </c>
      <c r="S168" s="27">
        <v>0</v>
      </c>
      <c r="T168" s="27"/>
      <c r="U168" s="30"/>
      <c r="V168" s="30"/>
      <c r="W168" s="27" t="s">
        <v>74</v>
      </c>
      <c r="X168" s="27" t="s">
        <v>75</v>
      </c>
      <c r="Y168" s="27" t="s">
        <v>34</v>
      </c>
      <c r="Z168" s="30"/>
      <c r="AA168" s="30"/>
      <c r="AB168" s="30"/>
    </row>
    <row r="169" s="28" customFormat="1">
      <c r="A169" s="27" t="s">
        <v>407</v>
      </c>
      <c r="B169" s="27" t="s">
        <v>30</v>
      </c>
      <c r="C169" s="27" t="s">
        <v>408</v>
      </c>
      <c r="D169" s="27" t="str">
        <f>"500234198912158150"</f>
        <v>500234198912158150</v>
      </c>
      <c r="E169" s="27" t="s">
        <v>45</v>
      </c>
      <c r="F169" s="27" t="s">
        <v>367</v>
      </c>
      <c r="G169" s="29">
        <v>63000</v>
      </c>
      <c r="H169" s="27">
        <v>24</v>
      </c>
      <c r="I169" s="27" t="s">
        <v>34</v>
      </c>
      <c r="J169" s="27" t="str">
        <f>"15084300767"</f>
        <v>15084300767</v>
      </c>
      <c r="K169" s="29" t="s">
        <v>68</v>
      </c>
      <c r="L169" s="27" t="s">
        <v>47</v>
      </c>
      <c r="M169" s="27" t="s">
        <v>37</v>
      </c>
      <c r="N169" s="27" t="s">
        <v>57</v>
      </c>
      <c r="O169" s="27">
        <v>0</v>
      </c>
      <c r="P169" s="27">
        <v>2132</v>
      </c>
      <c r="Q169" s="27">
        <v>2132</v>
      </c>
      <c r="R169" s="27">
        <v>0</v>
      </c>
      <c r="S169" s="27">
        <v>0</v>
      </c>
      <c r="T169" s="27"/>
      <c r="U169" s="30"/>
      <c r="V169" s="30"/>
      <c r="W169" s="27" t="s">
        <v>159</v>
      </c>
      <c r="X169" s="27" t="s">
        <v>160</v>
      </c>
      <c r="Y169" s="27" t="s">
        <v>34</v>
      </c>
      <c r="Z169" s="30"/>
      <c r="AA169" s="30"/>
      <c r="AB169" s="30"/>
    </row>
    <row r="170" s="28" customFormat="1">
      <c r="A170" s="27" t="s">
        <v>409</v>
      </c>
      <c r="B170" s="27" t="s">
        <v>30</v>
      </c>
      <c r="C170" s="27" t="s">
        <v>410</v>
      </c>
      <c r="D170" s="27" t="str">
        <f>"330303197108120324"</f>
        <v>330303197108120324</v>
      </c>
      <c r="E170" s="27" t="s">
        <v>45</v>
      </c>
      <c r="F170" s="27" t="s">
        <v>367</v>
      </c>
      <c r="G170" s="29">
        <v>90000</v>
      </c>
      <c r="H170" s="27">
        <v>24</v>
      </c>
      <c r="I170" s="27" t="s">
        <v>34</v>
      </c>
      <c r="J170" s="27" t="str">
        <f>"13612695638"</f>
        <v>13612695638</v>
      </c>
      <c r="K170" s="29" t="s">
        <v>35</v>
      </c>
      <c r="L170" s="27" t="s">
        <v>36</v>
      </c>
      <c r="M170" s="27" t="s">
        <v>37</v>
      </c>
      <c r="N170" s="27" t="s">
        <v>57</v>
      </c>
      <c r="O170" s="27">
        <v>0</v>
      </c>
      <c r="P170" s="27">
        <v>15487</v>
      </c>
      <c r="Q170" s="27">
        <v>15487</v>
      </c>
      <c r="R170" s="27">
        <v>0</v>
      </c>
      <c r="S170" s="27">
        <v>0</v>
      </c>
      <c r="T170" s="27"/>
      <c r="U170" s="30"/>
      <c r="V170" s="30"/>
      <c r="W170" s="27" t="s">
        <v>74</v>
      </c>
      <c r="X170" s="27" t="s">
        <v>75</v>
      </c>
      <c r="Y170" s="27" t="s">
        <v>34</v>
      </c>
      <c r="Z170" s="30"/>
      <c r="AA170" s="30"/>
      <c r="AB170" s="30"/>
    </row>
    <row r="171" s="28" customFormat="1">
      <c r="A171" s="27" t="s">
        <v>411</v>
      </c>
      <c r="B171" s="27" t="s">
        <v>50</v>
      </c>
      <c r="C171" s="27" t="s">
        <v>412</v>
      </c>
      <c r="D171" s="27" t="str">
        <f>"510215197402163337"</f>
        <v>510215197402163337</v>
      </c>
      <c r="E171" s="27" t="s">
        <v>45</v>
      </c>
      <c r="F171" s="27" t="s">
        <v>367</v>
      </c>
      <c r="G171" s="29">
        <v>79000</v>
      </c>
      <c r="H171" s="27">
        <v>36</v>
      </c>
      <c r="I171" s="27" t="s">
        <v>34</v>
      </c>
      <c r="J171" s="27" t="str">
        <f>"13320288238"</f>
        <v>13320288238</v>
      </c>
      <c r="K171" s="29" t="s">
        <v>35</v>
      </c>
      <c r="L171" s="27" t="s">
        <v>47</v>
      </c>
      <c r="M171" s="27" t="s">
        <v>37</v>
      </c>
      <c r="N171" s="27" t="s">
        <v>57</v>
      </c>
      <c r="O171" s="27">
        <v>0</v>
      </c>
      <c r="P171" s="27">
        <v>2288</v>
      </c>
      <c r="Q171" s="27">
        <v>2288</v>
      </c>
      <c r="R171" s="27">
        <v>0</v>
      </c>
      <c r="S171" s="27">
        <v>0</v>
      </c>
      <c r="T171" s="27"/>
      <c r="U171" s="30"/>
      <c r="V171" s="30"/>
      <c r="W171" s="27"/>
      <c r="X171" s="27"/>
      <c r="Y171" s="27" t="s">
        <v>34</v>
      </c>
      <c r="Z171" s="30"/>
      <c r="AA171" s="30"/>
      <c r="AB171" s="30"/>
    </row>
    <row r="172" s="28" customFormat="1">
      <c r="A172" s="27" t="s">
        <v>413</v>
      </c>
      <c r="B172" s="27" t="s">
        <v>30</v>
      </c>
      <c r="C172" s="27" t="s">
        <v>414</v>
      </c>
      <c r="D172" s="27" t="str">
        <f>"510230197608146309"</f>
        <v>510230197608146309</v>
      </c>
      <c r="E172" s="27" t="s">
        <v>45</v>
      </c>
      <c r="F172" s="27" t="s">
        <v>367</v>
      </c>
      <c r="G172" s="29">
        <v>60000</v>
      </c>
      <c r="H172" s="27">
        <v>24</v>
      </c>
      <c r="I172" s="27" t="s">
        <v>34</v>
      </c>
      <c r="J172" s="27" t="str">
        <f>"13689585861"</f>
        <v>13689585861</v>
      </c>
      <c r="K172" s="29" t="s">
        <v>35</v>
      </c>
      <c r="L172" s="27" t="s">
        <v>36</v>
      </c>
      <c r="M172" s="27" t="s">
        <v>37</v>
      </c>
      <c r="N172" s="27" t="s">
        <v>57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/>
      <c r="U172" s="30"/>
      <c r="V172" s="30"/>
      <c r="W172" s="27"/>
      <c r="X172" s="27"/>
      <c r="Y172" s="27" t="s">
        <v>34</v>
      </c>
      <c r="Z172" s="30"/>
      <c r="AA172" s="30"/>
      <c r="AB172" s="30"/>
    </row>
    <row r="173" s="28" customFormat="1">
      <c r="A173" s="27" t="s">
        <v>415</v>
      </c>
      <c r="B173" s="27" t="s">
        <v>30</v>
      </c>
      <c r="C173" s="27" t="s">
        <v>416</v>
      </c>
      <c r="D173" s="27" t="str">
        <f>"442830197112280885"</f>
        <v>442830197112280885</v>
      </c>
      <c r="E173" s="27" t="s">
        <v>45</v>
      </c>
      <c r="F173" s="27" t="s">
        <v>367</v>
      </c>
      <c r="G173" s="29">
        <v>144000</v>
      </c>
      <c r="H173" s="27">
        <v>24</v>
      </c>
      <c r="I173" s="27" t="s">
        <v>34</v>
      </c>
      <c r="J173" s="27" t="str">
        <f>"13546922368"</f>
        <v>13546922368</v>
      </c>
      <c r="K173" s="29" t="s">
        <v>35</v>
      </c>
      <c r="L173" s="27" t="s">
        <v>36</v>
      </c>
      <c r="M173" s="27" t="s">
        <v>37</v>
      </c>
      <c r="N173" s="27" t="s">
        <v>57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/>
      <c r="U173" s="30"/>
      <c r="V173" s="30"/>
      <c r="W173" s="27"/>
      <c r="X173" s="27"/>
      <c r="Y173" s="27" t="s">
        <v>34</v>
      </c>
      <c r="Z173" s="30"/>
      <c r="AA173" s="30"/>
      <c r="AB173" s="30"/>
    </row>
    <row r="174" s="28" customFormat="1">
      <c r="A174" s="27" t="s">
        <v>417</v>
      </c>
      <c r="B174" s="27" t="s">
        <v>30</v>
      </c>
      <c r="C174" s="27" t="s">
        <v>418</v>
      </c>
      <c r="D174" s="27" t="str">
        <f>"445281198509263025"</f>
        <v>445281198509263025</v>
      </c>
      <c r="E174" s="27" t="s">
        <v>45</v>
      </c>
      <c r="F174" s="27" t="s">
        <v>367</v>
      </c>
      <c r="G174" s="29">
        <v>195000</v>
      </c>
      <c r="H174" s="27">
        <v>24</v>
      </c>
      <c r="I174" s="27" t="s">
        <v>34</v>
      </c>
      <c r="J174" s="27" t="str">
        <f>"15989618989"</f>
        <v>15989618989</v>
      </c>
      <c r="K174" s="29" t="s">
        <v>35</v>
      </c>
      <c r="L174" s="27" t="s">
        <v>36</v>
      </c>
      <c r="M174" s="27" t="s">
        <v>37</v>
      </c>
      <c r="N174" s="27" t="s">
        <v>57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/>
      <c r="U174" s="30"/>
      <c r="V174" s="30"/>
      <c r="W174" s="27"/>
      <c r="X174" s="27"/>
      <c r="Y174" s="27" t="s">
        <v>34</v>
      </c>
      <c r="Z174" s="30"/>
      <c r="AA174" s="30"/>
      <c r="AB174" s="30"/>
    </row>
    <row r="175" s="28" customFormat="1">
      <c r="A175" s="27" t="s">
        <v>419</v>
      </c>
      <c r="B175" s="27" t="s">
        <v>30</v>
      </c>
      <c r="C175" s="27" t="s">
        <v>404</v>
      </c>
      <c r="D175" s="27" t="str">
        <f>"410221198205067627"</f>
        <v>410221198205067627</v>
      </c>
      <c r="E175" s="27" t="s">
        <v>45</v>
      </c>
      <c r="F175" s="27" t="s">
        <v>367</v>
      </c>
      <c r="G175" s="29">
        <v>72000</v>
      </c>
      <c r="H175" s="27">
        <v>24</v>
      </c>
      <c r="I175" s="27" t="s">
        <v>34</v>
      </c>
      <c r="J175" s="27" t="str">
        <f>"13688970780"</f>
        <v>13688970780</v>
      </c>
      <c r="K175" s="29" t="s">
        <v>35</v>
      </c>
      <c r="L175" s="27" t="s">
        <v>36</v>
      </c>
      <c r="M175" s="27" t="s">
        <v>37</v>
      </c>
      <c r="N175" s="27" t="s">
        <v>57</v>
      </c>
      <c r="O175" s="27">
        <v>0</v>
      </c>
      <c r="P175" s="27">
        <v>2415</v>
      </c>
      <c r="Q175" s="27">
        <v>2415</v>
      </c>
      <c r="R175" s="27">
        <v>0</v>
      </c>
      <c r="S175" s="27">
        <v>0</v>
      </c>
      <c r="T175" s="27"/>
      <c r="U175" s="30"/>
      <c r="V175" s="30"/>
      <c r="W175" s="27" t="s">
        <v>74</v>
      </c>
      <c r="X175" s="27" t="s">
        <v>75</v>
      </c>
      <c r="Y175" s="27" t="s">
        <v>34</v>
      </c>
      <c r="Z175" s="30"/>
      <c r="AA175" s="30"/>
      <c r="AB175" s="30"/>
    </row>
    <row r="176" s="28" customFormat="1">
      <c r="A176" s="27" t="s">
        <v>420</v>
      </c>
      <c r="B176" s="27" t="s">
        <v>30</v>
      </c>
      <c r="C176" s="27" t="s">
        <v>414</v>
      </c>
      <c r="D176" s="27" t="str">
        <f>"510230197608146309"</f>
        <v>510230197608146309</v>
      </c>
      <c r="E176" s="27" t="s">
        <v>45</v>
      </c>
      <c r="F176" s="27" t="s">
        <v>367</v>
      </c>
      <c r="G176" s="29">
        <v>48000</v>
      </c>
      <c r="H176" s="27">
        <v>24</v>
      </c>
      <c r="I176" s="27" t="s">
        <v>34</v>
      </c>
      <c r="J176" s="27" t="str">
        <f>"13689585861"</f>
        <v>13689585861</v>
      </c>
      <c r="K176" s="29" t="s">
        <v>35</v>
      </c>
      <c r="L176" s="27" t="s">
        <v>36</v>
      </c>
      <c r="M176" s="27" t="s">
        <v>37</v>
      </c>
      <c r="N176" s="27" t="s">
        <v>57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/>
      <c r="U176" s="30"/>
      <c r="V176" s="30"/>
      <c r="W176" s="27" t="s">
        <v>40</v>
      </c>
      <c r="X176" s="27" t="s">
        <v>41</v>
      </c>
      <c r="Y176" s="27" t="s">
        <v>34</v>
      </c>
      <c r="Z176" s="30"/>
      <c r="AA176" s="30"/>
      <c r="AB176" s="30"/>
    </row>
    <row r="177" s="28" customFormat="1">
      <c r="A177" s="27" t="s">
        <v>421</v>
      </c>
      <c r="B177" s="27" t="s">
        <v>30</v>
      </c>
      <c r="C177" s="27" t="s">
        <v>422</v>
      </c>
      <c r="D177" s="27" t="str">
        <f>"450722198211117337"</f>
        <v>450722198211117337</v>
      </c>
      <c r="E177" s="27" t="s">
        <v>45</v>
      </c>
      <c r="F177" s="27" t="s">
        <v>367</v>
      </c>
      <c r="G177" s="29">
        <v>199000</v>
      </c>
      <c r="H177" s="27">
        <v>24</v>
      </c>
      <c r="I177" s="27" t="s">
        <v>34</v>
      </c>
      <c r="J177" s="27" t="str">
        <f>"13923460238"</f>
        <v>13923460238</v>
      </c>
      <c r="K177" s="29" t="s">
        <v>35</v>
      </c>
      <c r="L177" s="27" t="s">
        <v>36</v>
      </c>
      <c r="M177" s="27" t="s">
        <v>37</v>
      </c>
      <c r="N177" s="27" t="s">
        <v>57</v>
      </c>
      <c r="O177" s="27">
        <v>0</v>
      </c>
      <c r="P177" s="27">
        <v>12892</v>
      </c>
      <c r="Q177" s="27">
        <v>12892</v>
      </c>
      <c r="R177" s="27">
        <v>0</v>
      </c>
      <c r="S177" s="27">
        <v>0</v>
      </c>
      <c r="T177" s="27"/>
      <c r="U177" s="30"/>
      <c r="V177" s="30"/>
      <c r="W177" s="27"/>
      <c r="X177" s="27"/>
      <c r="Y177" s="27" t="s">
        <v>34</v>
      </c>
      <c r="Z177" s="30"/>
      <c r="AA177" s="30"/>
      <c r="AB177" s="30"/>
    </row>
    <row r="178" s="28" customFormat="1">
      <c r="A178" s="27" t="s">
        <v>423</v>
      </c>
      <c r="B178" s="27" t="s">
        <v>30</v>
      </c>
      <c r="C178" s="27" t="s">
        <v>424</v>
      </c>
      <c r="D178" s="27" t="str">
        <f>"441381198608094126"</f>
        <v>441381198608094126</v>
      </c>
      <c r="E178" s="27" t="s">
        <v>45</v>
      </c>
      <c r="F178" s="27" t="s">
        <v>367</v>
      </c>
      <c r="G178" s="29">
        <v>130000</v>
      </c>
      <c r="H178" s="27">
        <v>12</v>
      </c>
      <c r="I178" s="27" t="s">
        <v>34</v>
      </c>
      <c r="J178" s="27" t="str">
        <f>"13530029700"</f>
        <v>13530029700</v>
      </c>
      <c r="K178" s="29" t="s">
        <v>35</v>
      </c>
      <c r="L178" s="27" t="s">
        <v>36</v>
      </c>
      <c r="M178" s="27" t="s">
        <v>37</v>
      </c>
      <c r="N178" s="27" t="s">
        <v>57</v>
      </c>
      <c r="O178" s="27">
        <v>0</v>
      </c>
      <c r="P178" s="27">
        <v>4465</v>
      </c>
      <c r="Q178" s="27">
        <v>4465</v>
      </c>
      <c r="R178" s="27">
        <v>0</v>
      </c>
      <c r="S178" s="27">
        <v>0</v>
      </c>
      <c r="T178" s="27"/>
      <c r="U178" s="30"/>
      <c r="V178" s="30"/>
      <c r="W178" s="27"/>
      <c r="X178" s="27"/>
      <c r="Y178" s="27" t="s">
        <v>34</v>
      </c>
      <c r="Z178" s="30"/>
      <c r="AA178" s="30"/>
      <c r="AB178" s="30"/>
    </row>
    <row r="179" s="28" customFormat="1">
      <c r="A179" s="27" t="s">
        <v>425</v>
      </c>
      <c r="B179" s="27" t="s">
        <v>30</v>
      </c>
      <c r="C179" s="27" t="s">
        <v>424</v>
      </c>
      <c r="D179" s="27" t="str">
        <f>"441381198608094126"</f>
        <v>441381198608094126</v>
      </c>
      <c r="E179" s="27" t="s">
        <v>45</v>
      </c>
      <c r="F179" s="27" t="s">
        <v>367</v>
      </c>
      <c r="G179" s="29">
        <v>100000</v>
      </c>
      <c r="H179" s="27">
        <v>12</v>
      </c>
      <c r="I179" s="27" t="s">
        <v>34</v>
      </c>
      <c r="J179" s="27" t="str">
        <f>"13530029700"</f>
        <v>13530029700</v>
      </c>
      <c r="K179" s="29" t="s">
        <v>35</v>
      </c>
      <c r="L179" s="27" t="s">
        <v>36</v>
      </c>
      <c r="M179" s="27" t="s">
        <v>37</v>
      </c>
      <c r="N179" s="27" t="s">
        <v>57</v>
      </c>
      <c r="O179" s="27">
        <v>0</v>
      </c>
      <c r="P179" s="27">
        <v>4465</v>
      </c>
      <c r="Q179" s="27">
        <v>4465</v>
      </c>
      <c r="R179" s="27">
        <v>0</v>
      </c>
      <c r="S179" s="27">
        <v>0</v>
      </c>
      <c r="T179" s="27"/>
      <c r="U179" s="30"/>
      <c r="V179" s="30"/>
      <c r="W179" s="27" t="s">
        <v>40</v>
      </c>
      <c r="X179" s="27" t="s">
        <v>41</v>
      </c>
      <c r="Y179" s="27" t="s">
        <v>34</v>
      </c>
      <c r="Z179" s="30"/>
      <c r="AA179" s="30"/>
      <c r="AB179" s="30"/>
    </row>
    <row r="180" s="28" customFormat="1">
      <c r="A180" s="27" t="s">
        <v>426</v>
      </c>
      <c r="B180" s="27" t="s">
        <v>50</v>
      </c>
      <c r="C180" s="27" t="s">
        <v>427</v>
      </c>
      <c r="D180" s="27" t="str">
        <f>"342122197006120376"</f>
        <v>342122197006120376</v>
      </c>
      <c r="E180" s="27" t="s">
        <v>45</v>
      </c>
      <c r="F180" s="27" t="s">
        <v>367</v>
      </c>
      <c r="G180" s="29">
        <v>30000</v>
      </c>
      <c r="H180" s="27">
        <v>12</v>
      </c>
      <c r="I180" s="27" t="s">
        <v>34</v>
      </c>
      <c r="J180" s="27" t="str">
        <f>"13725590836"</f>
        <v>13725590836</v>
      </c>
      <c r="K180" s="29" t="s">
        <v>89</v>
      </c>
      <c r="L180" s="27" t="s">
        <v>36</v>
      </c>
      <c r="M180" s="27" t="s">
        <v>37</v>
      </c>
      <c r="N180" s="27" t="s">
        <v>57</v>
      </c>
      <c r="O180" s="27">
        <v>0</v>
      </c>
      <c r="P180" s="27">
        <v>7947</v>
      </c>
      <c r="Q180" s="27">
        <v>7947</v>
      </c>
      <c r="R180" s="27">
        <v>0</v>
      </c>
      <c r="S180" s="27">
        <v>0</v>
      </c>
      <c r="T180" s="27"/>
      <c r="U180" s="30"/>
      <c r="V180" s="30"/>
      <c r="W180" s="27" t="s">
        <v>40</v>
      </c>
      <c r="X180" s="27" t="s">
        <v>41</v>
      </c>
      <c r="Y180" s="27" t="s">
        <v>34</v>
      </c>
      <c r="Z180" s="30"/>
      <c r="AA180" s="30"/>
      <c r="AB180" s="30"/>
    </row>
    <row r="181" s="28" customFormat="1">
      <c r="A181" s="27" t="s">
        <v>428</v>
      </c>
      <c r="B181" s="27" t="s">
        <v>30</v>
      </c>
      <c r="C181" s="27" t="s">
        <v>429</v>
      </c>
      <c r="D181" s="27" t="str">
        <f>"511228198012204348"</f>
        <v>511228198012204348</v>
      </c>
      <c r="E181" s="27" t="s">
        <v>45</v>
      </c>
      <c r="F181" s="27" t="s">
        <v>367</v>
      </c>
      <c r="G181" s="29">
        <v>250000</v>
      </c>
      <c r="H181" s="27">
        <v>36</v>
      </c>
      <c r="I181" s="27" t="s">
        <v>34</v>
      </c>
      <c r="J181" s="27" t="str">
        <f>"13594485018"</f>
        <v>13594485018</v>
      </c>
      <c r="K181" s="29" t="s">
        <v>35</v>
      </c>
      <c r="L181" s="27" t="s">
        <v>47</v>
      </c>
      <c r="M181" s="27" t="s">
        <v>37</v>
      </c>
      <c r="N181" s="27" t="s">
        <v>57</v>
      </c>
      <c r="O181" s="27">
        <v>0</v>
      </c>
      <c r="P181" s="27">
        <v>10022</v>
      </c>
      <c r="Q181" s="27">
        <v>10022</v>
      </c>
      <c r="R181" s="27">
        <v>0</v>
      </c>
      <c r="S181" s="27">
        <v>0</v>
      </c>
      <c r="T181" s="27"/>
      <c r="U181" s="30"/>
      <c r="V181" s="30"/>
      <c r="W181" s="27"/>
      <c r="X181" s="27"/>
      <c r="Y181" s="27" t="s">
        <v>34</v>
      </c>
      <c r="Z181" s="30"/>
      <c r="AA181" s="30"/>
      <c r="AB181" s="30"/>
    </row>
    <row r="182" s="28" customFormat="1">
      <c r="A182" s="27" t="s">
        <v>430</v>
      </c>
      <c r="B182" s="27" t="s">
        <v>30</v>
      </c>
      <c r="C182" s="27" t="s">
        <v>431</v>
      </c>
      <c r="D182" s="27" t="str">
        <f>"330326198603076331"</f>
        <v>330326198603076331</v>
      </c>
      <c r="E182" s="27" t="s">
        <v>45</v>
      </c>
      <c r="F182" s="27" t="s">
        <v>367</v>
      </c>
      <c r="G182" s="29">
        <v>94000</v>
      </c>
      <c r="H182" s="27">
        <v>36</v>
      </c>
      <c r="I182" s="27" t="s">
        <v>34</v>
      </c>
      <c r="J182" s="27" t="str">
        <f>"18038232154"</f>
        <v>18038232154</v>
      </c>
      <c r="K182" s="29" t="s">
        <v>68</v>
      </c>
      <c r="L182" s="27" t="s">
        <v>36</v>
      </c>
      <c r="M182" s="27" t="s">
        <v>37</v>
      </c>
      <c r="N182" s="27" t="s">
        <v>57</v>
      </c>
      <c r="O182" s="27">
        <v>0</v>
      </c>
      <c r="P182" s="27">
        <v>3143</v>
      </c>
      <c r="Q182" s="27">
        <v>3143</v>
      </c>
      <c r="R182" s="27">
        <v>0</v>
      </c>
      <c r="S182" s="27">
        <v>0</v>
      </c>
      <c r="T182" s="27"/>
      <c r="U182" s="30"/>
      <c r="V182" s="30"/>
      <c r="W182" s="27"/>
      <c r="X182" s="27"/>
      <c r="Y182" s="27" t="s">
        <v>34</v>
      </c>
      <c r="Z182" s="30"/>
      <c r="AA182" s="30"/>
      <c r="AB182" s="30"/>
    </row>
    <row r="183" s="28" customFormat="1">
      <c r="A183" s="27" t="s">
        <v>432</v>
      </c>
      <c r="B183" s="27" t="s">
        <v>30</v>
      </c>
      <c r="C183" s="27" t="s">
        <v>431</v>
      </c>
      <c r="D183" s="27" t="str">
        <f>"330326198603076331"</f>
        <v>330326198603076331</v>
      </c>
      <c r="E183" s="27" t="s">
        <v>45</v>
      </c>
      <c r="F183" s="27" t="s">
        <v>367</v>
      </c>
      <c r="G183" s="29">
        <v>94000</v>
      </c>
      <c r="H183" s="27">
        <v>36</v>
      </c>
      <c r="I183" s="27" t="s">
        <v>34</v>
      </c>
      <c r="J183" s="27" t="str">
        <f>"18038232154"</f>
        <v>18038232154</v>
      </c>
      <c r="K183" s="29" t="s">
        <v>68</v>
      </c>
      <c r="L183" s="27" t="s">
        <v>36</v>
      </c>
      <c r="M183" s="27" t="s">
        <v>37</v>
      </c>
      <c r="N183" s="27" t="s">
        <v>57</v>
      </c>
      <c r="O183" s="27">
        <v>0</v>
      </c>
      <c r="P183" s="27">
        <v>3143</v>
      </c>
      <c r="Q183" s="27">
        <v>3143</v>
      </c>
      <c r="R183" s="27">
        <v>0</v>
      </c>
      <c r="S183" s="27">
        <v>0</v>
      </c>
      <c r="T183" s="27"/>
      <c r="U183" s="30"/>
      <c r="V183" s="30"/>
      <c r="W183" s="27" t="s">
        <v>108</v>
      </c>
      <c r="X183" s="27" t="s">
        <v>109</v>
      </c>
      <c r="Y183" s="27" t="s">
        <v>34</v>
      </c>
      <c r="Z183" s="30"/>
      <c r="AA183" s="30"/>
      <c r="AB183" s="30"/>
    </row>
    <row r="184" s="28" customFormat="1">
      <c r="A184" s="27" t="s">
        <v>433</v>
      </c>
      <c r="B184" s="27" t="s">
        <v>30</v>
      </c>
      <c r="C184" s="27" t="s">
        <v>429</v>
      </c>
      <c r="D184" s="27" t="str">
        <f>"511228198012204348"</f>
        <v>511228198012204348</v>
      </c>
      <c r="E184" s="27" t="s">
        <v>45</v>
      </c>
      <c r="F184" s="27" t="s">
        <v>367</v>
      </c>
      <c r="G184" s="29">
        <v>250000</v>
      </c>
      <c r="H184" s="27">
        <v>36</v>
      </c>
      <c r="I184" s="27" t="s">
        <v>34</v>
      </c>
      <c r="J184" s="27" t="str">
        <f>"13594485018"</f>
        <v>13594485018</v>
      </c>
      <c r="K184" s="29" t="s">
        <v>35</v>
      </c>
      <c r="L184" s="27" t="s">
        <v>47</v>
      </c>
      <c r="M184" s="27" t="s">
        <v>37</v>
      </c>
      <c r="N184" s="27" t="s">
        <v>57</v>
      </c>
      <c r="O184" s="27">
        <v>0</v>
      </c>
      <c r="P184" s="27">
        <v>10022</v>
      </c>
      <c r="Q184" s="27">
        <v>10022</v>
      </c>
      <c r="R184" s="27">
        <v>0</v>
      </c>
      <c r="S184" s="27">
        <v>0</v>
      </c>
      <c r="T184" s="27"/>
      <c r="U184" s="30"/>
      <c r="V184" s="30"/>
      <c r="W184" s="27" t="s">
        <v>159</v>
      </c>
      <c r="X184" s="27" t="s">
        <v>160</v>
      </c>
      <c r="Y184" s="27" t="s">
        <v>34</v>
      </c>
      <c r="Z184" s="30"/>
      <c r="AA184" s="30"/>
      <c r="AB184" s="30"/>
    </row>
    <row r="185" s="28" customFormat="1">
      <c r="A185" s="27" t="s">
        <v>434</v>
      </c>
      <c r="B185" s="27" t="s">
        <v>30</v>
      </c>
      <c r="C185" s="27" t="s">
        <v>435</v>
      </c>
      <c r="D185" s="27" t="str">
        <f>"222403198312170958"</f>
        <v>222403198312170958</v>
      </c>
      <c r="E185" s="27" t="s">
        <v>45</v>
      </c>
      <c r="F185" s="27" t="s">
        <v>367</v>
      </c>
      <c r="G185" s="29">
        <v>240000</v>
      </c>
      <c r="H185" s="27">
        <v>36</v>
      </c>
      <c r="I185" s="27" t="s">
        <v>34</v>
      </c>
      <c r="J185" s="27" t="str">
        <f>"18682179398"</f>
        <v>18682179398</v>
      </c>
      <c r="K185" s="29" t="s">
        <v>68</v>
      </c>
      <c r="L185" s="27" t="s">
        <v>47</v>
      </c>
      <c r="M185" s="27" t="s">
        <v>37</v>
      </c>
      <c r="N185" s="27" t="s">
        <v>57</v>
      </c>
      <c r="O185" s="27">
        <v>0</v>
      </c>
      <c r="P185" s="27">
        <v>8027</v>
      </c>
      <c r="Q185" s="27">
        <v>8027</v>
      </c>
      <c r="R185" s="27">
        <v>0</v>
      </c>
      <c r="S185" s="27">
        <v>0</v>
      </c>
      <c r="T185" s="27"/>
      <c r="U185" s="30"/>
      <c r="V185" s="30"/>
      <c r="W185" s="27" t="s">
        <v>40</v>
      </c>
      <c r="X185" s="27" t="s">
        <v>41</v>
      </c>
      <c r="Y185" s="27" t="s">
        <v>34</v>
      </c>
      <c r="Z185" s="30"/>
      <c r="AA185" s="30"/>
      <c r="AB185" s="30"/>
    </row>
    <row r="186" s="28" customFormat="1">
      <c r="A186" s="27" t="s">
        <v>436</v>
      </c>
      <c r="B186" s="27" t="s">
        <v>50</v>
      </c>
      <c r="C186" s="27" t="s">
        <v>437</v>
      </c>
      <c r="D186" s="27" t="str">
        <f>"441324197206173612"</f>
        <v>441324197206173612</v>
      </c>
      <c r="E186" s="27" t="s">
        <v>45</v>
      </c>
      <c r="F186" s="27" t="s">
        <v>367</v>
      </c>
      <c r="G186" s="29">
        <v>179000</v>
      </c>
      <c r="H186" s="27">
        <v>36</v>
      </c>
      <c r="I186" s="27" t="s">
        <v>34</v>
      </c>
      <c r="J186" s="27" t="str">
        <f>"13450403155"</f>
        <v>13450403155</v>
      </c>
      <c r="K186" s="29" t="s">
        <v>35</v>
      </c>
      <c r="L186" s="27" t="s">
        <v>36</v>
      </c>
      <c r="M186" s="27" t="s">
        <v>37</v>
      </c>
      <c r="N186" s="27" t="s">
        <v>57</v>
      </c>
      <c r="O186" s="27">
        <v>0</v>
      </c>
      <c r="P186" s="27">
        <v>5988</v>
      </c>
      <c r="Q186" s="27">
        <v>5988</v>
      </c>
      <c r="R186" s="27">
        <v>0</v>
      </c>
      <c r="S186" s="27">
        <v>0</v>
      </c>
      <c r="T186" s="27"/>
      <c r="U186" s="30"/>
      <c r="V186" s="30"/>
      <c r="W186" s="27"/>
      <c r="X186" s="27"/>
      <c r="Y186" s="27" t="s">
        <v>34</v>
      </c>
      <c r="Z186" s="30"/>
      <c r="AA186" s="30"/>
      <c r="AB186" s="30"/>
    </row>
    <row r="187" s="28" customFormat="1">
      <c r="A187" s="27" t="s">
        <v>438</v>
      </c>
      <c r="B187" s="27" t="s">
        <v>30</v>
      </c>
      <c r="C187" s="27" t="s">
        <v>439</v>
      </c>
      <c r="D187" s="27" t="str">
        <f>"440881198705054114"</f>
        <v>440881198705054114</v>
      </c>
      <c r="E187" s="27" t="s">
        <v>45</v>
      </c>
      <c r="F187" s="27" t="s">
        <v>367</v>
      </c>
      <c r="G187" s="29">
        <v>70000</v>
      </c>
      <c r="H187" s="27">
        <v>24</v>
      </c>
      <c r="I187" s="27" t="s">
        <v>34</v>
      </c>
      <c r="J187" s="27" t="str">
        <f>"13922535289"</f>
        <v>13922535289</v>
      </c>
      <c r="K187" s="29" t="s">
        <v>35</v>
      </c>
      <c r="L187" s="27" t="s">
        <v>36</v>
      </c>
      <c r="M187" s="27" t="s">
        <v>37</v>
      </c>
      <c r="N187" s="27" t="s">
        <v>57</v>
      </c>
      <c r="O187" s="27">
        <v>0</v>
      </c>
      <c r="P187" s="27">
        <v>2357</v>
      </c>
      <c r="Q187" s="27">
        <v>2357</v>
      </c>
      <c r="R187" s="27">
        <v>0</v>
      </c>
      <c r="S187" s="27">
        <v>0</v>
      </c>
      <c r="T187" s="27"/>
      <c r="U187" s="30"/>
      <c r="V187" s="30"/>
      <c r="W187" s="27" t="s">
        <v>74</v>
      </c>
      <c r="X187" s="27" t="s">
        <v>75</v>
      </c>
      <c r="Y187" s="27" t="s">
        <v>34</v>
      </c>
      <c r="Z187" s="30"/>
      <c r="AA187" s="30"/>
      <c r="AB187" s="30"/>
    </row>
    <row r="188" s="28" customFormat="1">
      <c r="A188" s="27" t="s">
        <v>440</v>
      </c>
      <c r="B188" s="27" t="s">
        <v>50</v>
      </c>
      <c r="C188" s="27" t="s">
        <v>441</v>
      </c>
      <c r="D188" s="27" t="str">
        <f>"440883198202202341"</f>
        <v>440883198202202341</v>
      </c>
      <c r="E188" s="27" t="s">
        <v>45</v>
      </c>
      <c r="F188" s="27" t="s">
        <v>367</v>
      </c>
      <c r="G188" s="29">
        <v>300000</v>
      </c>
      <c r="H188" s="27">
        <v>36</v>
      </c>
      <c r="I188" s="27" t="s">
        <v>34</v>
      </c>
      <c r="J188" s="27" t="str">
        <f>"18603002218"</f>
        <v>18603002218</v>
      </c>
      <c r="K188" s="29" t="s">
        <v>68</v>
      </c>
      <c r="L188" s="27" t="s">
        <v>36</v>
      </c>
      <c r="M188" s="27" t="s">
        <v>37</v>
      </c>
      <c r="N188" s="27" t="s">
        <v>57</v>
      </c>
      <c r="O188" s="27">
        <v>0</v>
      </c>
      <c r="P188" s="27">
        <v>15722</v>
      </c>
      <c r="Q188" s="27">
        <v>15722</v>
      </c>
      <c r="R188" s="27">
        <v>0</v>
      </c>
      <c r="S188" s="27">
        <v>0</v>
      </c>
      <c r="T188" s="27"/>
      <c r="U188" s="30"/>
      <c r="V188" s="30"/>
      <c r="W188" s="27" t="s">
        <v>40</v>
      </c>
      <c r="X188" s="27" t="s">
        <v>41</v>
      </c>
      <c r="Y188" s="27" t="s">
        <v>34</v>
      </c>
      <c r="Z188" s="30"/>
      <c r="AA188" s="30"/>
      <c r="AB188" s="30"/>
    </row>
    <row r="189" s="28" customFormat="1">
      <c r="A189" s="27" t="s">
        <v>442</v>
      </c>
      <c r="B189" s="27" t="s">
        <v>30</v>
      </c>
      <c r="C189" s="27" t="s">
        <v>443</v>
      </c>
      <c r="D189" s="27" t="str">
        <f>"500225198904020016"</f>
        <v>500225198904020016</v>
      </c>
      <c r="E189" s="27" t="s">
        <v>45</v>
      </c>
      <c r="F189" s="27" t="s">
        <v>367</v>
      </c>
      <c r="G189" s="29">
        <v>66000</v>
      </c>
      <c r="H189" s="27">
        <v>24</v>
      </c>
      <c r="I189" s="27" t="s">
        <v>34</v>
      </c>
      <c r="J189" s="27" t="str">
        <f>"15736132215"</f>
        <v>15736132215</v>
      </c>
      <c r="K189" s="29" t="s">
        <v>35</v>
      </c>
      <c r="L189" s="27" t="s">
        <v>47</v>
      </c>
      <c r="M189" s="27" t="s">
        <v>37</v>
      </c>
      <c r="N189" s="27" t="s">
        <v>57</v>
      </c>
      <c r="O189" s="27">
        <v>0</v>
      </c>
      <c r="P189" s="27">
        <v>4488</v>
      </c>
      <c r="Q189" s="27">
        <v>4488</v>
      </c>
      <c r="R189" s="27">
        <v>0</v>
      </c>
      <c r="S189" s="27">
        <v>0</v>
      </c>
      <c r="T189" s="27"/>
      <c r="U189" s="30"/>
      <c r="V189" s="30"/>
      <c r="W189" s="27" t="s">
        <v>159</v>
      </c>
      <c r="X189" s="27" t="s">
        <v>160</v>
      </c>
      <c r="Y189" s="27" t="s">
        <v>34</v>
      </c>
      <c r="Z189" s="30"/>
      <c r="AA189" s="30"/>
      <c r="AB189" s="30"/>
    </row>
    <row r="190" s="28" customFormat="1">
      <c r="A190" s="27"/>
      <c r="B190" s="27"/>
      <c r="C190" s="27"/>
      <c r="D190" s="27"/>
      <c r="E190" s="27"/>
      <c r="F190" s="27"/>
      <c r="G190" s="29"/>
      <c r="H190" s="27"/>
      <c r="I190" s="27"/>
      <c r="J190" s="27"/>
      <c r="K190" s="29"/>
      <c r="L190" s="27"/>
      <c r="M190" s="27"/>
      <c r="N190" s="27"/>
      <c r="O190" s="27"/>
      <c r="P190" s="27"/>
      <c r="Q190" s="27"/>
      <c r="R190" s="27"/>
      <c r="S190" s="27"/>
      <c r="T190" s="27"/>
      <c r="U190" s="30"/>
      <c r="V190" s="30"/>
      <c r="W190" s="27"/>
      <c r="X190" s="27"/>
      <c r="Y190" s="27"/>
      <c r="Z190" s="30"/>
      <c r="AA190" s="30"/>
      <c r="AB190" s="30"/>
    </row>
    <row r="191" s="28" customFormat="1" ht="11.25" customHeight="1">
      <c r="A191" s="27" t="s">
        <v>49</v>
      </c>
      <c r="B191" s="27" t="s">
        <v>50</v>
      </c>
      <c r="C191" s="27" t="s">
        <v>51</v>
      </c>
      <c r="D191" s="27" t="str">
        <f>"513002198510276704"</f>
        <v>513002198510276704</v>
      </c>
      <c r="E191" s="27" t="s">
        <v>45</v>
      </c>
      <c r="F191" s="27" t="s">
        <v>52</v>
      </c>
      <c r="G191" s="29">
        <v>92000</v>
      </c>
      <c r="H191" s="27">
        <v>36</v>
      </c>
      <c r="I191" s="27" t="s">
        <v>34</v>
      </c>
      <c r="J191" s="27" t="str">
        <f>"13828021092"</f>
        <v>13828021092</v>
      </c>
      <c r="K191" s="29" t="s">
        <v>35</v>
      </c>
      <c r="L191" s="27" t="s">
        <v>36</v>
      </c>
      <c r="M191" s="27"/>
      <c r="N191" s="27" t="s">
        <v>53</v>
      </c>
      <c r="O191" s="27">
        <v>0</v>
      </c>
      <c r="P191" s="27">
        <v>3094</v>
      </c>
      <c r="Q191" s="27">
        <v>3094</v>
      </c>
      <c r="R191" s="27">
        <v>0</v>
      </c>
      <c r="S191" s="27">
        <v>0</v>
      </c>
      <c r="T191" s="27" t="s">
        <v>54</v>
      </c>
      <c r="U191" s="30"/>
      <c r="V191" s="30"/>
      <c r="W191" s="27"/>
      <c r="X191" s="27"/>
      <c r="Y191" s="27" t="s">
        <v>34</v>
      </c>
      <c r="Z191" s="30"/>
      <c r="AA191" s="30"/>
      <c r="AB191" s="30"/>
    </row>
    <row r="192" s="28" customFormat="1" ht="11.25" customHeight="1">
      <c r="A192" s="27" t="s">
        <v>55</v>
      </c>
      <c r="B192" s="27" t="s">
        <v>50</v>
      </c>
      <c r="C192" s="27" t="s">
        <v>56</v>
      </c>
      <c r="D192" s="27" t="str">
        <f>"440301197302082117"</f>
        <v>440301197302082117</v>
      </c>
      <c r="E192" s="27" t="s">
        <v>45</v>
      </c>
      <c r="F192" s="27" t="s">
        <v>52</v>
      </c>
      <c r="G192" s="29">
        <v>180000</v>
      </c>
      <c r="H192" s="27">
        <v>36</v>
      </c>
      <c r="I192" s="27" t="s">
        <v>34</v>
      </c>
      <c r="J192" s="27" t="str">
        <f>"13902935592"</f>
        <v>13902935592</v>
      </c>
      <c r="K192" s="29" t="s">
        <v>35</v>
      </c>
      <c r="L192" s="27" t="s">
        <v>47</v>
      </c>
      <c r="M192" s="27"/>
      <c r="N192" s="27" t="s">
        <v>57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/>
      <c r="U192" s="30"/>
      <c r="V192" s="30"/>
      <c r="W192" s="27"/>
      <c r="X192" s="27"/>
      <c r="Y192" s="27" t="s">
        <v>34</v>
      </c>
      <c r="Z192" s="30"/>
      <c r="AA192" s="30"/>
      <c r="AB192" s="30"/>
    </row>
    <row r="193" s="28" customFormat="1" ht="11.25" customHeight="1">
      <c r="A193" s="27" t="s">
        <v>58</v>
      </c>
      <c r="B193" s="27" t="s">
        <v>30</v>
      </c>
      <c r="C193" s="27" t="s">
        <v>59</v>
      </c>
      <c r="D193" s="27" t="str">
        <f>"330327197211102504"</f>
        <v>330327197211102504</v>
      </c>
      <c r="E193" s="27" t="s">
        <v>45</v>
      </c>
      <c r="F193" s="27" t="s">
        <v>52</v>
      </c>
      <c r="G193" s="29">
        <v>146000</v>
      </c>
      <c r="H193" s="27">
        <v>36</v>
      </c>
      <c r="I193" s="27" t="s">
        <v>34</v>
      </c>
      <c r="J193" s="27" t="str">
        <f>"13823388523"</f>
        <v>13823388523</v>
      </c>
      <c r="K193" s="29" t="s">
        <v>35</v>
      </c>
      <c r="L193" s="27" t="s">
        <v>36</v>
      </c>
      <c r="M193" s="27"/>
      <c r="N193" s="27" t="s">
        <v>57</v>
      </c>
      <c r="O193" s="27">
        <v>0</v>
      </c>
      <c r="P193" s="27">
        <v>4869</v>
      </c>
      <c r="Q193" s="27">
        <v>4869</v>
      </c>
      <c r="R193" s="27">
        <v>0</v>
      </c>
      <c r="S193" s="27">
        <v>0</v>
      </c>
      <c r="T193" s="27"/>
      <c r="U193" s="30"/>
      <c r="V193" s="30"/>
      <c r="W193" s="27" t="s">
        <v>40</v>
      </c>
      <c r="X193" s="27" t="s">
        <v>41</v>
      </c>
      <c r="Y193" s="27" t="s">
        <v>34</v>
      </c>
      <c r="Z193" s="30"/>
      <c r="AA193" s="30"/>
      <c r="AB193" s="30"/>
    </row>
    <row r="194" s="28" customFormat="1" ht="11.25" customHeight="1">
      <c r="A194" s="27" t="s">
        <v>60</v>
      </c>
      <c r="B194" s="27" t="s">
        <v>30</v>
      </c>
      <c r="C194" s="27" t="s">
        <v>61</v>
      </c>
      <c r="D194" s="27" t="str">
        <f>"441522198802170664"</f>
        <v>441522198802170664</v>
      </c>
      <c r="E194" s="27" t="s">
        <v>45</v>
      </c>
      <c r="F194" s="27" t="s">
        <v>71</v>
      </c>
      <c r="G194" s="29">
        <v>241000</v>
      </c>
      <c r="H194" s="27">
        <v>36</v>
      </c>
      <c r="I194" s="27" t="s">
        <v>34</v>
      </c>
      <c r="J194" s="27" t="str">
        <f>"13570510672"</f>
        <v>13570510672</v>
      </c>
      <c r="K194" s="29" t="s">
        <v>35</v>
      </c>
      <c r="L194" s="27" t="s">
        <v>47</v>
      </c>
      <c r="M194" s="27"/>
      <c r="N194" s="27" t="s">
        <v>48</v>
      </c>
      <c r="O194" s="27">
        <v>0</v>
      </c>
      <c r="P194" s="27">
        <v>8063</v>
      </c>
      <c r="Q194" s="27">
        <v>8063</v>
      </c>
      <c r="R194" s="27">
        <v>0</v>
      </c>
      <c r="S194" s="27">
        <v>0</v>
      </c>
      <c r="T194" s="27"/>
      <c r="U194" s="30"/>
      <c r="V194" s="30"/>
      <c r="W194" s="27"/>
      <c r="X194" s="27"/>
      <c r="Y194" s="27" t="s">
        <v>34</v>
      </c>
      <c r="Z194" s="30"/>
      <c r="AA194" s="30"/>
      <c r="AB194" s="30"/>
    </row>
    <row r="195" s="28" customFormat="1" ht="11.25" customHeight="1">
      <c r="A195" s="27" t="s">
        <v>62</v>
      </c>
      <c r="B195" s="27" t="s">
        <v>30</v>
      </c>
      <c r="C195" s="27" t="s">
        <v>63</v>
      </c>
      <c r="D195" s="27" t="str">
        <f>"445224197706070917"</f>
        <v>445224197706070917</v>
      </c>
      <c r="E195" s="27" t="s">
        <v>45</v>
      </c>
      <c r="F195" s="27" t="s">
        <v>71</v>
      </c>
      <c r="G195" s="29">
        <v>234000</v>
      </c>
      <c r="H195" s="27">
        <v>36</v>
      </c>
      <c r="I195" s="27" t="s">
        <v>34</v>
      </c>
      <c r="J195" s="27" t="str">
        <f>"13682534918"</f>
        <v>13682534918</v>
      </c>
      <c r="K195" s="29" t="s">
        <v>35</v>
      </c>
      <c r="L195" s="27" t="s">
        <v>36</v>
      </c>
      <c r="M195" s="27"/>
      <c r="N195" s="27" t="s">
        <v>48</v>
      </c>
      <c r="O195" s="27">
        <v>0</v>
      </c>
      <c r="P195" s="27">
        <v>7802</v>
      </c>
      <c r="Q195" s="27">
        <v>7802</v>
      </c>
      <c r="R195" s="27">
        <v>0</v>
      </c>
      <c r="S195" s="27">
        <v>0</v>
      </c>
      <c r="T195" s="27"/>
      <c r="U195" s="30"/>
      <c r="V195" s="30"/>
      <c r="W195" s="27" t="s">
        <v>40</v>
      </c>
      <c r="X195" s="27" t="s">
        <v>41</v>
      </c>
      <c r="Y195" s="27" t="s">
        <v>34</v>
      </c>
      <c r="Z195" s="30"/>
      <c r="AA195" s="30"/>
      <c r="AB195" s="30"/>
    </row>
    <row r="196" s="28" customFormat="1" ht="11.25" customHeight="1">
      <c r="A196" s="27" t="s">
        <v>64</v>
      </c>
      <c r="B196" s="27" t="s">
        <v>30</v>
      </c>
      <c r="C196" s="27" t="s">
        <v>65</v>
      </c>
      <c r="D196" s="27" t="str">
        <f>"220602196511271245"</f>
        <v>220602196511271245</v>
      </c>
      <c r="E196" s="27" t="s">
        <v>45</v>
      </c>
      <c r="F196" s="27" t="s">
        <v>71</v>
      </c>
      <c r="G196" s="29">
        <v>139000</v>
      </c>
      <c r="H196" s="27">
        <v>36</v>
      </c>
      <c r="I196" s="27" t="s">
        <v>34</v>
      </c>
      <c r="J196" s="27" t="str">
        <f>"18026913067"</f>
        <v>18026913067</v>
      </c>
      <c r="K196" s="29" t="s">
        <v>35</v>
      </c>
      <c r="L196" s="27" t="s">
        <v>36</v>
      </c>
      <c r="M196" s="27"/>
      <c r="N196" s="27" t="s">
        <v>48</v>
      </c>
      <c r="O196" s="27">
        <v>0</v>
      </c>
      <c r="P196" s="27">
        <v>3103</v>
      </c>
      <c r="Q196" s="27">
        <v>3103</v>
      </c>
      <c r="R196" s="27">
        <v>0</v>
      </c>
      <c r="S196" s="27">
        <v>0</v>
      </c>
      <c r="T196" s="27"/>
      <c r="U196" s="30"/>
      <c r="V196" s="30"/>
      <c r="W196" s="27"/>
      <c r="X196" s="27"/>
      <c r="Y196" s="27" t="s">
        <v>34</v>
      </c>
      <c r="Z196" s="30"/>
      <c r="AA196" s="30"/>
      <c r="AB196" s="30"/>
    </row>
    <row r="197" s="28" customFormat="1" ht="11.25" customHeight="1">
      <c r="A197" s="27" t="s">
        <v>66</v>
      </c>
      <c r="B197" s="27" t="s">
        <v>30</v>
      </c>
      <c r="C197" s="27" t="s">
        <v>67</v>
      </c>
      <c r="D197" s="27" t="str">
        <f>"141181197701100037"</f>
        <v>141181197701100037</v>
      </c>
      <c r="E197" s="27" t="s">
        <v>45</v>
      </c>
      <c r="F197" s="27" t="s">
        <v>52</v>
      </c>
      <c r="G197" s="29">
        <v>500000</v>
      </c>
      <c r="H197" s="27">
        <v>36</v>
      </c>
      <c r="I197" s="27" t="s">
        <v>34</v>
      </c>
      <c r="J197" s="27" t="str">
        <f>"13612832804"</f>
        <v>13612832804</v>
      </c>
      <c r="K197" s="29" t="s">
        <v>68</v>
      </c>
      <c r="L197" s="27" t="s">
        <v>36</v>
      </c>
      <c r="M197" s="27"/>
      <c r="N197" s="27" t="s">
        <v>69</v>
      </c>
      <c r="O197" s="27">
        <v>0</v>
      </c>
      <c r="P197" s="27">
        <v>38204</v>
      </c>
      <c r="Q197" s="27">
        <v>38204</v>
      </c>
      <c r="R197" s="27">
        <v>0</v>
      </c>
      <c r="S197" s="27">
        <v>0</v>
      </c>
      <c r="T197" s="27" t="s">
        <v>70</v>
      </c>
      <c r="U197" s="30"/>
      <c r="V197" s="30"/>
      <c r="W197" s="27" t="s">
        <v>40</v>
      </c>
      <c r="X197" s="27" t="s">
        <v>41</v>
      </c>
      <c r="Y197" s="27" t="s">
        <v>34</v>
      </c>
      <c r="Z197" s="30"/>
      <c r="AA197" s="30"/>
      <c r="AB197" s="30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4" sqref="A4:IV4"/>
    </sheetView>
  </sheetViews>
  <sheetFormatPr defaultColWidth="9.1484375" defaultRowHeight="12.75"/>
  <cols>
    <col min="1" max="1" width="9.25" customWidth="1" style="25"/>
    <col min="2" max="2" width="12.25" customWidth="1" style="25"/>
    <col min="3" max="3" width="17.25" customWidth="1" style="25"/>
    <col min="4" max="4" width="19.25" customWidth="1" style="25"/>
    <col min="5" max="5" width="17.625" customWidth="1" style="25"/>
    <col min="6" max="6" width="16.875" customWidth="1" style="25"/>
    <col min="7" max="7" width="8.875" customWidth="1" style="25"/>
    <col min="8" max="9" width="9" customWidth="1" style="25"/>
    <col min="10" max="10" width="20.75" customWidth="1" style="25"/>
    <col min="11" max="11" width="12" customWidth="1" style="26"/>
    <col min="12" max="256" width="9" customWidth="1" style="25"/>
  </cols>
  <sheetData>
    <row r="1" customHeight="1">
      <c r="A1" s="25" t="s">
        <v>444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445</v>
      </c>
      <c r="G1" s="25" t="s">
        <v>446</v>
      </c>
      <c r="H1" s="25" t="s">
        <v>7</v>
      </c>
      <c r="I1" s="25" t="s">
        <v>8</v>
      </c>
      <c r="J1" s="25" t="s">
        <v>447</v>
      </c>
      <c r="K1" s="26" t="s">
        <v>9</v>
      </c>
    </row>
    <row r="2" s="28" customFormat="1" ht="11.25" customHeight="1">
      <c r="A2" s="31" t="s">
        <v>448</v>
      </c>
      <c r="B2" s="31" t="s">
        <v>50</v>
      </c>
      <c r="C2" s="31" t="s">
        <v>449</v>
      </c>
      <c r="D2" s="31" t="s">
        <v>450</v>
      </c>
      <c r="E2" s="31" t="s">
        <v>45</v>
      </c>
      <c r="F2" s="31" t="s">
        <v>451</v>
      </c>
      <c r="G2" s="31" t="s">
        <v>452</v>
      </c>
      <c r="H2" s="31" t="s">
        <v>453</v>
      </c>
      <c r="I2" s="31" t="s">
        <v>34</v>
      </c>
      <c r="J2" s="31" t="s">
        <v>454</v>
      </c>
      <c r="K2" s="31" t="s">
        <v>455</v>
      </c>
    </row>
    <row r="3" s="28" customFormat="1" ht="11.25" customHeight="1">
      <c r="A3" s="31" t="s">
        <v>448</v>
      </c>
      <c r="B3" s="31" t="s">
        <v>50</v>
      </c>
      <c r="C3" s="31" t="s">
        <v>456</v>
      </c>
      <c r="D3" s="31" t="s">
        <v>457</v>
      </c>
      <c r="E3" s="31" t="s">
        <v>45</v>
      </c>
      <c r="F3" s="31" t="s">
        <v>451</v>
      </c>
      <c r="G3" s="31" t="s">
        <v>452</v>
      </c>
      <c r="H3" s="31" t="s">
        <v>453</v>
      </c>
      <c r="I3" s="31" t="s">
        <v>34</v>
      </c>
      <c r="J3" s="31" t="s">
        <v>458</v>
      </c>
      <c r="K3" s="33" t="s">
        <v>459</v>
      </c>
    </row>
    <row r="4" s="28" customFormat="1" ht="11.25" customHeight="1">
      <c r="A4" s="31" t="s">
        <v>448</v>
      </c>
      <c r="B4" s="31" t="s">
        <v>50</v>
      </c>
      <c r="C4" s="31" t="s">
        <v>460</v>
      </c>
      <c r="D4" s="31" t="s">
        <v>461</v>
      </c>
      <c r="E4" s="31" t="s">
        <v>45</v>
      </c>
      <c r="F4" s="31" t="s">
        <v>451</v>
      </c>
      <c r="G4" s="31" t="s">
        <v>452</v>
      </c>
      <c r="H4" s="31" t="s">
        <v>453</v>
      </c>
      <c r="I4" s="31" t="s">
        <v>34</v>
      </c>
      <c r="J4" s="31" t="s">
        <v>462</v>
      </c>
      <c r="K4" s="31" t="s">
        <v>463</v>
      </c>
    </row>
    <row r="5" s="32" customFormat="1" ht="11.25" customHeight="1">
      <c r="A5" s="32" t="s">
        <v>448</v>
      </c>
      <c r="B5" s="32" t="s">
        <v>464</v>
      </c>
      <c r="C5" s="31" t="s">
        <v>460</v>
      </c>
      <c r="D5" s="31" t="s">
        <v>461</v>
      </c>
      <c r="E5" s="32" t="s">
        <v>465</v>
      </c>
      <c r="F5" s="32" t="s">
        <v>367</v>
      </c>
      <c r="G5" s="32" t="s">
        <v>452</v>
      </c>
      <c r="H5" s="32" t="s">
        <v>453</v>
      </c>
      <c r="I5" s="32" t="s">
        <v>34</v>
      </c>
      <c r="J5" s="31" t="s">
        <v>462</v>
      </c>
      <c r="K5" s="31" t="s">
        <v>463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