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in\Google Drive\UFABC\Sistemas de propulsão II\"/>
    </mc:Choice>
  </mc:AlternateContent>
  <xr:revisionPtr revIDLastSave="0" documentId="13_ncr:1_{510C6574-B207-4EB3-8056-DEFC23F6D865}" xr6:coauthVersionLast="43" xr6:coauthVersionMax="43" xr10:uidLastSave="{00000000-0000-0000-0000-000000000000}"/>
  <bookViews>
    <workbookView xWindow="-120" yWindow="-120" windowWidth="20730" windowHeight="11160" xr2:uid="{E0D27D35-A68D-4918-9B75-7A74C7CF7E6D}"/>
  </bookViews>
  <sheets>
    <sheet name="Dados gerais" sheetId="1" r:id="rId1"/>
    <sheet name="Planilha1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1" l="1"/>
  <c r="F45" i="1" l="1"/>
  <c r="B55" i="1"/>
  <c r="B7" i="1" l="1"/>
  <c r="J43" i="1"/>
  <c r="B23" i="1" l="1"/>
  <c r="B27" i="1" s="1"/>
  <c r="B26" i="1"/>
  <c r="B21" i="1"/>
  <c r="B22" i="1" s="1"/>
  <c r="B9" i="1"/>
  <c r="B56" i="1" s="1"/>
  <c r="F27" i="1"/>
  <c r="F26" i="1"/>
  <c r="F25" i="1"/>
  <c r="F24" i="1"/>
  <c r="F23" i="1"/>
  <c r="B8" i="1"/>
  <c r="B4" i="1"/>
  <c r="B6" i="1" s="1"/>
  <c r="B44" i="1"/>
  <c r="F35" i="1" l="1"/>
  <c r="F30" i="1"/>
  <c r="F32" i="1"/>
  <c r="B49" i="1"/>
  <c r="F36" i="1"/>
  <c r="B12" i="1"/>
  <c r="F31" i="1"/>
  <c r="B53" i="1" s="1"/>
  <c r="B10" i="1"/>
  <c r="B57" i="1" s="1"/>
  <c r="B20" i="1"/>
  <c r="F56" i="1" l="1"/>
  <c r="B54" i="1"/>
  <c r="M33" i="1"/>
  <c r="F47" i="1" s="1"/>
  <c r="L33" i="1"/>
  <c r="K33" i="1"/>
  <c r="B33" i="1" s="1"/>
  <c r="J33" i="1"/>
  <c r="B25" i="1"/>
  <c r="B24" i="1"/>
  <c r="M26" i="1"/>
  <c r="L26" i="1"/>
  <c r="K26" i="1"/>
  <c r="J26" i="1"/>
  <c r="B29" i="1" l="1"/>
  <c r="B45" i="1"/>
  <c r="B46" i="1"/>
  <c r="B34" i="1"/>
  <c r="F48" i="1" s="1"/>
  <c r="B42" i="1"/>
  <c r="B35" i="1"/>
  <c r="B28" i="1"/>
  <c r="B36" i="1" s="1"/>
  <c r="B31" i="1"/>
  <c r="B17" i="1"/>
  <c r="B58" i="1" s="1"/>
  <c r="B18" i="1"/>
  <c r="B19" i="1" s="1"/>
  <c r="B30" i="1"/>
  <c r="B16" i="1"/>
  <c r="B3" i="1"/>
  <c r="B5" i="1" s="1"/>
  <c r="F55" i="1" s="1"/>
  <c r="B13" i="1"/>
  <c r="B14" i="1"/>
  <c r="F37" i="1" s="1"/>
  <c r="B50" i="1"/>
  <c r="B52" i="1"/>
  <c r="B40" i="1" l="1"/>
  <c r="B48" i="1"/>
  <c r="B32" i="1"/>
  <c r="B41" i="1" s="1"/>
  <c r="B63" i="1" s="1"/>
  <c r="B37" i="1"/>
  <c r="B15" i="1"/>
  <c r="B11" i="1"/>
  <c r="B51" i="1" s="1"/>
  <c r="B38" i="1"/>
  <c r="B39" i="1" s="1"/>
  <c r="B47" i="1" l="1"/>
  <c r="B62" i="1"/>
  <c r="B43" i="1"/>
  <c r="B61" i="1"/>
  <c r="B60" i="1"/>
  <c r="B59" i="1"/>
  <c r="B66" i="1" l="1"/>
  <c r="B65" i="1"/>
  <c r="B64" i="1"/>
  <c r="B67" i="1" s="1"/>
  <c r="B68" i="1" s="1"/>
  <c r="B69" i="1" s="1"/>
  <c r="B70" i="1" l="1"/>
</calcChain>
</file>

<file path=xl/sharedStrings.xml><?xml version="1.0" encoding="utf-8"?>
<sst xmlns="http://schemas.openxmlformats.org/spreadsheetml/2006/main" count="261" uniqueCount="178">
  <si>
    <t>Dados</t>
  </si>
  <si>
    <t>Valores</t>
  </si>
  <si>
    <t>taxa de fluxo</t>
  </si>
  <si>
    <t>Empuxo nível do mar</t>
  </si>
  <si>
    <t>Empuxo no vácuo</t>
  </si>
  <si>
    <t>Isp nível do mar</t>
  </si>
  <si>
    <t>Isp no vácuo</t>
  </si>
  <si>
    <t>Pressão na câmara de combustão</t>
  </si>
  <si>
    <t>Razão de mistura (O/F)</t>
  </si>
  <si>
    <t>Área da garganta</t>
  </si>
  <si>
    <t>Comprimento do motor</t>
  </si>
  <si>
    <t>Diâmetro do motor</t>
  </si>
  <si>
    <t>Peso(seco)</t>
  </si>
  <si>
    <t>Controle de atitude</t>
  </si>
  <si>
    <t>Tempo de queima</t>
  </si>
  <si>
    <t>Razão empuxo-peso</t>
  </si>
  <si>
    <t>N</t>
  </si>
  <si>
    <t>kg/s</t>
  </si>
  <si>
    <t>Pa</t>
  </si>
  <si>
    <t>s</t>
  </si>
  <si>
    <t xml:space="preserve">  </t>
  </si>
  <si>
    <t>m²</t>
  </si>
  <si>
    <t>m</t>
  </si>
  <si>
    <t>kg</t>
  </si>
  <si>
    <t>°</t>
  </si>
  <si>
    <t>Unidades</t>
  </si>
  <si>
    <t>Dados motor RD-180 encontradas</t>
  </si>
  <si>
    <t>Altura</t>
  </si>
  <si>
    <t>Altura do foguete</t>
  </si>
  <si>
    <t>Unidade</t>
  </si>
  <si>
    <t>Diâmetro</t>
  </si>
  <si>
    <t>Massa total</t>
  </si>
  <si>
    <t>Massa inerte</t>
  </si>
  <si>
    <t>Massa dos propelentes</t>
  </si>
  <si>
    <t>Empuxo do nível do mar</t>
  </si>
  <si>
    <t>Parâmetro</t>
  </si>
  <si>
    <t>Valor</t>
  </si>
  <si>
    <t>Especificações do primeiro estágio enontradas</t>
  </si>
  <si>
    <t>Especificações do foguete encontradas</t>
  </si>
  <si>
    <t>m/s²</t>
  </si>
  <si>
    <t>m/s</t>
  </si>
  <si>
    <t xml:space="preserve">gravidade </t>
  </si>
  <si>
    <t>Razão de massa do primeiro estágio (MR)</t>
  </si>
  <si>
    <t>Fração de massa de propelente do primeiro estágio (ξ)</t>
  </si>
  <si>
    <t>Razão impulso-peso com It calculado</t>
  </si>
  <si>
    <t>Impulso total (It) (empuxo nível do mar constante)</t>
  </si>
  <si>
    <t>Impulso específico (Isp) (empuxo nível do mar constante)</t>
  </si>
  <si>
    <t xml:space="preserve">Impulso específico (Isp) (empuxo nível do mar constante) pelo empuxo e vazão </t>
  </si>
  <si>
    <t>Razão empuxo-peso (empuxo nível do mar constante)</t>
  </si>
  <si>
    <t>Razão de área de expansão</t>
  </si>
  <si>
    <t>Razão de área de contração (estimada do RD-170)</t>
  </si>
  <si>
    <t>1.61</t>
  </si>
  <si>
    <t>Temperatura na câmara de combustão (estimada do RD-170)</t>
  </si>
  <si>
    <t xml:space="preserve">Pressãoa tmosférica </t>
  </si>
  <si>
    <t>Velocidade de exaustão (ve) / calculado pela equação de empuxo (nível do mar)</t>
  </si>
  <si>
    <t>Velocidade de exaustão (ve) / calculado pela equação de empuxo (vácuo)</t>
  </si>
  <si>
    <t>Pinj/P</t>
  </si>
  <si>
    <t>INJECTOR</t>
  </si>
  <si>
    <t xml:space="preserve"> THROAT</t>
  </si>
  <si>
    <t xml:space="preserve"> EXIT</t>
  </si>
  <si>
    <t>T, K</t>
  </si>
  <si>
    <t>RHO, KG/CU M</t>
  </si>
  <si>
    <t>H, KJ/KG</t>
  </si>
  <si>
    <t>U, KJ/KG</t>
  </si>
  <si>
    <t>G, KJ/KG</t>
  </si>
  <si>
    <t>S, KJ/(KG)(K)</t>
  </si>
  <si>
    <t>(dLV/dLP)t</t>
  </si>
  <si>
    <t>(dLV/dLT)p</t>
  </si>
  <si>
    <t>Cp, KJ/(KG)(K)</t>
  </si>
  <si>
    <t>GAMMAs</t>
  </si>
  <si>
    <t>SON VEL,M/SEC</t>
  </si>
  <si>
    <t>MACH NUMBER</t>
  </si>
  <si>
    <t xml:space="preserve"> COMB END</t>
  </si>
  <si>
    <t>P, Pa</t>
  </si>
  <si>
    <t xml:space="preserve">Dados CEA NASA </t>
  </si>
  <si>
    <t>Pressão na entrada do bocal (Pi)ns</t>
  </si>
  <si>
    <t>Pressão na injeção (Pin)ns</t>
  </si>
  <si>
    <t>Pressão na garganta (Pt)</t>
  </si>
  <si>
    <t>Por gráfico AREA RATIO X PRESSURE RATIO (estimado) / gama 1.15</t>
  </si>
  <si>
    <t>(Pc)ns/pe</t>
  </si>
  <si>
    <t>Pressão estática de saída (Pe) estimado por por tabela</t>
  </si>
  <si>
    <t>K</t>
  </si>
  <si>
    <t>Temperatura na entrada do bocal (Ti)/ escoamento isentrópico</t>
  </si>
  <si>
    <t>Temperatura na garganta (Tt) / usando Pt calculado, não CEA NASA</t>
  </si>
  <si>
    <t>Volume específico na injeção (Vin)</t>
  </si>
  <si>
    <t>Constante universal dos gases R</t>
  </si>
  <si>
    <t>J · K−1 · mol−1</t>
  </si>
  <si>
    <t>M, KG/MOL</t>
  </si>
  <si>
    <t>Volume específico na entada do bocal (Vi)</t>
  </si>
  <si>
    <t>Volume específico na garganta (Vt)</t>
  </si>
  <si>
    <t>m^3/kg</t>
  </si>
  <si>
    <t>Temperatura na saída  (Te)/ usando Pe calculado, não CEA NASA</t>
  </si>
  <si>
    <t>Velocidade na entrada do bocal (vi)</t>
  </si>
  <si>
    <t>Velocidade na garganta (vt)</t>
  </si>
  <si>
    <t>Velocidade de exaustão (ve) usando Pe estimado por tabela</t>
  </si>
  <si>
    <t>Velocidade do som na saída (ae)</t>
  </si>
  <si>
    <t>Número de Mach na saída (Me)</t>
  </si>
  <si>
    <t>Área da entrada do bocal (Ai)</t>
  </si>
  <si>
    <t>Área da câmara de combustão (Ac)</t>
  </si>
  <si>
    <t>Área da garganta (At)</t>
  </si>
  <si>
    <t>Área de saída (Ae)</t>
  </si>
  <si>
    <t>Volume específico na saída (Ve)</t>
  </si>
  <si>
    <t>Temperatura na injeção (Tin)</t>
  </si>
  <si>
    <t>Velocidade característica ( c*) em função das propriedades do gás</t>
  </si>
  <si>
    <t>Coeficiente de empuxo (Cf)  por F/(At(Pc)ns) /  nível do mar</t>
  </si>
  <si>
    <t>Coeficiente de empuxo (Cf)  por F/(At(Pc)ns) /  vácuo</t>
  </si>
  <si>
    <t>Velocidade efetiva de exaustão ( c ) pela fórmula de empuxo (nível do mar)</t>
  </si>
  <si>
    <t xml:space="preserve">Velocidade característica PARA CADA BOCAL(?) ( c*) </t>
  </si>
  <si>
    <t xml:space="preserve">Empuxo por  F=(Pc)ns(At)*(Cf) / nível do mar </t>
  </si>
  <si>
    <t>Empuxo por  F=(Pc)ns(At)*(Cf) / vácuo</t>
  </si>
  <si>
    <t>Velocidade efetiva de exaustão ( c )/ Isp calculado / nível do mar</t>
  </si>
  <si>
    <t>Velocidade efetiva de exaustão ( c )/ Isp calculado / vácuo</t>
  </si>
  <si>
    <t xml:space="preserve">Impulso específico (Isp) (empuxo vácuo constante) pelo empuxo e vazão </t>
  </si>
  <si>
    <t>Impulso total (It) (empuxo vácuo constante)</t>
  </si>
  <si>
    <t>Impulso específico (Isp) (empuxo vácuo constante)</t>
  </si>
  <si>
    <t>Equação de Tsolkovsky (desprezando arrasto e perdas por peso) com  ( c )  /  Isp calculado nível do mar</t>
  </si>
  <si>
    <t>Equação de Tsolkovsky (desprezando arrasto e perdas por peso) com ( c )  /  Isp calculado vácuo</t>
  </si>
  <si>
    <t>Equação de Tsiolkovsky (desprezando arrasto e perdas por peso) com ( c )  / Isp nível do mar dos dados</t>
  </si>
  <si>
    <t>Equação de Tsiolkovsky (desprezando arrasto e perdas por peso) com ( c )  /  Isp vácuo dos dados</t>
  </si>
  <si>
    <t>Massa final (mf)</t>
  </si>
  <si>
    <t>Massa estrutural (me)</t>
  </si>
  <si>
    <t>Massa inicial (mo)</t>
  </si>
  <si>
    <t>Massa dos propelentes (mp)</t>
  </si>
  <si>
    <t>Massa do Payload (mpl)</t>
  </si>
  <si>
    <t>Frações de massa</t>
  </si>
  <si>
    <t xml:space="preserve"> ε</t>
  </si>
  <si>
    <t>n</t>
  </si>
  <si>
    <t>Razões</t>
  </si>
  <si>
    <t>razão de carga (πpl)</t>
  </si>
  <si>
    <t>razão estrutural (πe)</t>
  </si>
  <si>
    <t>razão de propelente (πp)</t>
  </si>
  <si>
    <t>gama médio</t>
  </si>
  <si>
    <t>NÃO ESQUECER ! SUBSTITUIR GAMA MÉDIO NAS EQUAÇÕES. GAMA TEM DE SER CONSTANTE</t>
  </si>
  <si>
    <t>kg/m³</t>
  </si>
  <si>
    <t>Densidade RP-1</t>
  </si>
  <si>
    <t>Densidade dos propelentes combilados (d)</t>
  </si>
  <si>
    <t>Densidade  oxigênio líquido</t>
  </si>
  <si>
    <t>razão empuxo peso (vácuo)</t>
  </si>
  <si>
    <t>Velocidade efetiva de exaustão ( c ) pela fórmula de empuxo (vácuo)</t>
  </si>
  <si>
    <t>Velocidade efetiva de exaustão ( c ) / Isp pelo método de vazão (nível do mar)</t>
  </si>
  <si>
    <t>Velocidade efetiva de exaustão ( c ) / Isp pelo método de vazão (vácuo)</t>
  </si>
  <si>
    <t>Coeficiente de empuxo (Cf) em função das propriedades do gás  / nível do mar</t>
  </si>
  <si>
    <t>Coeficiente de empuxo (Cf) em função das propriedades do gás / vácuo</t>
  </si>
  <si>
    <t>Velocidade do som na garganta (at)</t>
  </si>
  <si>
    <t>Número de Mach na garganta (Mt)</t>
  </si>
  <si>
    <t xml:space="preserve">Ae pelos dados da literatura </t>
  </si>
  <si>
    <t>Velocidade de burnout (vbo) com com Isp da fórmula de vazão / nível do mar</t>
  </si>
  <si>
    <t>Velocidade de burnout (vbo) com com Isp da fórmula de vazão / vácuo</t>
  </si>
  <si>
    <t>sm³/kg³</t>
  </si>
  <si>
    <t>vbo com os outros Isp/ nível do mar</t>
  </si>
  <si>
    <t>vbo com os outros Isp/ vácuo</t>
  </si>
  <si>
    <t>Impulso específico de densidade (Id) Is calculado pelo método de vazão/ nível do mar</t>
  </si>
  <si>
    <t>Impulso específico de densidade (Id) Is calculado pelo método de vazão/ vácuo</t>
  </si>
  <si>
    <r>
      <t> </t>
    </r>
    <r>
      <rPr>
        <sz val="12"/>
        <color rgb="FF222222"/>
        <rFont val="Calibri"/>
        <family val="2"/>
        <scheme val="minor"/>
      </rPr>
      <t>λ</t>
    </r>
  </si>
  <si>
    <t>L*</t>
  </si>
  <si>
    <t>Volume da câmara de combustão (Vc)</t>
  </si>
  <si>
    <t xml:space="preserve">m^3 </t>
  </si>
  <si>
    <t>Tempo necessário na câmara de combustão para queima eficiente (ts)</t>
  </si>
  <si>
    <t xml:space="preserve"> 1,9336 1</t>
  </si>
  <si>
    <t xml:space="preserve"> 1,6525 1</t>
  </si>
  <si>
    <t xml:space="preserve"> 1,1058 1</t>
  </si>
  <si>
    <t xml:space="preserve"> 1,0678-1</t>
  </si>
  <si>
    <t>Razão de compressão de área (ε) com At e Ae calculados</t>
  </si>
  <si>
    <t>R1 (1,5*Rt)</t>
  </si>
  <si>
    <t>Rt (usando At calculado)</t>
  </si>
  <si>
    <t>R2 (0,328*Rt)</t>
  </si>
  <si>
    <t>Re ( usando Ae calculado)</t>
  </si>
  <si>
    <t xml:space="preserve">Coeficiente de compressão escolhido </t>
  </si>
  <si>
    <t>Rc (raio da câmara de combustão)</t>
  </si>
  <si>
    <t>x=Tangente do ângulo alfa</t>
  </si>
  <si>
    <t>Arcotangente de x</t>
  </si>
  <si>
    <t>in</t>
  </si>
  <si>
    <t xml:space="preserve">1 metro é igual </t>
  </si>
  <si>
    <t>graus</t>
  </si>
  <si>
    <t>arcontangente de x positivo</t>
  </si>
  <si>
    <t xml:space="preserve">Ln </t>
  </si>
  <si>
    <t>ERRADO</t>
  </si>
  <si>
    <t>ESTRANHO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</si>
</sst>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Calibri Light"/>
      <family val="2"/>
      <scheme val="major"/>
    </font>
    <font>
      <sz val="12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4" borderId="2" xfId="0" applyFont="1" applyFill="1" applyBorder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4" borderId="4" xfId="0" applyFont="1" applyFill="1" applyBorder="1"/>
    <xf numFmtId="0" fontId="1" fillId="4" borderId="6" xfId="0" applyFont="1" applyFill="1" applyBorder="1"/>
    <xf numFmtId="0" fontId="0" fillId="0" borderId="0" xfId="0" applyFont="1" applyBorder="1"/>
    <xf numFmtId="0" fontId="0" fillId="0" borderId="0" xfId="0" applyBorder="1"/>
    <xf numFmtId="0" fontId="0" fillId="5" borderId="0" xfId="0" applyFill="1"/>
    <xf numFmtId="0" fontId="0" fillId="0" borderId="1" xfId="0" applyFont="1" applyBorder="1"/>
    <xf numFmtId="0" fontId="0" fillId="0" borderId="0" xfId="0" applyFill="1"/>
    <xf numFmtId="0" fontId="0" fillId="0" borderId="1" xfId="0" applyFont="1" applyFill="1" applyBorder="1"/>
    <xf numFmtId="0" fontId="0" fillId="0" borderId="9" xfId="0" applyBorder="1"/>
    <xf numFmtId="0" fontId="0" fillId="6" borderId="2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0" xfId="0" applyFill="1"/>
    <xf numFmtId="0" fontId="0" fillId="6" borderId="5" xfId="0" applyFont="1" applyFill="1" applyBorder="1"/>
    <xf numFmtId="0" fontId="0" fillId="6" borderId="3" xfId="0" applyFont="1" applyFill="1" applyBorder="1"/>
    <xf numFmtId="0" fontId="0" fillId="6" borderId="7" xfId="0" applyFont="1" applyFill="1" applyBorder="1"/>
    <xf numFmtId="0" fontId="0" fillId="6" borderId="0" xfId="0" applyFont="1" applyFill="1" applyBorder="1"/>
    <xf numFmtId="0" fontId="0" fillId="6" borderId="8" xfId="0" applyFont="1" applyFill="1" applyBorder="1"/>
    <xf numFmtId="0" fontId="3" fillId="0" borderId="1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6" xfId="0" applyFont="1" applyBorder="1"/>
    <xf numFmtId="0" fontId="0" fillId="0" borderId="8" xfId="0" applyFont="1" applyBorder="1"/>
    <xf numFmtId="0" fontId="0" fillId="7" borderId="0" xfId="0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6F3C72-AA3B-4AFD-9664-EF10EDD39218}" name="Tabela4" displayName="Tabela4" ref="I3:K20" totalsRowShown="0" headerRowDxfId="25" dataDxfId="24">
  <autoFilter ref="I3:K20" xr:uid="{D21E9E6C-36F6-40C8-8AA6-C7983BB59636}"/>
  <tableColumns count="3">
    <tableColumn id="1" xr3:uid="{E94F51D5-7879-47D6-BC69-A2D3816B8754}" name="Dados" dataDxfId="23"/>
    <tableColumn id="2" xr3:uid="{632825B9-02A7-4E26-AC3D-7988BEEEC541}" name="Valores" dataDxfId="22"/>
    <tableColumn id="3" xr3:uid="{B570B543-7E0B-4403-B7DF-9AB56B2C1151}" name="Unidades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8A42D-D0AD-48BB-AE92-5005AA87CE29}" name="Tabela5" displayName="Tabela5" ref="E3:G6" totalsRowShown="0" headerRowDxfId="20" dataDxfId="19">
  <autoFilter ref="E3:G6" xr:uid="{51E4592B-144F-4B69-A7D4-3D5C1D776F8C}"/>
  <tableColumns count="3">
    <tableColumn id="1" xr3:uid="{72882DA7-6581-4E6F-83A7-E436650672FB}" name="Dados" dataDxfId="18"/>
    <tableColumn id="2" xr3:uid="{3D793648-6F14-48D0-AE70-15ECF3CC77DB}" name="Valores" dataDxfId="17"/>
    <tableColumn id="3" xr3:uid="{734BBED3-57FF-4835-BFC0-B4309EDFA9B1}" name="Unidade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A13C4-4E58-4686-8974-6884560035E4}" name="Tabela1" displayName="Tabela1" ref="E10:G17" totalsRowShown="0" headerRowDxfId="15" dataDxfId="14">
  <autoFilter ref="E10:G17" xr:uid="{E184CFCC-441A-4213-A5D2-170CF9B8C075}"/>
  <tableColumns count="3">
    <tableColumn id="1" xr3:uid="{3F936793-8E61-4D5D-AE5E-996C36AB01B5}" name="Dados" dataDxfId="13"/>
    <tableColumn id="2" xr3:uid="{3F86D1EB-23BE-4BB6-8D38-21EE1424ACF2}" name="Valores" dataDxfId="12"/>
    <tableColumn id="3" xr3:uid="{6825948D-DA21-4BB0-83AE-1B6889CD9C99}" name="Unidade" dataDxf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76A916-C578-4345-8156-B046BEE991E9}" name="Tabela3" displayName="Tabela3" ref="A2:C70" totalsRowShown="0" headerRowDxfId="10" tableBorderDxfId="9">
  <autoFilter ref="A2:C70" xr:uid="{D61F1FFC-7F3B-448F-AE07-13950C4AEBD5}"/>
  <tableColumns count="3">
    <tableColumn id="1" xr3:uid="{4123B88C-1DCD-4C43-90EA-C16E48D561C8}" name="Parâmetro" dataDxfId="8"/>
    <tableColumn id="2" xr3:uid="{A39C38AC-40C2-4261-996D-67777082C15A}" name="Valor" dataDxfId="7"/>
    <tableColumn id="3" xr3:uid="{BF10DDE8-286C-4F82-A70C-A0CA5924E646}" name="Unidade" dataDxfId="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F67612-A2AC-4254-A90D-4B94140CF099}" name="Tabela710" displayName="Tabela710" ref="I24:M39" totalsRowShown="0" headerRowDxfId="5">
  <autoFilter ref="I24:M39" xr:uid="{84938FC5-AE5F-45CD-88FC-4D24A7A5C9CE}"/>
  <tableColumns count="5">
    <tableColumn id="1" xr3:uid="{9BD3BCC1-6AE4-4BE3-9864-E570FB81206D}" name="Dados" dataDxfId="4"/>
    <tableColumn id="2" xr3:uid="{879116E8-9EC9-4EB7-B2E3-D85F0D21C1B0}" name="INJECTOR" dataDxfId="3"/>
    <tableColumn id="3" xr3:uid="{28CA5BBA-54DD-4BDA-8BDB-BA33060B7610}" name=" COMB END" dataDxfId="2"/>
    <tableColumn id="4" xr3:uid="{7DF77D61-81E3-4A76-BC06-9849F7D299CF}" name=" THROAT" dataDxfId="1"/>
    <tableColumn id="5" xr3:uid="{F378D98B-1B15-4E95-A749-5CB66165DC6C}" name=" EXI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22BF-854B-4A1B-A750-D0300DC3F411}">
  <dimension ref="A1:R70"/>
  <sheetViews>
    <sheetView tabSelected="1" topLeftCell="A46" zoomScale="85" zoomScaleNormal="85" workbookViewId="0">
      <selection activeCell="B70" sqref="B70"/>
    </sheetView>
  </sheetViews>
  <sheetFormatPr defaultRowHeight="15" x14ac:dyDescent="0.25"/>
  <cols>
    <col min="1" max="1" width="99.5703125" bestFit="1" customWidth="1"/>
    <col min="2" max="2" width="12.28515625" customWidth="1"/>
    <col min="3" max="3" width="10.7109375" customWidth="1"/>
    <col min="4" max="4" width="10.5703125" customWidth="1"/>
    <col min="5" max="5" width="40.28515625" bestFit="1" customWidth="1"/>
    <col min="6" max="6" width="11.5703125" bestFit="1" customWidth="1"/>
    <col min="7" max="7" width="13.42578125" bestFit="1" customWidth="1"/>
    <col min="8" max="8" width="11.28515625" customWidth="1"/>
    <col min="9" max="9" width="61.85546875" bestFit="1" customWidth="1"/>
    <col min="10" max="10" width="12.5703125" bestFit="1" customWidth="1"/>
    <col min="11" max="11" width="14.28515625" bestFit="1" customWidth="1"/>
    <col min="12" max="12" width="11.7109375" bestFit="1" customWidth="1"/>
    <col min="13" max="13" width="9.85546875" bestFit="1" customWidth="1"/>
    <col min="14" max="14" width="10.28515625" customWidth="1"/>
    <col min="15" max="15" width="30.7109375" bestFit="1" customWidth="1"/>
    <col min="16" max="16" width="10.28515625" customWidth="1"/>
  </cols>
  <sheetData>
    <row r="1" spans="1:11" x14ac:dyDescent="0.25">
      <c r="A1" s="11" t="s">
        <v>132</v>
      </c>
      <c r="B1" s="11"/>
      <c r="C1" s="11"/>
    </row>
    <row r="2" spans="1:11" x14ac:dyDescent="0.25">
      <c r="A2" s="7" t="s">
        <v>35</v>
      </c>
      <c r="B2" s="3" t="s">
        <v>36</v>
      </c>
      <c r="C2" s="8" t="s">
        <v>29</v>
      </c>
      <c r="E2" s="33" t="s">
        <v>38</v>
      </c>
      <c r="F2" s="33"/>
      <c r="G2" s="33"/>
      <c r="I2" s="33" t="s">
        <v>26</v>
      </c>
      <c r="J2" s="33"/>
      <c r="K2" s="33"/>
    </row>
    <row r="3" spans="1:11" x14ac:dyDescent="0.25">
      <c r="A3" s="17" t="s">
        <v>45</v>
      </c>
      <c r="B3" s="16">
        <f>(J5)*(J19)</f>
        <v>961400000</v>
      </c>
      <c r="C3" s="18" t="s">
        <v>16</v>
      </c>
      <c r="E3" s="6" t="s">
        <v>0</v>
      </c>
      <c r="F3" s="6" t="s">
        <v>1</v>
      </c>
      <c r="G3" s="6" t="s">
        <v>29</v>
      </c>
      <c r="H3" s="1"/>
      <c r="I3" s="6" t="s">
        <v>0</v>
      </c>
      <c r="J3" s="6" t="s">
        <v>1</v>
      </c>
      <c r="K3" s="5" t="s">
        <v>25</v>
      </c>
    </row>
    <row r="4" spans="1:11" x14ac:dyDescent="0.25">
      <c r="A4" s="17" t="s">
        <v>113</v>
      </c>
      <c r="B4" s="16">
        <f>J6*J19</f>
        <v>1062600000</v>
      </c>
      <c r="C4" s="18" t="s">
        <v>16</v>
      </c>
      <c r="E4" s="6" t="s">
        <v>28</v>
      </c>
      <c r="F4" s="6">
        <v>58.3</v>
      </c>
      <c r="G4" s="6" t="s">
        <v>22</v>
      </c>
      <c r="H4" s="1"/>
      <c r="I4" s="6" t="s">
        <v>2</v>
      </c>
      <c r="J4" s="6">
        <v>1250.1010000000001</v>
      </c>
      <c r="K4" s="6" t="s">
        <v>17</v>
      </c>
    </row>
    <row r="5" spans="1:11" x14ac:dyDescent="0.25">
      <c r="A5" s="17" t="s">
        <v>46</v>
      </c>
      <c r="B5" s="16">
        <f>(B3)/(F13*F19)</f>
        <v>345.08733782616724</v>
      </c>
      <c r="C5" s="18" t="s">
        <v>19</v>
      </c>
      <c r="E5" s="6" t="s">
        <v>30</v>
      </c>
      <c r="F5" s="6">
        <v>3.81</v>
      </c>
      <c r="G5" s="6" t="s">
        <v>22</v>
      </c>
      <c r="H5" s="1"/>
      <c r="I5" s="6" t="s">
        <v>3</v>
      </c>
      <c r="J5" s="6">
        <v>3800000</v>
      </c>
      <c r="K5" s="6" t="s">
        <v>16</v>
      </c>
    </row>
    <row r="6" spans="1:11" x14ac:dyDescent="0.25">
      <c r="A6" s="17" t="s">
        <v>114</v>
      </c>
      <c r="B6" s="16">
        <f>B4/(F13*F19)</f>
        <v>381.41232075523749</v>
      </c>
      <c r="C6" s="18" t="s">
        <v>19</v>
      </c>
      <c r="E6" s="6" t="s">
        <v>31</v>
      </c>
      <c r="F6" s="6">
        <v>334500</v>
      </c>
      <c r="G6" s="6" t="s">
        <v>23</v>
      </c>
      <c r="H6" s="1"/>
      <c r="I6" s="6" t="s">
        <v>4</v>
      </c>
      <c r="J6" s="6">
        <v>4200000</v>
      </c>
      <c r="K6" s="6" t="s">
        <v>16</v>
      </c>
    </row>
    <row r="7" spans="1:11" x14ac:dyDescent="0.25">
      <c r="A7" s="17" t="s">
        <v>47</v>
      </c>
      <c r="B7" s="16">
        <f>(J5)/(J4*F19)</f>
        <v>309.96868327568149</v>
      </c>
      <c r="C7" s="18" t="s">
        <v>19</v>
      </c>
      <c r="E7" s="4"/>
      <c r="F7" s="4"/>
      <c r="G7" s="4"/>
      <c r="H7" s="1"/>
      <c r="I7" s="6" t="s">
        <v>5</v>
      </c>
      <c r="J7" s="6">
        <v>311.3</v>
      </c>
      <c r="K7" s="6" t="s">
        <v>19</v>
      </c>
    </row>
    <row r="8" spans="1:11" x14ac:dyDescent="0.25">
      <c r="A8" s="17" t="s">
        <v>112</v>
      </c>
      <c r="B8" s="16">
        <f>J6/(F19*J4)</f>
        <v>342.59696572575325</v>
      </c>
      <c r="C8" s="18" t="s">
        <v>19</v>
      </c>
      <c r="E8" s="4"/>
      <c r="F8" s="4"/>
      <c r="G8" s="4"/>
      <c r="H8" s="1"/>
      <c r="I8" s="6" t="s">
        <v>6</v>
      </c>
      <c r="J8" s="6">
        <v>337.8</v>
      </c>
      <c r="K8" s="6" t="s">
        <v>19</v>
      </c>
    </row>
    <row r="9" spans="1:11" x14ac:dyDescent="0.25">
      <c r="A9" s="17" t="s">
        <v>139</v>
      </c>
      <c r="B9" s="16">
        <f>B7*F19</f>
        <v>3039.7543878454617</v>
      </c>
      <c r="C9" s="18" t="s">
        <v>40</v>
      </c>
      <c r="E9" s="33" t="s">
        <v>37</v>
      </c>
      <c r="F9" s="33"/>
      <c r="G9" s="33"/>
      <c r="H9" s="1"/>
      <c r="I9" s="6" t="s">
        <v>7</v>
      </c>
      <c r="J9" s="6">
        <v>25660000</v>
      </c>
      <c r="K9" s="6" t="s">
        <v>18</v>
      </c>
    </row>
    <row r="10" spans="1:11" x14ac:dyDescent="0.25">
      <c r="A10" s="17" t="s">
        <v>140</v>
      </c>
      <c r="B10" s="16">
        <f>B8*F19</f>
        <v>3359.728533934458</v>
      </c>
      <c r="C10" s="18" t="s">
        <v>40</v>
      </c>
      <c r="E10" s="6" t="s">
        <v>0</v>
      </c>
      <c r="F10" s="6" t="s">
        <v>1</v>
      </c>
      <c r="G10" s="6" t="s">
        <v>29</v>
      </c>
      <c r="H10" s="1"/>
      <c r="I10" s="6" t="s">
        <v>52</v>
      </c>
      <c r="J10" s="6">
        <v>3773.15</v>
      </c>
      <c r="K10" s="6" t="s">
        <v>81</v>
      </c>
    </row>
    <row r="11" spans="1:11" x14ac:dyDescent="0.25">
      <c r="A11" s="17" t="s">
        <v>110</v>
      </c>
      <c r="B11" s="16">
        <f>B5*F19</f>
        <v>3384.1507414929829</v>
      </c>
      <c r="C11" s="18" t="s">
        <v>40</v>
      </c>
      <c r="E11" s="6" t="s">
        <v>27</v>
      </c>
      <c r="F11" s="6">
        <v>32.46</v>
      </c>
      <c r="G11" s="6" t="s">
        <v>22</v>
      </c>
      <c r="H11" s="1"/>
      <c r="I11" s="6" t="s">
        <v>8</v>
      </c>
      <c r="J11" s="6">
        <v>2.72</v>
      </c>
      <c r="K11" s="6" t="s">
        <v>20</v>
      </c>
    </row>
    <row r="12" spans="1:11" x14ac:dyDescent="0.25">
      <c r="A12" s="17" t="s">
        <v>111</v>
      </c>
      <c r="B12" s="16">
        <f>B6*F19</f>
        <v>3740.3771353343495</v>
      </c>
      <c r="C12" s="18" t="s">
        <v>40</v>
      </c>
      <c r="E12" s="6" t="s">
        <v>32</v>
      </c>
      <c r="F12" s="6">
        <v>21054</v>
      </c>
      <c r="G12" s="6" t="s">
        <v>23</v>
      </c>
      <c r="H12" s="1"/>
      <c r="I12" s="6" t="s">
        <v>49</v>
      </c>
      <c r="J12" s="6">
        <v>36.869999999999997</v>
      </c>
      <c r="K12" s="6"/>
    </row>
    <row r="13" spans="1:11" x14ac:dyDescent="0.25">
      <c r="A13" s="17" t="s">
        <v>42</v>
      </c>
      <c r="B13" s="16">
        <f>(F6-F13)/F6</f>
        <v>0.15070553064275038</v>
      </c>
      <c r="C13" s="18"/>
      <c r="E13" s="6" t="s">
        <v>33</v>
      </c>
      <c r="F13" s="6">
        <v>284089</v>
      </c>
      <c r="G13" s="6" t="s">
        <v>23</v>
      </c>
      <c r="H13" s="1"/>
      <c r="I13" s="6" t="s">
        <v>50</v>
      </c>
      <c r="J13" s="6" t="s">
        <v>51</v>
      </c>
      <c r="K13" s="6"/>
    </row>
    <row r="14" spans="1:11" x14ac:dyDescent="0.25">
      <c r="A14" s="17" t="s">
        <v>43</v>
      </c>
      <c r="B14" s="16">
        <f>F13/F6</f>
        <v>0.84929446935724962</v>
      </c>
      <c r="C14" s="18"/>
      <c r="E14" s="6" t="s">
        <v>34</v>
      </c>
      <c r="F14" s="6">
        <v>3800000</v>
      </c>
      <c r="G14" s="6" t="s">
        <v>16</v>
      </c>
      <c r="H14" s="1"/>
      <c r="I14" s="6" t="s">
        <v>9</v>
      </c>
      <c r="J14" s="6">
        <v>4.3548299999999998E-2</v>
      </c>
      <c r="K14" s="6" t="s">
        <v>21</v>
      </c>
    </row>
    <row r="15" spans="1:11" x14ac:dyDescent="0.25">
      <c r="A15" s="17" t="s">
        <v>44</v>
      </c>
      <c r="B15" s="16">
        <f>B3/(F6*F19)</f>
        <v>293.08076746098067</v>
      </c>
      <c r="C15" s="18" t="s">
        <v>19</v>
      </c>
      <c r="E15" s="6" t="s">
        <v>4</v>
      </c>
      <c r="F15" s="6">
        <v>4200000</v>
      </c>
      <c r="G15" s="6" t="s">
        <v>16</v>
      </c>
      <c r="H15" s="1"/>
      <c r="I15" s="6" t="s">
        <v>10</v>
      </c>
      <c r="J15" s="6">
        <v>3.58</v>
      </c>
      <c r="K15" s="6" t="s">
        <v>22</v>
      </c>
    </row>
    <row r="16" spans="1:11" x14ac:dyDescent="0.25">
      <c r="A16" s="17" t="s">
        <v>48</v>
      </c>
      <c r="B16" s="16">
        <f>J5/(F6*F19)</f>
        <v>1.1584220057746271</v>
      </c>
      <c r="C16" s="18"/>
      <c r="E16" s="6" t="s">
        <v>5</v>
      </c>
      <c r="F16" s="6">
        <v>311.3</v>
      </c>
      <c r="G16" s="6" t="s">
        <v>19</v>
      </c>
      <c r="H16" s="1"/>
      <c r="I16" s="6" t="s">
        <v>11</v>
      </c>
      <c r="J16" s="6">
        <v>3.15</v>
      </c>
      <c r="K16" s="6" t="s">
        <v>22</v>
      </c>
    </row>
    <row r="17" spans="1:18" x14ac:dyDescent="0.25">
      <c r="A17" s="17" t="s">
        <v>55</v>
      </c>
      <c r="B17" s="16">
        <f>(J6-(J12*J14)*(M26-F20))/J4</f>
        <v>3406.4484703546955</v>
      </c>
      <c r="C17" s="18" t="s">
        <v>40</v>
      </c>
      <c r="E17" s="6" t="s">
        <v>6</v>
      </c>
      <c r="F17" s="6">
        <v>337.8</v>
      </c>
      <c r="G17" s="6" t="s">
        <v>19</v>
      </c>
      <c r="I17" s="6" t="s">
        <v>12</v>
      </c>
      <c r="J17" s="6">
        <v>5520</v>
      </c>
      <c r="K17" s="6" t="s">
        <v>23</v>
      </c>
    </row>
    <row r="18" spans="1:18" x14ac:dyDescent="0.25">
      <c r="A18" s="17" t="s">
        <v>54</v>
      </c>
      <c r="B18" s="16">
        <f>(J5-(J12*J14)*(M26-F20))/J4</f>
        <v>3086.4743242656991</v>
      </c>
      <c r="C18" s="18" t="s">
        <v>40</v>
      </c>
      <c r="E18" s="4"/>
      <c r="F18" s="4"/>
      <c r="G18" s="4"/>
      <c r="I18" s="6" t="s">
        <v>13</v>
      </c>
      <c r="J18" s="6">
        <v>8</v>
      </c>
      <c r="K18" s="6" t="s">
        <v>24</v>
      </c>
    </row>
    <row r="19" spans="1:18" x14ac:dyDescent="0.25">
      <c r="A19" s="17" t="s">
        <v>106</v>
      </c>
      <c r="B19" s="16">
        <f>B18+(J14*J12)*(M26-F20)*(1/J4)</f>
        <v>3039.7543878454617</v>
      </c>
      <c r="C19" s="18" t="s">
        <v>40</v>
      </c>
      <c r="E19" s="4" t="s">
        <v>41</v>
      </c>
      <c r="F19" s="4">
        <v>9.8066499999999994</v>
      </c>
      <c r="G19" s="4" t="s">
        <v>39</v>
      </c>
      <c r="I19" s="6" t="s">
        <v>14</v>
      </c>
      <c r="J19" s="6">
        <v>253</v>
      </c>
      <c r="K19" s="6" t="s">
        <v>19</v>
      </c>
    </row>
    <row r="20" spans="1:18" x14ac:dyDescent="0.25">
      <c r="A20" s="17" t="s">
        <v>107</v>
      </c>
      <c r="B20" s="16">
        <f>(J9*J14)/(J4/2)</f>
        <v>1787.7745526161484</v>
      </c>
      <c r="C20" s="18" t="s">
        <v>40</v>
      </c>
      <c r="E20" t="s">
        <v>53</v>
      </c>
      <c r="F20" s="4">
        <v>101325</v>
      </c>
      <c r="G20" t="s">
        <v>18</v>
      </c>
      <c r="I20" s="6" t="s">
        <v>15</v>
      </c>
      <c r="J20" s="6">
        <v>78.22</v>
      </c>
      <c r="K20" s="6"/>
    </row>
    <row r="21" spans="1:18" x14ac:dyDescent="0.25">
      <c r="A21" s="17" t="s">
        <v>76</v>
      </c>
      <c r="B21" s="16">
        <f>J9*(1+J43*(K39)^2)/((1+((J43-1)/2)*((K39)^2))^(J43/(J43-1)))</f>
        <v>27768546.192056287</v>
      </c>
      <c r="C21" s="18" t="s">
        <v>18</v>
      </c>
      <c r="E21" t="s">
        <v>85</v>
      </c>
      <c r="F21">
        <v>8.3144621000000001</v>
      </c>
      <c r="G21" t="s">
        <v>86</v>
      </c>
    </row>
    <row r="22" spans="1:18" x14ac:dyDescent="0.25">
      <c r="A22" s="17" t="s">
        <v>75</v>
      </c>
      <c r="B22" s="16">
        <f>(B21)/(1+J43*(K39)^2)</f>
        <v>23367689.151252799</v>
      </c>
      <c r="C22" s="18" t="s">
        <v>18</v>
      </c>
    </row>
    <row r="23" spans="1:18" x14ac:dyDescent="0.25">
      <c r="A23" s="17" t="s">
        <v>77</v>
      </c>
      <c r="B23" s="16">
        <f>J9*((2/(J43+1))^(J43/(J43-1)))</f>
        <v>14718621.204741014</v>
      </c>
      <c r="C23" s="18" t="s">
        <v>18</v>
      </c>
      <c r="E23" s="12" t="s">
        <v>123</v>
      </c>
      <c r="F23" s="12">
        <f>F6-F12-F13</f>
        <v>29357</v>
      </c>
      <c r="G23" s="12" t="s">
        <v>23</v>
      </c>
      <c r="I23" s="33" t="s">
        <v>74</v>
      </c>
      <c r="J23" s="33"/>
      <c r="K23" s="33"/>
      <c r="L23" s="33"/>
      <c r="M23" s="33"/>
      <c r="P23" s="9"/>
      <c r="Q23" s="9"/>
      <c r="R23" s="9"/>
    </row>
    <row r="24" spans="1:18" x14ac:dyDescent="0.25">
      <c r="A24" s="17" t="s">
        <v>80</v>
      </c>
      <c r="B24" s="16">
        <f>J9/K41</f>
        <v>67526.31578947368</v>
      </c>
      <c r="C24" s="18" t="s">
        <v>18</v>
      </c>
      <c r="E24" s="12" t="s">
        <v>120</v>
      </c>
      <c r="F24" s="12">
        <f>F12</f>
        <v>21054</v>
      </c>
      <c r="G24" s="12" t="s">
        <v>23</v>
      </c>
      <c r="I24" s="2" t="s">
        <v>0</v>
      </c>
      <c r="J24" s="2" t="s">
        <v>57</v>
      </c>
      <c r="K24" s="2" t="s">
        <v>72</v>
      </c>
      <c r="L24" s="2" t="s">
        <v>58</v>
      </c>
      <c r="M24" s="2" t="s">
        <v>59</v>
      </c>
      <c r="P24" s="10"/>
      <c r="Q24" s="10"/>
      <c r="R24" s="10"/>
    </row>
    <row r="25" spans="1:18" x14ac:dyDescent="0.25">
      <c r="A25" s="20" t="s">
        <v>102</v>
      </c>
      <c r="B25" s="21">
        <f>J10</f>
        <v>3773.15</v>
      </c>
      <c r="C25" s="22" t="s">
        <v>81</v>
      </c>
      <c r="E25" s="14" t="s">
        <v>119</v>
      </c>
      <c r="F25" s="2">
        <f>F6-F13</f>
        <v>50411</v>
      </c>
      <c r="G25" s="14" t="s">
        <v>23</v>
      </c>
      <c r="I25" s="2" t="s">
        <v>56</v>
      </c>
      <c r="J25" s="2">
        <v>1</v>
      </c>
      <c r="K25" s="2">
        <v>1.1858</v>
      </c>
      <c r="L25" s="2">
        <v>1.8735999999999999</v>
      </c>
      <c r="M25" s="2">
        <v>395.07</v>
      </c>
    </row>
    <row r="26" spans="1:18" x14ac:dyDescent="0.25">
      <c r="A26" s="17" t="s">
        <v>82</v>
      </c>
      <c r="B26" s="16">
        <f>J10/(1+0.5*(J43-1)*(K39^2))</f>
        <v>3726.3565349312021</v>
      </c>
      <c r="C26" s="18" t="s">
        <v>81</v>
      </c>
      <c r="E26" s="14" t="s">
        <v>121</v>
      </c>
      <c r="F26" s="2">
        <f>F6</f>
        <v>334500</v>
      </c>
      <c r="G26" s="14" t="s">
        <v>23</v>
      </c>
      <c r="I26" s="2" t="s">
        <v>73</v>
      </c>
      <c r="J26" s="2">
        <f>256.6*100000</f>
        <v>25660000.000000004</v>
      </c>
      <c r="K26" s="2">
        <f>100000*216.39</f>
        <v>21639000</v>
      </c>
      <c r="L26" s="2">
        <f>100000*136.95</f>
        <v>13694999.999999998</v>
      </c>
      <c r="M26" s="2">
        <f>100000*0.6495</f>
        <v>64950</v>
      </c>
    </row>
    <row r="27" spans="1:18" x14ac:dyDescent="0.25">
      <c r="A27" s="17" t="s">
        <v>83</v>
      </c>
      <c r="B27" s="16">
        <f>J10*((B23/J9)^((J43-1)/J43))</f>
        <v>3503.5923626022864</v>
      </c>
      <c r="C27" s="18" t="s">
        <v>81</v>
      </c>
      <c r="E27" s="14" t="s">
        <v>122</v>
      </c>
      <c r="F27" s="2">
        <f>F13</f>
        <v>284089</v>
      </c>
      <c r="G27" s="14" t="s">
        <v>23</v>
      </c>
      <c r="I27" s="2" t="s">
        <v>60</v>
      </c>
      <c r="J27" s="2">
        <v>3883.88</v>
      </c>
      <c r="K27" s="2">
        <v>3836.97</v>
      </c>
      <c r="L27" s="2">
        <v>3668.87</v>
      </c>
      <c r="M27" s="2">
        <v>1925.36</v>
      </c>
    </row>
    <row r="28" spans="1:18" x14ac:dyDescent="0.25">
      <c r="A28" s="17" t="s">
        <v>91</v>
      </c>
      <c r="B28" s="16">
        <f>J10*((B24/J9)^((J43-1)/J43))</f>
        <v>1708.744110135292</v>
      </c>
      <c r="C28" s="18" t="s">
        <v>81</v>
      </c>
      <c r="I28" s="2" t="s">
        <v>61</v>
      </c>
      <c r="J28" s="2" t="s">
        <v>158</v>
      </c>
      <c r="K28" s="2" t="s">
        <v>159</v>
      </c>
      <c r="L28" s="2" t="s">
        <v>160</v>
      </c>
      <c r="M28" s="2" t="s">
        <v>161</v>
      </c>
    </row>
    <row r="29" spans="1:18" x14ac:dyDescent="0.25">
      <c r="A29" s="17" t="s">
        <v>84</v>
      </c>
      <c r="B29" s="16">
        <f>(F21*B25)/(J33*B21)</f>
        <v>4.6427102671244481E-2</v>
      </c>
      <c r="C29" s="18" t="s">
        <v>90</v>
      </c>
      <c r="E29" s="33" t="s">
        <v>124</v>
      </c>
      <c r="F29" s="33"/>
      <c r="G29" s="33"/>
      <c r="I29" s="2" t="s">
        <v>62</v>
      </c>
      <c r="J29" s="2">
        <v>-771.99</v>
      </c>
      <c r="K29" s="2">
        <v>-893.66</v>
      </c>
      <c r="L29" s="2">
        <v>-1476.25</v>
      </c>
      <c r="M29" s="2">
        <v>-6327.91</v>
      </c>
    </row>
    <row r="30" spans="1:18" ht="15.75" x14ac:dyDescent="0.25">
      <c r="A30" s="17" t="s">
        <v>88</v>
      </c>
      <c r="B30" s="16">
        <f>(F21*B26)/(K33*B22)</f>
        <v>5.4423924797672267E-2</v>
      </c>
      <c r="C30" s="18" t="s">
        <v>90</v>
      </c>
      <c r="E30" s="25" t="s">
        <v>153</v>
      </c>
      <c r="F30" s="2">
        <f>F23/(F26-F23)</f>
        <v>9.6207351962850199E-2</v>
      </c>
      <c r="G30" s="2"/>
      <c r="I30" s="2" t="s">
        <v>63</v>
      </c>
      <c r="J30" s="2">
        <v>-2099.04</v>
      </c>
      <c r="K30" s="2">
        <v>-2203.1799999999998</v>
      </c>
      <c r="L30" s="2">
        <v>-2714.77</v>
      </c>
      <c r="M30" s="2">
        <v>-6936.18</v>
      </c>
    </row>
    <row r="31" spans="1:18" x14ac:dyDescent="0.25">
      <c r="A31" s="17" t="s">
        <v>89</v>
      </c>
      <c r="B31" s="16">
        <f>((F21*B27)/(L33*B23))</f>
        <v>8.0355607466639528E-2</v>
      </c>
      <c r="C31" s="18" t="s">
        <v>90</v>
      </c>
      <c r="E31" s="2" t="s">
        <v>125</v>
      </c>
      <c r="F31" s="2">
        <f>F24/(F26-F23)</f>
        <v>6.8997158709195358E-2</v>
      </c>
      <c r="G31" s="2"/>
      <c r="I31" s="2" t="s">
        <v>64</v>
      </c>
      <c r="J31" s="2">
        <v>-42312.800000000003</v>
      </c>
      <c r="K31" s="2">
        <v>-42035.1</v>
      </c>
      <c r="L31" s="2">
        <v>-40815.199999999997</v>
      </c>
      <c r="M31" s="2">
        <v>-26972.400000000001</v>
      </c>
    </row>
    <row r="32" spans="1:18" x14ac:dyDescent="0.25">
      <c r="A32" s="17" t="s">
        <v>101</v>
      </c>
      <c r="B32" s="16">
        <f>(F21*B28)/(M33*B24)</f>
        <v>7.9943885171585389</v>
      </c>
      <c r="C32" s="18" t="s">
        <v>90</v>
      </c>
      <c r="E32" s="2" t="s">
        <v>126</v>
      </c>
      <c r="F32" s="2">
        <f>(F24+F27+F23)/(F24+F23)</f>
        <v>6.6354565471821623</v>
      </c>
      <c r="G32" s="2"/>
      <c r="I32" s="2" t="s">
        <v>65</v>
      </c>
      <c r="J32" s="2">
        <v>10.6957</v>
      </c>
      <c r="K32" s="2">
        <v>10.7224</v>
      </c>
      <c r="L32" s="2">
        <v>10.7224</v>
      </c>
      <c r="M32" s="2">
        <v>10.7224</v>
      </c>
    </row>
    <row r="33" spans="1:13" x14ac:dyDescent="0.25">
      <c r="A33" s="17" t="s">
        <v>92</v>
      </c>
      <c r="B33" s="16">
        <f>K39*(J43*(F21/K33)*B26)^(1/2)</f>
        <v>489.39954294420369</v>
      </c>
      <c r="C33" s="18" t="s">
        <v>40</v>
      </c>
      <c r="D33" s="10"/>
      <c r="H33" s="10"/>
      <c r="I33" s="15" t="s">
        <v>87</v>
      </c>
      <c r="J33" s="2">
        <f>(10^-3)*24.334</f>
        <v>2.4334000000000001E-2</v>
      </c>
      <c r="K33" s="2">
        <f>(10^-3)*24.362</f>
        <v>2.4361999999999998E-2</v>
      </c>
      <c r="L33" s="2">
        <f>(10^-3)*24.63</f>
        <v>2.4629999999999999E-2</v>
      </c>
      <c r="M33" s="2">
        <f>(10^-3)*26.318</f>
        <v>2.6318000000000001E-2</v>
      </c>
    </row>
    <row r="34" spans="1:13" x14ac:dyDescent="0.25">
      <c r="A34" s="17" t="s">
        <v>93</v>
      </c>
      <c r="B34" s="16">
        <f>L39*(J43*(F21/L33)*B27)^(1/2)</f>
        <v>1168.2103255400934</v>
      </c>
      <c r="C34" s="18" t="s">
        <v>40</v>
      </c>
      <c r="E34" s="31" t="s">
        <v>127</v>
      </c>
      <c r="F34" s="32"/>
      <c r="G34" s="32"/>
      <c r="H34" s="10"/>
      <c r="I34" s="15" t="s">
        <v>66</v>
      </c>
      <c r="J34" s="2">
        <v>-1.03837</v>
      </c>
      <c r="K34" s="2">
        <v>-1.03803</v>
      </c>
      <c r="L34" s="2">
        <v>-1.03403</v>
      </c>
      <c r="M34" s="2">
        <v>-1.00013</v>
      </c>
    </row>
    <row r="35" spans="1:13" x14ac:dyDescent="0.25">
      <c r="A35" s="17" t="s">
        <v>94</v>
      </c>
      <c r="B35" s="16">
        <f>(((2*J43)/(J43-1))*(F21/M33)*J10*(1-(B24/J9)^((J43-1)/(J43))))^(1/2)</f>
        <v>3127.5087202727655</v>
      </c>
      <c r="C35" s="18" t="s">
        <v>40</v>
      </c>
      <c r="E35" s="2" t="s">
        <v>128</v>
      </c>
      <c r="F35" s="2">
        <f>F23/F26</f>
        <v>8.7763826606875928E-2</v>
      </c>
      <c r="G35" s="2"/>
      <c r="I35" s="2" t="s">
        <v>67</v>
      </c>
      <c r="J35" s="2">
        <v>1.6284000000000001</v>
      </c>
      <c r="K35" s="2">
        <v>1.6307</v>
      </c>
      <c r="L35" s="2">
        <v>1.5921000000000001</v>
      </c>
      <c r="M35" s="2">
        <v>1.0039</v>
      </c>
    </row>
    <row r="36" spans="1:13" x14ac:dyDescent="0.25">
      <c r="A36" s="17" t="s">
        <v>95</v>
      </c>
      <c r="B36" s="16">
        <f>(J43*(F21/M33)*B28)^(1/2)</f>
        <v>789.23899520371367</v>
      </c>
      <c r="C36" s="18" t="s">
        <v>40</v>
      </c>
      <c r="E36" s="2" t="s">
        <v>129</v>
      </c>
      <c r="F36" s="2">
        <f>F24/F26</f>
        <v>6.2941704035874443E-2</v>
      </c>
      <c r="G36" s="2"/>
      <c r="I36" s="2" t="s">
        <v>68</v>
      </c>
      <c r="J36" s="2">
        <v>5.5834000000000001</v>
      </c>
      <c r="K36" s="2">
        <v>5.6330999999999998</v>
      </c>
      <c r="L36" s="2">
        <v>5.5307000000000004</v>
      </c>
      <c r="M36" s="2">
        <v>1.9379</v>
      </c>
    </row>
    <row r="37" spans="1:13" x14ac:dyDescent="0.25">
      <c r="A37" s="17" t="s">
        <v>96</v>
      </c>
      <c r="B37" s="16">
        <f>B35/B36</f>
        <v>3.9626890451168237</v>
      </c>
      <c r="C37" s="18"/>
      <c r="E37" s="2" t="s">
        <v>130</v>
      </c>
      <c r="F37" s="2">
        <f>B14</f>
        <v>0.84929446935724962</v>
      </c>
      <c r="G37" s="2"/>
      <c r="I37" s="2" t="s">
        <v>69</v>
      </c>
      <c r="J37" s="2">
        <v>1.1414</v>
      </c>
      <c r="K37" s="2">
        <v>1.1404000000000001</v>
      </c>
      <c r="L37" s="2">
        <v>1.1373</v>
      </c>
      <c r="M37" s="2">
        <v>1.1963999999999999</v>
      </c>
    </row>
    <row r="38" spans="1:13" x14ac:dyDescent="0.25">
      <c r="A38" s="17" t="s">
        <v>97</v>
      </c>
      <c r="B38" s="16">
        <f>(J4*B30)/B33</f>
        <v>0.13901811678081524</v>
      </c>
      <c r="C38" s="18" t="s">
        <v>21</v>
      </c>
      <c r="I38" s="2" t="s">
        <v>70</v>
      </c>
      <c r="J38" s="2">
        <v>1230.7</v>
      </c>
      <c r="K38" s="2">
        <v>1222</v>
      </c>
      <c r="L38" s="2">
        <v>1186.8</v>
      </c>
      <c r="M38" s="2">
        <v>853.1</v>
      </c>
    </row>
    <row r="39" spans="1:13" x14ac:dyDescent="0.25">
      <c r="A39" s="17" t="s">
        <v>98</v>
      </c>
      <c r="B39" s="16">
        <f>B38</f>
        <v>0.13901811678081524</v>
      </c>
      <c r="C39" s="18" t="s">
        <v>21</v>
      </c>
      <c r="E39" t="s">
        <v>134</v>
      </c>
      <c r="F39">
        <v>806</v>
      </c>
      <c r="G39" t="s">
        <v>133</v>
      </c>
      <c r="I39" s="2" t="s">
        <v>71</v>
      </c>
      <c r="J39" s="2">
        <v>0</v>
      </c>
      <c r="K39" s="2">
        <v>0.40400000000000003</v>
      </c>
      <c r="L39" s="2">
        <v>1</v>
      </c>
      <c r="M39" s="2">
        <v>3.9079999999999999</v>
      </c>
    </row>
    <row r="40" spans="1:13" x14ac:dyDescent="0.25">
      <c r="A40" s="17" t="s">
        <v>99</v>
      </c>
      <c r="B40" s="16">
        <f>((J4/2)*B31)/B34</f>
        <v>4.2994237875449245E-2</v>
      </c>
      <c r="C40" s="18" t="s">
        <v>21</v>
      </c>
      <c r="E40" t="s">
        <v>136</v>
      </c>
      <c r="F40">
        <v>1141</v>
      </c>
      <c r="G40" t="s">
        <v>133</v>
      </c>
    </row>
    <row r="41" spans="1:13" x14ac:dyDescent="0.25">
      <c r="A41" s="17" t="s">
        <v>100</v>
      </c>
      <c r="B41" s="16">
        <f>((J4/2)*B32)/B35</f>
        <v>1.5977242549169937</v>
      </c>
      <c r="C41" s="18" t="s">
        <v>21</v>
      </c>
      <c r="I41" t="s">
        <v>78</v>
      </c>
      <c r="J41" t="s">
        <v>79</v>
      </c>
      <c r="K41">
        <v>380</v>
      </c>
    </row>
    <row r="42" spans="1:13" x14ac:dyDescent="0.25">
      <c r="A42" s="17" t="s">
        <v>103</v>
      </c>
      <c r="B42" s="16">
        <f>(1/J43)*((J43*(F21/L33)*J10)/((2/(J43+1))^((J43+1)/(J43-1))))^(1/2)</f>
        <v>1765.0288158861206</v>
      </c>
      <c r="C42" s="18" t="s">
        <v>40</v>
      </c>
    </row>
    <row r="43" spans="1:13" x14ac:dyDescent="0.25">
      <c r="A43" s="17" t="s">
        <v>104</v>
      </c>
      <c r="B43" s="16">
        <f>J5/(2*B40*J9)</f>
        <v>1.7222123290487892</v>
      </c>
      <c r="C43" s="18"/>
      <c r="D43" s="13"/>
      <c r="E43" s="13"/>
      <c r="F43" s="13"/>
      <c r="I43" t="s">
        <v>131</v>
      </c>
      <c r="J43">
        <f>(J37+K37+L37+M37)/4</f>
        <v>1.153875</v>
      </c>
    </row>
    <row r="44" spans="1:13" x14ac:dyDescent="0.25">
      <c r="A44" s="17" t="s">
        <v>105</v>
      </c>
      <c r="B44" s="16">
        <f>J6/(2*J14*J9)</f>
        <v>1.8792797609843941</v>
      </c>
      <c r="C44" s="18"/>
      <c r="D44" s="13"/>
      <c r="E44" s="13"/>
      <c r="F44" s="13"/>
    </row>
    <row r="45" spans="1:13" x14ac:dyDescent="0.25">
      <c r="A45" s="17" t="s">
        <v>141</v>
      </c>
      <c r="B45" s="16">
        <f>J12*((B24-F20)/(J9))+(((2*J43^2)/(J43-1))*(2/(J43+1))^((J43+1)/(J43-1))*(1-(B24/J9)^((J43-1)/(J43))))^(1/2)</f>
        <v>1.7830793607870266</v>
      </c>
      <c r="C45" s="18"/>
      <c r="E45" s="19" t="s">
        <v>137</v>
      </c>
      <c r="F45" s="19">
        <f>J6/(F6*F19)</f>
        <v>1.2803611642772195</v>
      </c>
      <c r="I45" t="s">
        <v>154</v>
      </c>
      <c r="J45">
        <v>1.143</v>
      </c>
    </row>
    <row r="46" spans="1:13" x14ac:dyDescent="0.25">
      <c r="A46" s="17" t="s">
        <v>142</v>
      </c>
      <c r="B46" s="16">
        <f>J12*((B24-0)/(J9))+(((2*J43^2)/(J43-1))*(2/(J43+1))^((J43+1)/(J43-1))*(1-(B24/J9)^((J43-1)/(J43))))^(1/2)</f>
        <v>1.9286698810520304</v>
      </c>
      <c r="C46" s="18"/>
      <c r="I46" t="s">
        <v>167</v>
      </c>
      <c r="J46">
        <v>1.6</v>
      </c>
    </row>
    <row r="47" spans="1:13" x14ac:dyDescent="0.25">
      <c r="A47" s="17" t="s">
        <v>108</v>
      </c>
      <c r="B47" s="16">
        <f>2*J9*B40*B45</f>
        <v>3934300.9318328658</v>
      </c>
      <c r="C47" s="18" t="s">
        <v>16</v>
      </c>
      <c r="E47" s="16" t="s">
        <v>143</v>
      </c>
      <c r="F47" s="19">
        <f>(J43*(F21/M33)*B27)^(1/2)</f>
        <v>1130.1258403138343</v>
      </c>
    </row>
    <row r="48" spans="1:13" x14ac:dyDescent="0.25">
      <c r="A48" s="17" t="s">
        <v>109</v>
      </c>
      <c r="B48" s="16">
        <f>2*J9*B46*B40</f>
        <v>4255541.2154351687</v>
      </c>
      <c r="C48" s="18" t="s">
        <v>16</v>
      </c>
      <c r="E48" s="16" t="s">
        <v>144</v>
      </c>
      <c r="F48" s="19">
        <f>B34/F47</f>
        <v>1.0336993314086891</v>
      </c>
    </row>
    <row r="49" spans="1:7" x14ac:dyDescent="0.25">
      <c r="A49" s="17" t="s">
        <v>117</v>
      </c>
      <c r="B49" s="16">
        <f>B9*LN((F6)/(F6-F13))</f>
        <v>5752.514718794102</v>
      </c>
      <c r="C49" s="18" t="s">
        <v>40</v>
      </c>
    </row>
    <row r="50" spans="1:7" x14ac:dyDescent="0.25">
      <c r="A50" s="17" t="s">
        <v>118</v>
      </c>
      <c r="B50" s="16">
        <f>B10*LN((F6)/(F6-F13))</f>
        <v>6358.0425839303234</v>
      </c>
      <c r="C50" s="18" t="s">
        <v>40</v>
      </c>
      <c r="E50" s="23" t="s">
        <v>145</v>
      </c>
      <c r="F50" s="19">
        <f>J14*J12</f>
        <v>1.6056258209999998</v>
      </c>
    </row>
    <row r="51" spans="1:7" x14ac:dyDescent="0.25">
      <c r="A51" s="17" t="s">
        <v>115</v>
      </c>
      <c r="B51" s="16">
        <f>B11*LN((F6)/(F6-F13))</f>
        <v>6404.2598404980281</v>
      </c>
      <c r="C51" s="18" t="s">
        <v>40</v>
      </c>
    </row>
    <row r="52" spans="1:7" x14ac:dyDescent="0.25">
      <c r="A52" s="17" t="s">
        <v>116</v>
      </c>
      <c r="B52" s="16">
        <f>B12*LN((F6)/(F6-F13))</f>
        <v>7078.3924552872941</v>
      </c>
      <c r="C52" s="18" t="s">
        <v>40</v>
      </c>
    </row>
    <row r="53" spans="1:7" x14ac:dyDescent="0.25">
      <c r="A53" s="17" t="s">
        <v>146</v>
      </c>
      <c r="B53" s="16">
        <f>B7*F19*LN((1)/(F35*(1-F31)+F31))</f>
        <v>5752.514718794102</v>
      </c>
      <c r="C53" s="18" t="s">
        <v>40</v>
      </c>
    </row>
    <row r="54" spans="1:7" x14ac:dyDescent="0.25">
      <c r="A54" s="17" t="s">
        <v>147</v>
      </c>
      <c r="B54" s="24">
        <f>B8*F19*LN((1)/(F35*(1-F31)+F31))</f>
        <v>6358.0425839303234</v>
      </c>
      <c r="C54" s="24" t="s">
        <v>40</v>
      </c>
    </row>
    <row r="55" spans="1:7" x14ac:dyDescent="0.25">
      <c r="A55" s="17" t="s">
        <v>135</v>
      </c>
      <c r="B55" s="16">
        <f>(J11-1)/((J11/F40)+(1/F39))</f>
        <v>474.53923415693663</v>
      </c>
      <c r="C55" s="18" t="s">
        <v>133</v>
      </c>
      <c r="E55" t="s">
        <v>149</v>
      </c>
      <c r="F55">
        <f>B5*F19*LN((1)/(F35*(1-F31)+F31))</f>
        <v>6404.2598404980281</v>
      </c>
    </row>
    <row r="56" spans="1:7" x14ac:dyDescent="0.25">
      <c r="A56" s="17" t="s">
        <v>151</v>
      </c>
      <c r="B56" s="16">
        <f>B9*B55</f>
        <v>1442482.7192333732</v>
      </c>
      <c r="C56" s="18" t="s">
        <v>148</v>
      </c>
      <c r="E56" t="s">
        <v>150</v>
      </c>
      <c r="F56">
        <f>B6*F19*LN((1)/(F35*(1-F31)+F31))</f>
        <v>7078.3924552872941</v>
      </c>
    </row>
    <row r="57" spans="1:7" x14ac:dyDescent="0.25">
      <c r="A57" s="17" t="s">
        <v>152</v>
      </c>
      <c r="B57" s="16">
        <f>B10*B55</f>
        <v>1594323.0054684652</v>
      </c>
      <c r="C57" s="18" t="s">
        <v>148</v>
      </c>
    </row>
    <row r="58" spans="1:7" x14ac:dyDescent="0.25">
      <c r="A58" s="17" t="s">
        <v>138</v>
      </c>
      <c r="B58" s="16">
        <f>B17+(J14*J12)*(M26-F20)*(1/J4)</f>
        <v>3359.728533934458</v>
      </c>
      <c r="C58" s="18" t="s">
        <v>40</v>
      </c>
    </row>
    <row r="59" spans="1:7" x14ac:dyDescent="0.25">
      <c r="A59" s="17" t="s">
        <v>155</v>
      </c>
      <c r="B59" s="16">
        <f>J45*B40</f>
        <v>4.9142413891638488E-2</v>
      </c>
      <c r="C59" s="18" t="s">
        <v>156</v>
      </c>
    </row>
    <row r="60" spans="1:7" x14ac:dyDescent="0.25">
      <c r="A60" s="17" t="s">
        <v>157</v>
      </c>
      <c r="B60" s="16">
        <f>(J45*B40)/(J4*F19*1.6225)</f>
        <v>2.4706202784818328E-6</v>
      </c>
      <c r="C60" s="18" t="s">
        <v>19</v>
      </c>
    </row>
    <row r="61" spans="1:7" x14ac:dyDescent="0.25">
      <c r="A61" s="17" t="s">
        <v>162</v>
      </c>
      <c r="B61" s="16">
        <f>B41/B40</f>
        <v>37.161357750903015</v>
      </c>
      <c r="C61" s="18"/>
    </row>
    <row r="62" spans="1:7" x14ac:dyDescent="0.25">
      <c r="A62" s="26" t="s">
        <v>164</v>
      </c>
      <c r="B62" s="27">
        <f>(B40/PI())^(1/2)</f>
        <v>0.11698500316148677</v>
      </c>
      <c r="C62" s="28" t="s">
        <v>22</v>
      </c>
      <c r="E62" t="s">
        <v>172</v>
      </c>
      <c r="F62">
        <v>39.370100000000001</v>
      </c>
      <c r="G62" t="s">
        <v>171</v>
      </c>
    </row>
    <row r="63" spans="1:7" x14ac:dyDescent="0.25">
      <c r="A63" s="26" t="s">
        <v>166</v>
      </c>
      <c r="B63" s="27">
        <f>(B41/PI())^(1/2)</f>
        <v>0.71314193940316684</v>
      </c>
      <c r="C63" s="28" t="s">
        <v>22</v>
      </c>
    </row>
    <row r="64" spans="1:7" x14ac:dyDescent="0.25">
      <c r="A64" s="26" t="s">
        <v>163</v>
      </c>
      <c r="B64" s="27">
        <f>1.5*B62</f>
        <v>0.17547750474223017</v>
      </c>
      <c r="C64" s="28" t="s">
        <v>22</v>
      </c>
    </row>
    <row r="65" spans="1:5" x14ac:dyDescent="0.25">
      <c r="A65" s="26" t="s">
        <v>165</v>
      </c>
      <c r="B65" s="27">
        <f>0.328*B62</f>
        <v>3.8371081036967666E-2</v>
      </c>
      <c r="C65" s="28" t="s">
        <v>22</v>
      </c>
    </row>
    <row r="66" spans="1:5" x14ac:dyDescent="0.25">
      <c r="A66" s="9" t="s">
        <v>168</v>
      </c>
      <c r="B66" s="29">
        <f>(J46^(1/2))*B62</f>
        <v>0.14797562482891874</v>
      </c>
      <c r="C66" s="29" t="s">
        <v>22</v>
      </c>
    </row>
    <row r="67" spans="1:5" x14ac:dyDescent="0.25">
      <c r="A67" s="26" t="s">
        <v>169</v>
      </c>
      <c r="B67" s="27">
        <f>((((B64*F62)^(2))-((B66*F62)-((B62+B64)*F62))^(2))^(1/2))/((B66*F62)-((B62+B64)*F62))</f>
        <v>-0.68918774072855193</v>
      </c>
      <c r="C67" s="28"/>
    </row>
    <row r="68" spans="1:5" x14ac:dyDescent="0.25">
      <c r="A68" s="26" t="s">
        <v>170</v>
      </c>
      <c r="B68" s="27">
        <f>ATAN(B67)*180/PI( )</f>
        <v>-34.574135208511848</v>
      </c>
      <c r="C68" s="28" t="s">
        <v>173</v>
      </c>
    </row>
    <row r="69" spans="1:5" x14ac:dyDescent="0.25">
      <c r="A69" s="26" t="s">
        <v>174</v>
      </c>
      <c r="B69" s="27">
        <f>B68*-1</f>
        <v>34.574135208511848</v>
      </c>
      <c r="C69" s="28" t="s">
        <v>173</v>
      </c>
    </row>
    <row r="70" spans="1:5" x14ac:dyDescent="0.25">
      <c r="A70" s="26" t="s">
        <v>175</v>
      </c>
      <c r="B70" s="27">
        <f>(B62*((J46)^(1/2)-1)+B64*(_xlfn.SEC(RADIANS(B69)))-1)/(ATAN(RADIANS(B69)))</f>
        <v>-1.3922251964463217</v>
      </c>
      <c r="C70" s="28" t="s">
        <v>176</v>
      </c>
      <c r="D70" s="30"/>
      <c r="E70" s="30" t="s">
        <v>177</v>
      </c>
    </row>
  </sheetData>
  <mergeCells count="6">
    <mergeCell ref="E34:G34"/>
    <mergeCell ref="I23:M23"/>
    <mergeCell ref="I2:K2"/>
    <mergeCell ref="E2:G2"/>
    <mergeCell ref="E9:G9"/>
    <mergeCell ref="E29:G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D43C-C78F-4EC4-9DA9-E28CF73C886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gerais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Andrade</dc:creator>
  <cp:lastModifiedBy>Gabriel de Andrade</cp:lastModifiedBy>
  <dcterms:created xsi:type="dcterms:W3CDTF">2019-04-17T14:20:34Z</dcterms:created>
  <dcterms:modified xsi:type="dcterms:W3CDTF">2019-05-17T02:28:45Z</dcterms:modified>
</cp:coreProperties>
</file>