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checkCompatibility="1"/>
  <bookViews>
    <workbookView xWindow="480" yWindow="0" windowWidth="19320" windowHeight="10695" activeTab="2"/>
  </bookViews>
  <sheets>
    <sheet name="Investimento inicial" sheetId="3" r:id="rId1"/>
    <sheet name="Plan1" sheetId="7" r:id="rId2"/>
    <sheet name="Financeiro PIN (2)" sheetId="4" r:id="rId3"/>
    <sheet name="DRE-Mensal" sheetId="6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DemoMode" hidden="1">FALSE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_Reports_ReportsList">1</definedName>
    <definedName name="RiskAfterRecalcMacro" hidden="1">""</definedName>
    <definedName name="RiskAfterSimMacro" hidden="1">""</definedName>
    <definedName name="RiskAutomaticallyGenerateReports">FALSE</definedName>
    <definedName name="RiskAutomaticResultsDisplayMode">2</definedName>
    <definedName name="RiskBeforeRecalcMacro" hidden="1">""</definedName>
    <definedName name="RiskBeforeSimMacro" hidden="1">""</definedName>
    <definedName name="RiskCollectDistributionSamples" hidden="1">2</definedName>
    <definedName name="RiskConvergenceConfidenceLevel">0.95</definedName>
    <definedName name="RiskConvergencePercentileToTest">0.9</definedName>
    <definedName name="RiskConvergencePerformMeanTest">TRUE</definedName>
    <definedName name="RiskConvergencePerformPercentileTest">FALSE</definedName>
    <definedName name="RiskConvergencePerformStdDeviationTest">FALSE</definedName>
    <definedName name="RiskConvergenceTestAllOutputs">-1</definedName>
    <definedName name="RiskConvergenceTestingPeriod">100</definedName>
    <definedName name="RiskConvergenceTolerance">0.03</definedName>
    <definedName name="RiskDemoMode">FALSE</definedName>
    <definedName name="RiskFixedSeed" hidden="1">1</definedName>
    <definedName name="RiskHasSettings" hidden="1">5</definedName>
    <definedName name="RiskLiveUpdate">FALSE</definedName>
    <definedName name="RiskLiveUpdatePeriod">-1</definedName>
    <definedName name="RiskMinimizeOnStart" hidden="1">FALSE</definedName>
    <definedName name="RiskMonitorConvergence" hidden="1">FALSE</definedName>
    <definedName name="RiskNumIterations" hidden="1">100</definedName>
    <definedName name="RiskNumSimulations" hidden="1">1</definedName>
    <definedName name="RiskPauseOnError" hidden="1">FALSE</definedName>
    <definedName name="RiskRandomNumberGenerator">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imNameCount">0</definedName>
    <definedName name="RiskStandardRecalc" hidden="1">1</definedName>
    <definedName name="RiskStdRecalcBehavior">0</definedName>
    <definedName name="RiskStdRecalcWithoutRiskStatic">0</definedName>
    <definedName name="RiskStdRecalcWithoutRiskStaticPercentile">0.5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 concurrentCalc="0"/>
  <pivotCaches>
    <pivotCache cacheId="0" r:id="rId6"/>
  </pivotCaches>
</workbook>
</file>

<file path=xl/calcChain.xml><?xml version="1.0" encoding="utf-8"?>
<calcChain xmlns="http://schemas.openxmlformats.org/spreadsheetml/2006/main">
  <c r="C49" i="4"/>
  <c r="C48"/>
  <c r="E6" i="6"/>
  <c r="F6"/>
  <c r="G6"/>
  <c r="H6"/>
  <c r="I6"/>
  <c r="J6"/>
  <c r="K6"/>
  <c r="L6"/>
  <c r="M6"/>
  <c r="N6"/>
  <c r="O6"/>
  <c r="D6"/>
  <c r="H6" i="4"/>
  <c r="G6"/>
  <c r="F6"/>
  <c r="E6"/>
  <c r="D6"/>
  <c r="G11" i="7"/>
  <c r="F11"/>
  <c r="E11"/>
  <c r="D11"/>
  <c r="C11"/>
  <c r="B12"/>
  <c r="N7" i="6"/>
  <c r="N13"/>
  <c r="N14"/>
  <c r="E16"/>
  <c r="F16"/>
  <c r="G16"/>
  <c r="H16"/>
  <c r="I16"/>
  <c r="J16"/>
  <c r="K16"/>
  <c r="L16"/>
  <c r="M16"/>
  <c r="N16"/>
  <c r="N17"/>
  <c r="N19"/>
  <c r="N20"/>
  <c r="C13"/>
  <c r="C17"/>
  <c r="C19"/>
  <c r="C20"/>
  <c r="E7"/>
  <c r="E13"/>
  <c r="E14"/>
  <c r="E17"/>
  <c r="E19"/>
  <c r="E20"/>
  <c r="F7"/>
  <c r="F13"/>
  <c r="F14"/>
  <c r="F17"/>
  <c r="F19"/>
  <c r="F20"/>
  <c r="G7"/>
  <c r="G13"/>
  <c r="G14"/>
  <c r="G17"/>
  <c r="G19"/>
  <c r="G20"/>
  <c r="H7"/>
  <c r="H13"/>
  <c r="H14"/>
  <c r="H17"/>
  <c r="H19"/>
  <c r="H20"/>
  <c r="I7"/>
  <c r="I13"/>
  <c r="I14"/>
  <c r="I17"/>
  <c r="I19"/>
  <c r="I20"/>
  <c r="J7"/>
  <c r="J13"/>
  <c r="J14"/>
  <c r="J17"/>
  <c r="J19"/>
  <c r="J20"/>
  <c r="K7"/>
  <c r="K13"/>
  <c r="K14"/>
  <c r="K17"/>
  <c r="K19"/>
  <c r="K20"/>
  <c r="L7"/>
  <c r="L13"/>
  <c r="L14"/>
  <c r="L17"/>
  <c r="L19"/>
  <c r="L20"/>
  <c r="M7"/>
  <c r="M13"/>
  <c r="M14"/>
  <c r="M17"/>
  <c r="M19"/>
  <c r="M20"/>
  <c r="O7"/>
  <c r="O13"/>
  <c r="O14"/>
  <c r="O16"/>
  <c r="O17"/>
  <c r="O19"/>
  <c r="O20"/>
  <c r="D7"/>
  <c r="D13"/>
  <c r="D14"/>
  <c r="D17"/>
  <c r="D19"/>
  <c r="D20"/>
  <c r="P14"/>
  <c r="P15"/>
  <c r="P16"/>
  <c r="P4"/>
  <c r="C6"/>
  <c r="P6"/>
  <c r="P7"/>
  <c r="P13"/>
  <c r="P17"/>
  <c r="P19"/>
  <c r="P20"/>
  <c r="I21"/>
  <c r="J21"/>
  <c r="K21"/>
  <c r="L21"/>
  <c r="M21"/>
  <c r="N21"/>
  <c r="O21"/>
  <c r="P21"/>
  <c r="C5"/>
  <c r="H21"/>
  <c r="G21"/>
  <c r="F21"/>
  <c r="E21"/>
  <c r="D21"/>
  <c r="C21"/>
  <c r="C7"/>
  <c r="E11" i="3"/>
  <c r="D14" i="4"/>
  <c r="E14"/>
  <c r="F14"/>
  <c r="G14"/>
  <c r="H14"/>
  <c r="E7" i="3"/>
  <c r="E9"/>
  <c r="E10"/>
  <c r="E13"/>
  <c r="E18"/>
  <c r="E19"/>
  <c r="E27" i="4"/>
  <c r="E28"/>
  <c r="E29"/>
  <c r="E30"/>
  <c r="E15"/>
  <c r="E16"/>
  <c r="E31"/>
  <c r="E34"/>
  <c r="E7"/>
  <c r="E13"/>
  <c r="E17"/>
  <c r="E19"/>
  <c r="E20"/>
  <c r="E35"/>
  <c r="E36"/>
  <c r="E37"/>
  <c r="E38"/>
  <c r="E40"/>
  <c r="E44"/>
  <c r="D27"/>
  <c r="D28"/>
  <c r="D29"/>
  <c r="D30"/>
  <c r="D31"/>
  <c r="D34"/>
  <c r="D7"/>
  <c r="D13"/>
  <c r="D17"/>
  <c r="D19"/>
  <c r="D20"/>
  <c r="D35"/>
  <c r="D36"/>
  <c r="D37"/>
  <c r="D38"/>
  <c r="D40"/>
  <c r="D44"/>
  <c r="C27"/>
  <c r="C5"/>
  <c r="C28"/>
  <c r="C6"/>
  <c r="C29"/>
  <c r="C30"/>
  <c r="C32"/>
  <c r="C33"/>
  <c r="C31"/>
  <c r="C34"/>
  <c r="C13"/>
  <c r="C17"/>
  <c r="C19"/>
  <c r="C20"/>
  <c r="C35"/>
  <c r="C36"/>
  <c r="C37"/>
  <c r="C38"/>
  <c r="C40"/>
  <c r="C44"/>
  <c r="C45"/>
  <c r="D45"/>
  <c r="E45"/>
  <c r="F27"/>
  <c r="F28"/>
  <c r="F29"/>
  <c r="F30"/>
  <c r="F15"/>
  <c r="F16"/>
  <c r="F31"/>
  <c r="F34"/>
  <c r="F7"/>
  <c r="F13"/>
  <c r="F17"/>
  <c r="F19"/>
  <c r="F20"/>
  <c r="F35"/>
  <c r="F36"/>
  <c r="F37"/>
  <c r="F38"/>
  <c r="F40"/>
  <c r="F44"/>
  <c r="E51"/>
  <c r="F45"/>
  <c r="G27"/>
  <c r="G28"/>
  <c r="G29"/>
  <c r="G30"/>
  <c r="G15"/>
  <c r="G16"/>
  <c r="G31"/>
  <c r="G34"/>
  <c r="G7"/>
  <c r="G13"/>
  <c r="G17"/>
  <c r="G19"/>
  <c r="G20"/>
  <c r="G35"/>
  <c r="G36"/>
  <c r="G37"/>
  <c r="G38"/>
  <c r="G40"/>
  <c r="G44"/>
  <c r="G45"/>
  <c r="H27"/>
  <c r="H28"/>
  <c r="H29"/>
  <c r="H30"/>
  <c r="H15"/>
  <c r="H16"/>
  <c r="H31"/>
  <c r="H34"/>
  <c r="H7"/>
  <c r="H13"/>
  <c r="H17"/>
  <c r="H19"/>
  <c r="H20"/>
  <c r="H35"/>
  <c r="H36"/>
  <c r="H37"/>
  <c r="H38"/>
  <c r="H40"/>
  <c r="H44"/>
  <c r="H45"/>
  <c r="C51"/>
  <c r="C41"/>
  <c r="D41"/>
  <c r="E41"/>
  <c r="E50"/>
  <c r="F41"/>
  <c r="G41"/>
  <c r="H41"/>
  <c r="C50"/>
  <c r="H33"/>
  <c r="G33"/>
  <c r="F33"/>
  <c r="E33"/>
  <c r="D33"/>
  <c r="H32"/>
  <c r="G32"/>
  <c r="F32"/>
  <c r="E32"/>
  <c r="D32"/>
  <c r="H21"/>
  <c r="G21"/>
  <c r="F21"/>
  <c r="E21"/>
  <c r="D21"/>
  <c r="C21"/>
  <c r="C7"/>
</calcChain>
</file>

<file path=xl/sharedStrings.xml><?xml version="1.0" encoding="utf-8"?>
<sst xmlns="http://schemas.openxmlformats.org/spreadsheetml/2006/main" count="144" uniqueCount="99">
  <si>
    <t>Ano 1</t>
  </si>
  <si>
    <t>Itens</t>
  </si>
  <si>
    <t>Ano 2</t>
  </si>
  <si>
    <t>Ano 3</t>
  </si>
  <si>
    <t>Ano 4</t>
  </si>
  <si>
    <t>Ano 5</t>
  </si>
  <si>
    <t xml:space="preserve">(=) Receita Líquida de Vendas </t>
  </si>
  <si>
    <t xml:space="preserve">(-) Juros de Financiamentos </t>
  </si>
  <si>
    <t>(=) Lucro antes do Imposto de Renda</t>
  </si>
  <si>
    <t xml:space="preserve">(=) Lucro Líquido </t>
  </si>
  <si>
    <t>(=) Fluxo de Caixa</t>
  </si>
  <si>
    <t>(-) Repasse para parceiros comerciais</t>
  </si>
  <si>
    <t>(-) Abertura da empresa</t>
  </si>
  <si>
    <t>(-) Outras despesas Operacionais</t>
  </si>
  <si>
    <t>VPL</t>
  </si>
  <si>
    <t>TIR</t>
  </si>
  <si>
    <t>Ano 0</t>
  </si>
  <si>
    <t>Taxa Mínima de Atratividade (Taxa Retorno)</t>
  </si>
  <si>
    <t>(-) Custos com hardware/infra-estrutura/software</t>
  </si>
  <si>
    <t>Fluxo Caixa Acumulado</t>
  </si>
  <si>
    <t>PAYBACK</t>
  </si>
  <si>
    <t>Meses</t>
  </si>
  <si>
    <t>Anos</t>
  </si>
  <si>
    <t>VP Fluxo Caixa</t>
  </si>
  <si>
    <t>Fluxo Caixa Acumulado VP</t>
  </si>
  <si>
    <t>Custo Capital</t>
  </si>
  <si>
    <t>PAYBACK DESCONTADO</t>
  </si>
  <si>
    <t>(=) Lucro Operacional</t>
  </si>
  <si>
    <t>(=) Lucro Operacional Bruto</t>
  </si>
  <si>
    <t>Fluxo de Caixa</t>
  </si>
  <si>
    <t>( - ) Custo Total</t>
  </si>
  <si>
    <t xml:space="preserve"> = Lucro Operacional</t>
  </si>
  <si>
    <t xml:space="preserve"> = Lucro após IR e CS</t>
  </si>
  <si>
    <t xml:space="preserve"> = Disponibilidade Líquida</t>
  </si>
  <si>
    <t>(+) Receita Bruta</t>
  </si>
  <si>
    <t>(+) Receita Líquida</t>
  </si>
  <si>
    <t>( - ) Depreciação / Amortização</t>
  </si>
  <si>
    <t>(-) Depreciações / Amortizações</t>
  </si>
  <si>
    <t>(-) Custos operacionais (2 meses)</t>
  </si>
  <si>
    <t>(-) Salários + encargos + benefícios</t>
  </si>
  <si>
    <t>1.</t>
  </si>
  <si>
    <t>Depesas Pré-operacionais</t>
  </si>
  <si>
    <t>Valor</t>
  </si>
  <si>
    <t>1.1.</t>
  </si>
  <si>
    <t>Custo de abertura da empresa</t>
  </si>
  <si>
    <t>1.2.</t>
  </si>
  <si>
    <t>1.3.</t>
  </si>
  <si>
    <t>Subtotal</t>
  </si>
  <si>
    <t>2.</t>
  </si>
  <si>
    <t>Investimentos Fixos</t>
  </si>
  <si>
    <t>Qtde.</t>
  </si>
  <si>
    <t>Total</t>
  </si>
  <si>
    <t>2.1.</t>
  </si>
  <si>
    <t>Escritório virtual</t>
  </si>
  <si>
    <t>2.2.</t>
  </si>
  <si>
    <t>Servidor na Amazon com o Site/Plataforma</t>
  </si>
  <si>
    <t>3.</t>
  </si>
  <si>
    <t>Capital de Giro Inicial</t>
  </si>
  <si>
    <t>3.1.</t>
  </si>
  <si>
    <t>Custo Operacional (2 meses)</t>
  </si>
  <si>
    <t>Total (1. + 2. +3.)</t>
  </si>
  <si>
    <t>Criação do logo da empresa</t>
  </si>
  <si>
    <t>(-) Custo fixo</t>
  </si>
  <si>
    <t>(-) Custo variável</t>
  </si>
  <si>
    <t>Registro da empresa no INPI</t>
  </si>
  <si>
    <t>(-) Escritório virtual</t>
  </si>
  <si>
    <t>( - ) Imposto de Renda e Contribuição Social (24%)</t>
  </si>
  <si>
    <t>(-) Impostos e Contribuições sobre Lucro (24%)</t>
  </si>
  <si>
    <t>(+) Receita Bruta (Comissionamento)</t>
  </si>
  <si>
    <t>2.3</t>
  </si>
  <si>
    <t>Desenvolvimento WebSite</t>
  </si>
  <si>
    <t>(-) Custos com desenvolvimento de WebSite</t>
  </si>
  <si>
    <t>Mês 01</t>
  </si>
  <si>
    <t>Mês 02</t>
  </si>
  <si>
    <t>Mês 03</t>
  </si>
  <si>
    <t>Mês 04</t>
  </si>
  <si>
    <t>Mês 05</t>
  </si>
  <si>
    <t>Mês 06</t>
  </si>
  <si>
    <t>Mês 07</t>
  </si>
  <si>
    <t>Mês 08</t>
  </si>
  <si>
    <t>Mês 09</t>
  </si>
  <si>
    <t>Mês 10</t>
  </si>
  <si>
    <t>Mês 11</t>
  </si>
  <si>
    <t>Mês 12</t>
  </si>
  <si>
    <t>Demonstrativo de Resultados - Mensal</t>
  </si>
  <si>
    <t>Rótulos de Linha</t>
  </si>
  <si>
    <t>Total geral</t>
  </si>
  <si>
    <t>Soma de Ano 0</t>
  </si>
  <si>
    <t>Valores</t>
  </si>
  <si>
    <t>Soma de Ano 1</t>
  </si>
  <si>
    <t>Soma de Ano 2</t>
  </si>
  <si>
    <t>Soma de Ano 3</t>
  </si>
  <si>
    <t>Soma de Ano 4</t>
  </si>
  <si>
    <t>Soma de Ano 5</t>
  </si>
  <si>
    <t>Tipo Custo</t>
  </si>
  <si>
    <t>Custo fixo</t>
  </si>
  <si>
    <t>Custo variável</t>
  </si>
  <si>
    <t>(-) Impostos (Serviços - 6%)</t>
  </si>
  <si>
    <t>Demonstrativo de Resultados Anual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</si>
</sst>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#,##0.0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Weissach"/>
    </font>
    <font>
      <sz val="12"/>
      <name val="Weissach"/>
    </font>
    <font>
      <b/>
      <i/>
      <sz val="12"/>
      <name val="Weissach"/>
    </font>
    <font>
      <i/>
      <sz val="12"/>
      <name val="Weissach"/>
    </font>
    <font>
      <b/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6"/>
      <name val="Weissach"/>
    </font>
    <font>
      <b/>
      <sz val="16"/>
      <name val="Weissach"/>
    </font>
    <font>
      <b/>
      <i/>
      <sz val="16"/>
      <name val="Weissach"/>
    </font>
    <font>
      <i/>
      <sz val="16"/>
      <name val="Weissach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name val="Weissach"/>
    </font>
    <font>
      <sz val="11"/>
      <name val="Weissach"/>
    </font>
    <font>
      <b/>
      <i/>
      <sz val="11"/>
      <name val="Weissach"/>
    </font>
    <font>
      <i/>
      <sz val="11"/>
      <name val="Weissach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rgb="FFFF0000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12">
    <xf numFmtId="0" fontId="0" fillId="0" borderId="0" xfId="0"/>
    <xf numFmtId="37" fontId="2" fillId="0" borderId="0" xfId="3" applyNumberFormat="1" applyFont="1" applyAlignment="1">
      <alignment horizontal="right"/>
    </xf>
    <xf numFmtId="0" fontId="2" fillId="0" borderId="0" xfId="3" applyFont="1"/>
    <xf numFmtId="0" fontId="2" fillId="0" borderId="0" xfId="3" applyFont="1" applyAlignment="1">
      <alignment vertical="center"/>
    </xf>
    <xf numFmtId="0" fontId="2" fillId="0" borderId="0" xfId="3" applyNumberFormat="1" applyFont="1" applyBorder="1" applyAlignment="1">
      <alignment horizontal="right"/>
    </xf>
    <xf numFmtId="0" fontId="2" fillId="0" borderId="0" xfId="3" applyNumberFormat="1" applyFont="1" applyAlignment="1">
      <alignment horizontal="right"/>
    </xf>
    <xf numFmtId="0" fontId="3" fillId="2" borderId="0" xfId="3" applyFont="1" applyFill="1" applyBorder="1" applyAlignment="1">
      <alignment vertical="center"/>
    </xf>
    <xf numFmtId="0" fontId="3" fillId="2" borderId="1" xfId="3" applyFont="1" applyFill="1" applyBorder="1" applyAlignment="1">
      <alignment horizontal="center" vertical="center"/>
    </xf>
    <xf numFmtId="37" fontId="3" fillId="2" borderId="1" xfId="3" applyNumberFormat="1" applyFont="1" applyFill="1" applyBorder="1" applyAlignment="1">
      <alignment horizontal="right" vertical="center"/>
    </xf>
    <xf numFmtId="0" fontId="4" fillId="2" borderId="0" xfId="3" applyFont="1" applyFill="1" applyBorder="1" applyAlignment="1">
      <alignment vertical="center"/>
    </xf>
    <xf numFmtId="37" fontId="4" fillId="2" borderId="0" xfId="1" applyNumberFormat="1" applyFont="1" applyFill="1" applyBorder="1" applyAlignment="1">
      <alignment horizontal="right" vertical="center"/>
    </xf>
    <xf numFmtId="0" fontId="4" fillId="2" borderId="0" xfId="3" applyFont="1" applyFill="1" applyBorder="1" applyAlignment="1">
      <alignment horizontal="left" vertical="center"/>
    </xf>
    <xf numFmtId="0" fontId="2" fillId="0" borderId="0" xfId="3" applyFont="1" applyBorder="1"/>
    <xf numFmtId="0" fontId="7" fillId="0" borderId="0" xfId="3" applyFont="1" applyAlignment="1">
      <alignment horizontal="right" vertical="center"/>
    </xf>
    <xf numFmtId="9" fontId="2" fillId="0" borderId="0" xfId="3" applyNumberFormat="1" applyFont="1"/>
    <xf numFmtId="164" fontId="2" fillId="0" borderId="0" xfId="2" applyFont="1" applyAlignment="1">
      <alignment horizontal="right"/>
    </xf>
    <xf numFmtId="37" fontId="7" fillId="3" borderId="5" xfId="2" applyNumberFormat="1" applyFont="1" applyFill="1" applyBorder="1" applyAlignment="1">
      <alignment horizontal="right" vertical="center"/>
    </xf>
    <xf numFmtId="9" fontId="7" fillId="3" borderId="5" xfId="5" applyFont="1" applyFill="1" applyBorder="1" applyAlignment="1">
      <alignment horizontal="right" vertical="center"/>
    </xf>
    <xf numFmtId="3" fontId="7" fillId="3" borderId="5" xfId="5" applyNumberFormat="1" applyFont="1" applyFill="1" applyBorder="1" applyAlignment="1">
      <alignment horizontal="right" vertical="center"/>
    </xf>
    <xf numFmtId="39" fontId="2" fillId="0" borderId="0" xfId="3" applyNumberFormat="1" applyFont="1" applyAlignment="1">
      <alignment horizontal="right"/>
    </xf>
    <xf numFmtId="37" fontId="7" fillId="0" borderId="0" xfId="3" applyNumberFormat="1" applyFont="1" applyAlignment="1">
      <alignment horizontal="left" vertical="center"/>
    </xf>
    <xf numFmtId="0" fontId="4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37" fontId="5" fillId="0" borderId="0" xfId="1" applyNumberFormat="1" applyFont="1" applyFill="1" applyBorder="1" applyAlignment="1">
      <alignment horizontal="right" vertical="center"/>
    </xf>
    <xf numFmtId="0" fontId="2" fillId="0" borderId="0" xfId="3" applyFont="1" applyFill="1" applyAlignment="1">
      <alignment vertical="center"/>
    </xf>
    <xf numFmtId="9" fontId="5" fillId="0" borderId="0" xfId="5" applyFont="1" applyFill="1" applyBorder="1" applyAlignment="1">
      <alignment horizontal="right" vertical="center"/>
    </xf>
    <xf numFmtId="0" fontId="8" fillId="0" borderId="8" xfId="3" applyFont="1" applyBorder="1" applyAlignment="1">
      <alignment vertical="center"/>
    </xf>
    <xf numFmtId="0" fontId="9" fillId="0" borderId="8" xfId="3" applyFont="1" applyBorder="1"/>
    <xf numFmtId="37" fontId="9" fillId="0" borderId="8" xfId="3" applyNumberFormat="1" applyFont="1" applyBorder="1" applyAlignment="1">
      <alignment horizontal="right"/>
    </xf>
    <xf numFmtId="37" fontId="3" fillId="2" borderId="1" xfId="3" applyNumberFormat="1" applyFont="1" applyFill="1" applyBorder="1" applyAlignment="1">
      <alignment horizontal="left" vertical="center"/>
    </xf>
    <xf numFmtId="0" fontId="2" fillId="0" borderId="0" xfId="3" applyNumberFormat="1" applyFont="1" applyBorder="1" applyAlignment="1">
      <alignment horizontal="right" vertical="center"/>
    </xf>
    <xf numFmtId="0" fontId="2" fillId="0" borderId="0" xfId="3" applyNumberFormat="1" applyFont="1" applyAlignment="1">
      <alignment horizontal="right" vertical="center"/>
    </xf>
    <xf numFmtId="0" fontId="9" fillId="0" borderId="0" xfId="3" applyFont="1" applyAlignment="1">
      <alignment vertical="center"/>
    </xf>
    <xf numFmtId="0" fontId="2" fillId="0" borderId="0" xfId="3" applyFont="1" applyBorder="1" applyAlignment="1">
      <alignment vertical="center"/>
    </xf>
    <xf numFmtId="0" fontId="7" fillId="0" borderId="0" xfId="3" applyNumberFormat="1" applyFont="1" applyBorder="1" applyAlignment="1">
      <alignment horizontal="right"/>
    </xf>
    <xf numFmtId="0" fontId="10" fillId="0" borderId="0" xfId="0" applyFont="1"/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43" fontId="10" fillId="2" borderId="0" xfId="1" applyFont="1" applyFill="1" applyBorder="1" applyAlignment="1">
      <alignment vertical="center"/>
    </xf>
    <xf numFmtId="43" fontId="10" fillId="2" borderId="0" xfId="1" applyFont="1" applyFill="1"/>
    <xf numFmtId="0" fontId="10" fillId="2" borderId="0" xfId="0" applyFont="1" applyFill="1" applyBorder="1" applyAlignment="1">
      <alignment horizontal="left" vertical="center"/>
    </xf>
    <xf numFmtId="9" fontId="10" fillId="2" borderId="0" xfId="1" applyNumberFormat="1" applyFont="1" applyFill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left" vertical="center"/>
    </xf>
    <xf numFmtId="43" fontId="12" fillId="3" borderId="2" xfId="1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43" fontId="11" fillId="2" borderId="6" xfId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/>
    </xf>
    <xf numFmtId="1" fontId="10" fillId="2" borderId="0" xfId="1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  <xf numFmtId="43" fontId="13" fillId="2" borderId="2" xfId="1" applyFont="1" applyFill="1" applyBorder="1" applyAlignment="1">
      <alignment vertical="center"/>
    </xf>
    <xf numFmtId="9" fontId="11" fillId="2" borderId="6" xfId="1" applyNumberFormat="1" applyFont="1" applyFill="1" applyBorder="1" applyAlignment="1">
      <alignment vertical="center"/>
    </xf>
    <xf numFmtId="0" fontId="11" fillId="2" borderId="6" xfId="0" applyFont="1" applyFill="1" applyBorder="1"/>
    <xf numFmtId="0" fontId="10" fillId="2" borderId="0" xfId="0" applyFont="1" applyFill="1" applyBorder="1"/>
    <xf numFmtId="0" fontId="10" fillId="2" borderId="2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7" xfId="0" applyFont="1" applyFill="1" applyBorder="1" applyAlignment="1">
      <alignment vertical="center"/>
    </xf>
    <xf numFmtId="9" fontId="13" fillId="2" borderId="7" xfId="1" applyNumberFormat="1" applyFont="1" applyFill="1" applyBorder="1" applyAlignment="1">
      <alignment vertical="center"/>
    </xf>
    <xf numFmtId="0" fontId="13" fillId="2" borderId="7" xfId="0" applyFont="1" applyFill="1" applyBorder="1"/>
    <xf numFmtId="43" fontId="13" fillId="2" borderId="7" xfId="1" applyFont="1" applyFill="1" applyBorder="1" applyAlignment="1">
      <alignment vertical="center"/>
    </xf>
    <xf numFmtId="10" fontId="7" fillId="3" borderId="5" xfId="5" applyNumberFormat="1" applyFont="1" applyFill="1" applyBorder="1" applyAlignment="1">
      <alignment horizontal="right" vertical="center"/>
    </xf>
    <xf numFmtId="9" fontId="7" fillId="11" borderId="0" xfId="5" applyNumberFormat="1" applyFont="1" applyFill="1" applyBorder="1" applyAlignment="1">
      <alignment horizontal="right" vertical="center"/>
    </xf>
    <xf numFmtId="37" fontId="7" fillId="11" borderId="0" xfId="2" applyNumberFormat="1" applyFont="1" applyFill="1" applyBorder="1" applyAlignment="1">
      <alignment horizontal="right" vertical="center"/>
    </xf>
    <xf numFmtId="41" fontId="4" fillId="2" borderId="0" xfId="1" applyNumberFormat="1" applyFont="1" applyFill="1" applyBorder="1" applyAlignment="1">
      <alignment horizontal="right" vertical="center"/>
    </xf>
    <xf numFmtId="41" fontId="3" fillId="6" borderId="0" xfId="3" applyNumberFormat="1" applyFont="1" applyFill="1" applyBorder="1" applyAlignment="1">
      <alignment vertical="center"/>
    </xf>
    <xf numFmtId="41" fontId="3" fillId="6" borderId="0" xfId="1" applyNumberFormat="1" applyFont="1" applyFill="1" applyBorder="1" applyAlignment="1">
      <alignment horizontal="right" vertical="center"/>
    </xf>
    <xf numFmtId="41" fontId="4" fillId="2" borderId="0" xfId="3" applyNumberFormat="1" applyFont="1" applyFill="1" applyBorder="1" applyAlignment="1">
      <alignment vertical="center"/>
    </xf>
    <xf numFmtId="41" fontId="4" fillId="2" borderId="2" xfId="3" applyNumberFormat="1" applyFont="1" applyFill="1" applyBorder="1" applyAlignment="1">
      <alignment vertical="center"/>
    </xf>
    <xf numFmtId="41" fontId="4" fillId="2" borderId="2" xfId="1" applyNumberFormat="1" applyFont="1" applyFill="1" applyBorder="1" applyAlignment="1">
      <alignment horizontal="right" vertical="center"/>
    </xf>
    <xf numFmtId="41" fontId="5" fillId="3" borderId="0" xfId="3" applyNumberFormat="1" applyFont="1" applyFill="1" applyBorder="1" applyAlignment="1">
      <alignment vertical="center"/>
    </xf>
    <xf numFmtId="41" fontId="5" fillId="3" borderId="0" xfId="1" applyNumberFormat="1" applyFont="1" applyFill="1" applyBorder="1" applyAlignment="1">
      <alignment horizontal="right" vertical="center"/>
    </xf>
    <xf numFmtId="41" fontId="5" fillId="3" borderId="3" xfId="3" applyNumberFormat="1" applyFont="1" applyFill="1" applyBorder="1" applyAlignment="1">
      <alignment vertical="center"/>
    </xf>
    <xf numFmtId="41" fontId="5" fillId="3" borderId="3" xfId="1" applyNumberFormat="1" applyFont="1" applyFill="1" applyBorder="1" applyAlignment="1">
      <alignment horizontal="right" vertical="center"/>
    </xf>
    <xf numFmtId="41" fontId="6" fillId="2" borderId="2" xfId="1" applyNumberFormat="1" applyFont="1" applyFill="1" applyBorder="1" applyAlignment="1">
      <alignment horizontal="right" vertical="center"/>
    </xf>
    <xf numFmtId="41" fontId="3" fillId="7" borderId="0" xfId="3" applyNumberFormat="1" applyFont="1" applyFill="1" applyBorder="1" applyAlignment="1">
      <alignment horizontal="left" vertical="center" indent="3"/>
    </xf>
    <xf numFmtId="41" fontId="3" fillId="7" borderId="0" xfId="1" applyNumberFormat="1" applyFont="1" applyFill="1" applyBorder="1" applyAlignment="1">
      <alignment horizontal="right" vertical="center"/>
    </xf>
    <xf numFmtId="41" fontId="3" fillId="8" borderId="0" xfId="3" applyNumberFormat="1" applyFont="1" applyFill="1" applyBorder="1" applyAlignment="1">
      <alignment vertical="center"/>
    </xf>
    <xf numFmtId="41" fontId="3" fillId="8" borderId="0" xfId="1" applyNumberFormat="1" applyFont="1" applyFill="1" applyBorder="1" applyAlignment="1">
      <alignment horizontal="right" vertical="center"/>
    </xf>
    <xf numFmtId="41" fontId="3" fillId="10" borderId="0" xfId="3" applyNumberFormat="1" applyFont="1" applyFill="1" applyBorder="1" applyAlignment="1">
      <alignment vertical="center"/>
    </xf>
    <xf numFmtId="41" fontId="3" fillId="10" borderId="0" xfId="1" applyNumberFormat="1" applyFont="1" applyFill="1" applyBorder="1" applyAlignment="1">
      <alignment horizontal="right" vertical="center"/>
    </xf>
    <xf numFmtId="41" fontId="5" fillId="9" borderId="0" xfId="3" applyNumberFormat="1" applyFont="1" applyFill="1" applyBorder="1" applyAlignment="1">
      <alignment vertical="center"/>
    </xf>
    <xf numFmtId="41" fontId="5" fillId="9" borderId="0" xfId="1" applyNumberFormat="1" applyFont="1" applyFill="1" applyBorder="1" applyAlignment="1">
      <alignment horizontal="right" vertical="center"/>
    </xf>
    <xf numFmtId="41" fontId="5" fillId="0" borderId="0" xfId="3" applyNumberFormat="1" applyFont="1" applyFill="1" applyBorder="1" applyAlignment="1">
      <alignment vertical="center"/>
    </xf>
    <xf numFmtId="41" fontId="5" fillId="0" borderId="0" xfId="1" applyNumberFormat="1" applyFont="1" applyFill="1" applyBorder="1" applyAlignment="1">
      <alignment horizontal="right" vertical="center"/>
    </xf>
    <xf numFmtId="41" fontId="5" fillId="4" borderId="4" xfId="3" applyNumberFormat="1" applyFont="1" applyFill="1" applyBorder="1" applyAlignment="1">
      <alignment vertical="center"/>
    </xf>
    <xf numFmtId="41" fontId="5" fillId="4" borderId="4" xfId="1" applyNumberFormat="1" applyFont="1" applyFill="1" applyBorder="1" applyAlignment="1">
      <alignment horizontal="right" vertical="center"/>
    </xf>
    <xf numFmtId="41" fontId="5" fillId="5" borderId="4" xfId="3" applyNumberFormat="1" applyFont="1" applyFill="1" applyBorder="1" applyAlignment="1">
      <alignment vertical="center"/>
    </xf>
    <xf numFmtId="41" fontId="5" fillId="5" borderId="4" xfId="1" applyNumberFormat="1" applyFont="1" applyFill="1" applyBorder="1" applyAlignment="1">
      <alignment horizontal="right" vertical="center"/>
    </xf>
    <xf numFmtId="165" fontId="7" fillId="3" borderId="5" xfId="5" applyNumberFormat="1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5" fillId="12" borderId="9" xfId="0" applyFont="1" applyFill="1" applyBorder="1"/>
    <xf numFmtId="0" fontId="15" fillId="12" borderId="9" xfId="0" applyFont="1" applyFill="1" applyBorder="1" applyAlignment="1">
      <alignment horizontal="center"/>
    </xf>
    <xf numFmtId="41" fontId="0" fillId="0" borderId="0" xfId="2" applyNumberFormat="1" applyFont="1"/>
    <xf numFmtId="0" fontId="16" fillId="0" borderId="0" xfId="3" applyNumberFormat="1" applyFont="1" applyBorder="1" applyAlignment="1">
      <alignment horizontal="right"/>
    </xf>
    <xf numFmtId="0" fontId="17" fillId="0" borderId="0" xfId="3" applyNumberFormat="1" applyFont="1" applyBorder="1" applyAlignment="1">
      <alignment horizontal="right"/>
    </xf>
    <xf numFmtId="0" fontId="17" fillId="0" borderId="0" xfId="3" applyNumberFormat="1" applyFont="1" applyAlignment="1">
      <alignment horizontal="right"/>
    </xf>
    <xf numFmtId="0" fontId="18" fillId="2" borderId="1" xfId="3" applyFont="1" applyFill="1" applyBorder="1" applyAlignment="1">
      <alignment horizontal="center" vertical="center"/>
    </xf>
    <xf numFmtId="37" fontId="18" fillId="2" borderId="1" xfId="3" applyNumberFormat="1" applyFont="1" applyFill="1" applyBorder="1" applyAlignment="1">
      <alignment horizontal="right" vertical="center"/>
    </xf>
    <xf numFmtId="41" fontId="18" fillId="6" borderId="0" xfId="3" applyNumberFormat="1" applyFont="1" applyFill="1" applyBorder="1" applyAlignment="1">
      <alignment vertical="center"/>
    </xf>
    <xf numFmtId="41" fontId="18" fillId="6" borderId="0" xfId="1" applyNumberFormat="1" applyFont="1" applyFill="1" applyBorder="1" applyAlignment="1">
      <alignment horizontal="right" vertical="center"/>
    </xf>
    <xf numFmtId="41" fontId="19" fillId="2" borderId="0" xfId="3" applyNumberFormat="1" applyFont="1" applyFill="1" applyBorder="1" applyAlignment="1">
      <alignment vertical="center"/>
    </xf>
    <xf numFmtId="41" fontId="19" fillId="2" borderId="0" xfId="1" applyNumberFormat="1" applyFont="1" applyFill="1" applyBorder="1" applyAlignment="1">
      <alignment horizontal="right" vertical="center"/>
    </xf>
    <xf numFmtId="41" fontId="19" fillId="2" borderId="2" xfId="3" applyNumberFormat="1" applyFont="1" applyFill="1" applyBorder="1" applyAlignment="1">
      <alignment vertical="center"/>
    </xf>
    <xf numFmtId="41" fontId="19" fillId="2" borderId="2" xfId="1" applyNumberFormat="1" applyFont="1" applyFill="1" applyBorder="1" applyAlignment="1">
      <alignment horizontal="right" vertical="center"/>
    </xf>
    <xf numFmtId="41" fontId="20" fillId="3" borderId="0" xfId="3" applyNumberFormat="1" applyFont="1" applyFill="1" applyBorder="1" applyAlignment="1">
      <alignment vertical="center"/>
    </xf>
    <xf numFmtId="41" fontId="20" fillId="3" borderId="0" xfId="1" applyNumberFormat="1" applyFont="1" applyFill="1" applyBorder="1" applyAlignment="1">
      <alignment horizontal="right" vertical="center"/>
    </xf>
    <xf numFmtId="41" fontId="21" fillId="2" borderId="2" xfId="1" applyNumberFormat="1" applyFont="1" applyFill="1" applyBorder="1" applyAlignment="1">
      <alignment horizontal="right" vertical="center"/>
    </xf>
    <xf numFmtId="0" fontId="7" fillId="0" borderId="7" xfId="3" applyNumberFormat="1" applyFont="1" applyBorder="1" applyAlignment="1">
      <alignment horizontal="center"/>
    </xf>
  </cellXfs>
  <cellStyles count="6">
    <cellStyle name="Comma 2" xfId="1"/>
    <cellStyle name="Moeda" xfId="2" builtinId="4"/>
    <cellStyle name="Normal" xfId="0" builtinId="0"/>
    <cellStyle name="Normal 2" xfId="3"/>
    <cellStyle name="Percent 2" xfId="4"/>
    <cellStyle name="Porcentagem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[1]Sheet1!$B$1</c:f>
              <c:strCache>
                <c:ptCount val="1"/>
                <c:pt idx="0">
                  <c:v>#REF!</c:v>
                </c:pt>
              </c:strCache>
            </c:strRef>
          </c:tx>
          <c:dLbls>
            <c:showVal val="1"/>
          </c:dLbls>
          <c:cat>
            <c:numRef>
              <c:f>[1]Sheet1!$A$2:$A$6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[1]Sheet1!$B$2:$B$6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#REF!</c:v>
                </c:pt>
              </c:strCache>
            </c:strRef>
          </c:tx>
          <c:dLbls>
            <c:showVal val="1"/>
          </c:dLbls>
          <c:cat>
            <c:numRef>
              <c:f>[1]Sheet1!$A$2:$A$6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[1]Sheet1!$C$2:$C$6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/>
        <c:axId val="73598848"/>
        <c:axId val="73600384"/>
      </c:barChart>
      <c:catAx>
        <c:axId val="73598848"/>
        <c:scaling>
          <c:orientation val="minMax"/>
        </c:scaling>
        <c:axPos val="b"/>
        <c:numFmt formatCode="General" sourceLinked="1"/>
        <c:tickLblPos val="nextTo"/>
        <c:crossAx val="73600384"/>
        <c:crosses val="autoZero"/>
        <c:auto val="1"/>
        <c:lblAlgn val="ctr"/>
        <c:lblOffset val="100"/>
      </c:catAx>
      <c:valAx>
        <c:axId val="73600384"/>
        <c:scaling>
          <c:orientation val="minMax"/>
        </c:scaling>
        <c:axPos val="l"/>
        <c:majorGridlines/>
        <c:numFmt formatCode="General" sourceLinked="1"/>
        <c:tickLblPos val="nextTo"/>
        <c:crossAx val="73598848"/>
        <c:crosses val="autoZero"/>
        <c:crossBetween val="between"/>
      </c:valAx>
    </c:plotArea>
    <c:legend>
      <c:legendPos val="b"/>
    </c:legend>
    <c:plotVisOnly val="1"/>
    <c:dispBlanksAs val="gap"/>
  </c:chart>
  <c:txPr>
    <a:bodyPr/>
    <a:lstStyle/>
    <a:p>
      <a:pPr>
        <a:defRPr sz="800"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Payback Descontado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Fluxo de caixa</c:v>
          </c:tx>
          <c:spPr>
            <a:solidFill>
              <a:srgbClr val="4F81BD"/>
            </a:solidFill>
            <a:ln w="25400">
              <a:noFill/>
            </a:ln>
          </c:spPr>
          <c:cat>
            <c:multiLvlStrRef>
              <c:f>'DRE-Mensal'!#REF!</c:f>
            </c:multiLvlStrRef>
          </c:cat>
          <c:val>
            <c:numRef>
              <c:f>'DRE-Mensal'!#REF!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Valor ac. descontado</c:v>
          </c:tx>
          <c:spPr>
            <a:solidFill>
              <a:srgbClr val="C0504D"/>
            </a:solidFill>
            <a:ln w="25400">
              <a:noFill/>
            </a:ln>
          </c:spPr>
          <c:cat>
            <c:multiLvlStrRef>
              <c:f>'DRE-Mensal'!#REF!</c:f>
            </c:multiLvlStrRef>
          </c:cat>
          <c:val>
            <c:numRef>
              <c:f>'DRE-Mensal'!#REF!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/>
        <c:axId val="74606080"/>
        <c:axId val="74607616"/>
      </c:barChart>
      <c:catAx>
        <c:axId val="74606080"/>
        <c:scaling>
          <c:orientation val="minMax"/>
        </c:scaling>
        <c:axPos val="b"/>
        <c:numFmt formatCode="#,##0_);\(#,##0\)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607616"/>
        <c:crosses val="autoZero"/>
        <c:auto val="1"/>
        <c:lblAlgn val="ctr"/>
        <c:lblOffset val="100"/>
      </c:catAx>
      <c:valAx>
        <c:axId val="7460761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R$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606080"/>
        <c:crosses val="autoZero"/>
        <c:crossBetween val="between"/>
        <c:majorUnit val="2000000"/>
      </c:valAx>
      <c:dTable>
        <c:showHorzBorder val="1"/>
        <c:showVertBorder val="1"/>
        <c:showOutline val="1"/>
        <c:showKeys val="1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 rtl="0"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dTable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98425196899999967" l="0.78740157499999996" r="0.78740157499999996" t="0.98425196899999967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Plan1!$A$11</c:f>
              <c:strCache>
                <c:ptCount val="1"/>
                <c:pt idx="0">
                  <c:v>Custo fixo</c:v>
                </c:pt>
              </c:strCache>
            </c:strRef>
          </c:tx>
          <c:cat>
            <c:strRef>
              <c:f>Plan1!$B$10:$G$10</c:f>
              <c:strCache>
                <c:ptCount val="6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</c:strCache>
            </c:strRef>
          </c:cat>
          <c:val>
            <c:numRef>
              <c:f>Plan1!$B$11:$G$11</c:f>
              <c:numCache>
                <c:formatCode>_(* #,##0_);_(* \(#,##0\);_(* "-"_);_(@_)</c:formatCode>
                <c:ptCount val="6"/>
                <c:pt idx="0">
                  <c:v>0</c:v>
                </c:pt>
                <c:pt idx="1">
                  <c:v>101822.9034513839</c:v>
                </c:pt>
                <c:pt idx="2">
                  <c:v>112005.1937965223</c:v>
                </c:pt>
                <c:pt idx="3">
                  <c:v>123205.71317617454</c:v>
                </c:pt>
                <c:pt idx="4">
                  <c:v>135526.28449379199</c:v>
                </c:pt>
                <c:pt idx="5">
                  <c:v>149078.91294317122</c:v>
                </c:pt>
              </c:numCache>
            </c:numRef>
          </c:val>
        </c:ser>
        <c:ser>
          <c:idx val="1"/>
          <c:order val="1"/>
          <c:tx>
            <c:strRef>
              <c:f>Plan1!$A$12</c:f>
              <c:strCache>
                <c:ptCount val="1"/>
                <c:pt idx="0">
                  <c:v>Custo variável</c:v>
                </c:pt>
              </c:strCache>
            </c:strRef>
          </c:tx>
          <c:cat>
            <c:strRef>
              <c:f>Plan1!$B$10:$G$10</c:f>
              <c:strCache>
                <c:ptCount val="6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</c:strCache>
            </c:strRef>
          </c:cat>
          <c:val>
            <c:numRef>
              <c:f>Plan1!$B$12:$G$12</c:f>
              <c:numCache>
                <c:formatCode>_(* #,##0_);_(* \(#,##0\);_(* "-"_);_(@_)</c:formatCode>
                <c:ptCount val="6"/>
                <c:pt idx="0">
                  <c:v>38300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/>
        <c:shape val="box"/>
        <c:axId val="73637248"/>
        <c:axId val="74122368"/>
        <c:axId val="0"/>
      </c:bar3DChart>
      <c:catAx>
        <c:axId val="73637248"/>
        <c:scaling>
          <c:orientation val="minMax"/>
        </c:scaling>
        <c:axPos val="b"/>
        <c:tickLblPos val="nextTo"/>
        <c:crossAx val="74122368"/>
        <c:crosses val="autoZero"/>
        <c:auto val="1"/>
        <c:lblAlgn val="ctr"/>
        <c:lblOffset val="100"/>
      </c:catAx>
      <c:valAx>
        <c:axId val="74122368"/>
        <c:scaling>
          <c:orientation val="minMax"/>
        </c:scaling>
        <c:axPos val="l"/>
        <c:majorGridlines/>
        <c:numFmt formatCode="_(* #,##0_);_(* \(#,##0\);_(* &quot;-&quot;_);_(@_)" sourceLinked="1"/>
        <c:tickLblPos val="nextTo"/>
        <c:crossAx val="736372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Fluxo de Caixa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cked"/>
        <c:ser>
          <c:idx val="0"/>
          <c:order val="0"/>
          <c:tx>
            <c:v>Fluxo de Caixa</c:v>
          </c:tx>
          <c:marker>
            <c:symbol val="none"/>
          </c:marker>
          <c:dLbls>
            <c:showVal val="1"/>
          </c:dLbls>
          <c:cat>
            <c:strRef>
              <c:f>'Financeiro PIN (2)'!$C$26:$H$26</c:f>
              <c:strCache>
                <c:ptCount val="6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</c:strCache>
            </c:strRef>
          </c:cat>
          <c:val>
            <c:numRef>
              <c:f>'Financeiro PIN (2)'!$C$40:$H$40</c:f>
              <c:numCache>
                <c:formatCode>_(* #,##0_);_(* \(#,##0\);_(* "-"_);_(@_)</c:formatCode>
                <c:ptCount val="6"/>
                <c:pt idx="0">
                  <c:v>-38300</c:v>
                </c:pt>
                <c:pt idx="1">
                  <c:v>-35900.703451383903</c:v>
                </c:pt>
                <c:pt idx="2">
                  <c:v>65171.524714643063</c:v>
                </c:pt>
                <c:pt idx="3">
                  <c:v>258612.86598610732</c:v>
                </c:pt>
                <c:pt idx="4">
                  <c:v>554526.63978471805</c:v>
                </c:pt>
                <c:pt idx="5">
                  <c:v>1013887.4901631897</c:v>
                </c:pt>
              </c:numCache>
            </c:numRef>
          </c:val>
        </c:ser>
        <c:dLbls/>
        <c:marker val="1"/>
        <c:axId val="74201344"/>
        <c:axId val="74244096"/>
      </c:lineChart>
      <c:catAx>
        <c:axId val="74201344"/>
        <c:scaling>
          <c:orientation val="minMax"/>
        </c:scaling>
        <c:axPos val="b"/>
        <c:numFmt formatCode="#,##0_);\(#,##0\)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244096"/>
        <c:crosses val="autoZero"/>
        <c:auto val="1"/>
        <c:lblAlgn val="ctr"/>
        <c:lblOffset val="100"/>
      </c:catAx>
      <c:valAx>
        <c:axId val="7424409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R$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_(* #,##0_);_(* \(#,##0\);_(* &quot;-&quot;_);_(@_)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201344"/>
        <c:crosses val="autoZero"/>
        <c:crossBetween val="between"/>
        <c:majorUnit val="2000000"/>
      </c:valAx>
      <c:dTable>
        <c:showHorzBorder val="1"/>
        <c:showVertBorder val="1"/>
        <c:showOutline val="1"/>
        <c:showKeys val="1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 rtl="0"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dTable>
      <c:spPr>
        <a:solidFill>
          <a:srgbClr val="FFFFFF"/>
        </a:solidFill>
        <a:ln w="25400">
          <a:noFill/>
        </a:ln>
      </c:spPr>
    </c:plotArea>
    <c:plotVisOnly val="1"/>
    <c:dispBlanksAs val="zero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98425196899999967" l="0.78740157499999996" r="0.78740157499999996" t="0.98425196899999967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Payback Simples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Fluxo de Caixa</c:v>
          </c:tx>
          <c:spPr>
            <a:solidFill>
              <a:srgbClr val="4F81BD"/>
            </a:solidFill>
            <a:ln w="25400">
              <a:noFill/>
            </a:ln>
          </c:spPr>
          <c:dLbls>
            <c:dLbl>
              <c:idx val="3"/>
              <c:layout>
                <c:manualLayout>
                  <c:x val="-6.3965887546206862E-3"/>
                  <c:y val="0.10362694300518138"/>
                </c:manualLayout>
              </c:layout>
              <c:showVal val="1"/>
            </c:dLbl>
            <c:dLbl>
              <c:idx val="4"/>
              <c:layout>
                <c:manualLayout>
                  <c:x val="-7.9957359432758571E-3"/>
                  <c:y val="3.4542314335060452E-3"/>
                </c:manualLayout>
              </c:layout>
              <c:showVal val="1"/>
            </c:dLbl>
            <c:dLbl>
              <c:idx val="5"/>
              <c:layout>
                <c:manualLayout>
                  <c:x val="-9.5948831319310288E-3"/>
                  <c:y val="6.9084628670120912E-3"/>
                </c:manualLayout>
              </c:layout>
              <c:showVal val="1"/>
            </c:dLbl>
            <c:txPr>
              <a:bodyPr/>
              <a:lstStyle/>
              <a:p>
                <a:pPr>
                  <a:defRPr sz="900"/>
                </a:pPr>
                <a:endParaRPr lang="pt-BR"/>
              </a:p>
            </c:txPr>
            <c:showVal val="1"/>
          </c:dLbls>
          <c:cat>
            <c:strRef>
              <c:f>'Financeiro PIN (2)'!$C$26:$H$26</c:f>
              <c:strCache>
                <c:ptCount val="6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</c:strCache>
            </c:strRef>
          </c:cat>
          <c:val>
            <c:numRef>
              <c:f>'Financeiro PIN (2)'!$C$40:$H$40</c:f>
              <c:numCache>
                <c:formatCode>_(* #,##0_);_(* \(#,##0\);_(* "-"_);_(@_)</c:formatCode>
                <c:ptCount val="6"/>
                <c:pt idx="0">
                  <c:v>-38300</c:v>
                </c:pt>
                <c:pt idx="1">
                  <c:v>-35900.703451383903</c:v>
                </c:pt>
                <c:pt idx="2">
                  <c:v>65171.524714643063</c:v>
                </c:pt>
                <c:pt idx="3">
                  <c:v>258612.86598610732</c:v>
                </c:pt>
                <c:pt idx="4">
                  <c:v>554526.63978471805</c:v>
                </c:pt>
                <c:pt idx="5">
                  <c:v>1013887.4901631897</c:v>
                </c:pt>
              </c:numCache>
            </c:numRef>
          </c:val>
        </c:ser>
        <c:ser>
          <c:idx val="1"/>
          <c:order val="1"/>
          <c:tx>
            <c:v>Valor Acumulado</c:v>
          </c:tx>
          <c:spPr>
            <a:solidFill>
              <a:srgbClr val="C0504D"/>
            </a:solidFill>
            <a:ln w="25400">
              <a:noFill/>
            </a:ln>
          </c:spPr>
          <c:dLbls>
            <c:dLbl>
              <c:idx val="0"/>
              <c:layout>
                <c:manualLayout>
                  <c:x val="3.198294377310344E-3"/>
                  <c:y val="6.2176165803108759E-2"/>
                </c:manualLayout>
              </c:layout>
              <c:showVal val="1"/>
            </c:dLbl>
            <c:dLbl>
              <c:idx val="1"/>
              <c:layout>
                <c:manualLayout>
                  <c:x val="3.198294377310344E-3"/>
                  <c:y val="8.2901554404145067E-2"/>
                </c:manualLayout>
              </c:layout>
              <c:showVal val="1"/>
            </c:dLbl>
            <c:txPr>
              <a:bodyPr/>
              <a:lstStyle/>
              <a:p>
                <a:pPr>
                  <a:defRPr sz="900"/>
                </a:pPr>
                <a:endParaRPr lang="pt-BR"/>
              </a:p>
            </c:txPr>
            <c:showVal val="1"/>
          </c:dLbls>
          <c:cat>
            <c:strRef>
              <c:f>'Financeiro PIN (2)'!$C$26:$H$26</c:f>
              <c:strCache>
                <c:ptCount val="6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</c:strCache>
            </c:strRef>
          </c:cat>
          <c:val>
            <c:numRef>
              <c:f>'Financeiro PIN (2)'!$C$41:$H$41</c:f>
              <c:numCache>
                <c:formatCode>_(* #,##0_);_(* \(#,##0\);_(* "-"_);_(@_)</c:formatCode>
                <c:ptCount val="6"/>
                <c:pt idx="0">
                  <c:v>-38300</c:v>
                </c:pt>
                <c:pt idx="1">
                  <c:v>-74200.703451383903</c:v>
                </c:pt>
                <c:pt idx="2">
                  <c:v>-9029.1787367408397</c:v>
                </c:pt>
                <c:pt idx="3">
                  <c:v>249583.68724936649</c:v>
                </c:pt>
                <c:pt idx="4">
                  <c:v>804110.32703408459</c:v>
                </c:pt>
                <c:pt idx="5">
                  <c:v>1817997.8171972744</c:v>
                </c:pt>
              </c:numCache>
            </c:numRef>
          </c:val>
        </c:ser>
        <c:dLbls/>
        <c:axId val="74308224"/>
        <c:axId val="74314112"/>
      </c:barChart>
      <c:catAx>
        <c:axId val="74308224"/>
        <c:scaling>
          <c:orientation val="minMax"/>
        </c:scaling>
        <c:axPos val="b"/>
        <c:numFmt formatCode="#,##0_);\(#,##0\)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314112"/>
        <c:crosses val="autoZero"/>
        <c:auto val="1"/>
        <c:lblAlgn val="ctr"/>
        <c:lblOffset val="100"/>
      </c:catAx>
      <c:valAx>
        <c:axId val="7431411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R$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_(* #,##0_);_(* \(#,##0\);_(* &quot;-&quot;_);_(@_)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308224"/>
        <c:crosses val="autoZero"/>
        <c:crossBetween val="between"/>
        <c:majorUnit val="2000000"/>
      </c:valAx>
      <c:dTable>
        <c:showHorzBorder val="1"/>
        <c:showVertBorder val="1"/>
        <c:showOutline val="1"/>
        <c:showKeys val="1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 rtl="0"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dTable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98425196899999967" l="0.78740157499999996" r="0.78740157499999996" t="0.98425196899999967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Fluxo de Caixa Descontado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VP Fluxo Caixa</c:v>
          </c:tx>
          <c:marker>
            <c:symbol val="none"/>
          </c:marker>
          <c:dLbls>
            <c:txPr>
              <a:bodyPr/>
              <a:lstStyle/>
              <a:p>
                <a:pPr>
                  <a:defRPr sz="1100"/>
                </a:pPr>
                <a:endParaRPr lang="pt-BR"/>
              </a:p>
            </c:txPr>
            <c:showVal val="1"/>
          </c:dLbls>
          <c:cat>
            <c:strRef>
              <c:f>'Financeiro PIN (2)'!$C$26:$H$26</c:f>
              <c:strCache>
                <c:ptCount val="6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</c:strCache>
            </c:strRef>
          </c:cat>
          <c:val>
            <c:numRef>
              <c:f>'Financeiro PIN (2)'!$C$44:$H$44</c:f>
              <c:numCache>
                <c:formatCode>_(* #,##0_);_(* \(#,##0\);_(* "-"_);_(@_)</c:formatCode>
                <c:ptCount val="6"/>
                <c:pt idx="0">
                  <c:v>-38300</c:v>
                </c:pt>
                <c:pt idx="1">
                  <c:v>-32637.003137621727</c:v>
                </c:pt>
                <c:pt idx="2">
                  <c:v>53860.764226977728</c:v>
                </c:pt>
                <c:pt idx="3">
                  <c:v>194299.67391893858</c:v>
                </c:pt>
                <c:pt idx="4">
                  <c:v>378749.15633134206</c:v>
                </c:pt>
                <c:pt idx="5">
                  <c:v>629544.3618252537</c:v>
                </c:pt>
              </c:numCache>
            </c:numRef>
          </c:val>
        </c:ser>
        <c:dLbls/>
        <c:marker val="1"/>
        <c:axId val="74340224"/>
        <c:axId val="74341760"/>
      </c:lineChart>
      <c:catAx>
        <c:axId val="74340224"/>
        <c:scaling>
          <c:orientation val="minMax"/>
        </c:scaling>
        <c:axPos val="b"/>
        <c:numFmt formatCode="#,##0_);\(#,##0\)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341760"/>
        <c:crosses val="autoZero"/>
        <c:auto val="1"/>
        <c:lblAlgn val="ctr"/>
        <c:lblOffset val="100"/>
      </c:catAx>
      <c:valAx>
        <c:axId val="7434176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R$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_(* #,##0_);_(* \(#,##0\);_(* &quot;-&quot;_);_(@_)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340224"/>
        <c:crosses val="autoZero"/>
        <c:crossBetween val="between"/>
        <c:majorUnit val="2000000"/>
      </c:valAx>
      <c:dTable>
        <c:showHorzBorder val="1"/>
        <c:showVertBorder val="1"/>
        <c:showOutline val="1"/>
        <c:showKeys val="1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 rtl="0"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dTable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98425196899999967" l="0.78740157499999996" r="0.78740157499999996" t="0.98425196899999967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Payback Descontado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Fluxo de caixa</c:v>
          </c:tx>
          <c:spPr>
            <a:solidFill>
              <a:srgbClr val="4F81BD"/>
            </a:solidFill>
            <a:ln w="25400">
              <a:noFill/>
            </a:ln>
          </c:spPr>
          <c:cat>
            <c:strRef>
              <c:f>'Financeiro PIN (2)'!$C$26:$H$26</c:f>
              <c:strCache>
                <c:ptCount val="6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</c:strCache>
            </c:strRef>
          </c:cat>
          <c:val>
            <c:numRef>
              <c:f>'Financeiro PIN (2)'!$C$44:$H$44</c:f>
              <c:numCache>
                <c:formatCode>_(* #,##0_);_(* \(#,##0\);_(* "-"_);_(@_)</c:formatCode>
                <c:ptCount val="6"/>
                <c:pt idx="0">
                  <c:v>-38300</c:v>
                </c:pt>
                <c:pt idx="1">
                  <c:v>-32637.003137621727</c:v>
                </c:pt>
                <c:pt idx="2">
                  <c:v>53860.764226977728</c:v>
                </c:pt>
                <c:pt idx="3">
                  <c:v>194299.67391893858</c:v>
                </c:pt>
                <c:pt idx="4">
                  <c:v>378749.15633134206</c:v>
                </c:pt>
                <c:pt idx="5">
                  <c:v>629544.3618252537</c:v>
                </c:pt>
              </c:numCache>
            </c:numRef>
          </c:val>
        </c:ser>
        <c:ser>
          <c:idx val="1"/>
          <c:order val="1"/>
          <c:tx>
            <c:v>Valor ac. descontado</c:v>
          </c:tx>
          <c:spPr>
            <a:solidFill>
              <a:srgbClr val="C0504D"/>
            </a:solidFill>
            <a:ln w="25400">
              <a:noFill/>
            </a:ln>
          </c:spPr>
          <c:cat>
            <c:strRef>
              <c:f>'Financeiro PIN (2)'!$C$26:$H$26</c:f>
              <c:strCache>
                <c:ptCount val="6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</c:strCache>
            </c:strRef>
          </c:cat>
          <c:val>
            <c:numRef>
              <c:f>'Financeiro PIN (2)'!$C$45:$H$45</c:f>
              <c:numCache>
                <c:formatCode>_(* #,##0_);_(* \(#,##0\);_(* "-"_);_(@_)</c:formatCode>
                <c:ptCount val="6"/>
                <c:pt idx="0">
                  <c:v>-38300</c:v>
                </c:pt>
                <c:pt idx="1">
                  <c:v>-70937.003137621723</c:v>
                </c:pt>
                <c:pt idx="2">
                  <c:v>-17076.238910643995</c:v>
                </c:pt>
                <c:pt idx="3">
                  <c:v>177223.43500829459</c:v>
                </c:pt>
                <c:pt idx="4">
                  <c:v>555972.59133963659</c:v>
                </c:pt>
                <c:pt idx="5">
                  <c:v>1185516.9531648904</c:v>
                </c:pt>
              </c:numCache>
            </c:numRef>
          </c:val>
        </c:ser>
        <c:dLbls/>
        <c:axId val="74365184"/>
        <c:axId val="74477568"/>
      </c:barChart>
      <c:catAx>
        <c:axId val="74365184"/>
        <c:scaling>
          <c:orientation val="minMax"/>
        </c:scaling>
        <c:axPos val="b"/>
        <c:numFmt formatCode="#,##0_);\(#,##0\)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477568"/>
        <c:crosses val="autoZero"/>
        <c:auto val="1"/>
        <c:lblAlgn val="ctr"/>
        <c:lblOffset val="100"/>
      </c:catAx>
      <c:valAx>
        <c:axId val="7447756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R$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_(* #,##0_);_(* \(#,##0\);_(* &quot;-&quot;_);_(@_)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365184"/>
        <c:crosses val="autoZero"/>
        <c:crossBetween val="between"/>
        <c:majorUnit val="2000000"/>
      </c:valAx>
      <c:dTable>
        <c:showHorzBorder val="1"/>
        <c:showVertBorder val="1"/>
        <c:showOutline val="1"/>
        <c:showKeys val="1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 rtl="0"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dTable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98425196899999967" l="0.78740157499999996" r="0.78740157499999996" t="0.98425196899999967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Fluxo de Caixa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Fluxo de Caixa</c:v>
          </c:tx>
          <c:spPr>
            <a:solidFill>
              <a:srgbClr val="4F81BD"/>
            </a:solidFill>
            <a:ln w="25400">
              <a:noFill/>
            </a:ln>
          </c:spPr>
          <c:cat>
            <c:multiLvlStrRef>
              <c:f>'DRE-Mensal'!#REF!</c:f>
            </c:multiLvlStrRef>
          </c:cat>
          <c:val>
            <c:numRef>
              <c:f>'DRE-Mensal'!#REF!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/>
        <c:axId val="74524160"/>
        <c:axId val="74525696"/>
      </c:barChart>
      <c:catAx>
        <c:axId val="74524160"/>
        <c:scaling>
          <c:orientation val="minMax"/>
        </c:scaling>
        <c:axPos val="b"/>
        <c:numFmt formatCode="#,##0_);\(#,##0\)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525696"/>
        <c:crosses val="autoZero"/>
        <c:auto val="1"/>
        <c:lblAlgn val="ctr"/>
        <c:lblOffset val="100"/>
      </c:catAx>
      <c:valAx>
        <c:axId val="7452569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R$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524160"/>
        <c:crosses val="autoZero"/>
        <c:crossBetween val="between"/>
        <c:majorUnit val="2000000"/>
      </c:valAx>
      <c:dTable>
        <c:showHorzBorder val="1"/>
        <c:showVertBorder val="1"/>
        <c:showOutline val="1"/>
        <c:showKeys val="1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 rtl="0"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dTable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98425196899999967" l="0.78740157499999996" r="0.78740157499999996" t="0.98425196899999967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Payback Simples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Fluxo de Caixa</c:v>
          </c:tx>
          <c:spPr>
            <a:solidFill>
              <a:srgbClr val="4F81BD"/>
            </a:solidFill>
            <a:ln w="25400">
              <a:noFill/>
            </a:ln>
          </c:spPr>
          <c:cat>
            <c:multiLvlStrRef>
              <c:f>'DRE-Mensal'!#REF!</c:f>
            </c:multiLvlStrRef>
          </c:cat>
          <c:val>
            <c:numRef>
              <c:f>'DRE-Mensal'!#REF!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Valor Acumulado</c:v>
          </c:tx>
          <c:spPr>
            <a:solidFill>
              <a:srgbClr val="C0504D"/>
            </a:solidFill>
            <a:ln w="25400">
              <a:noFill/>
            </a:ln>
          </c:spPr>
          <c:cat>
            <c:multiLvlStrRef>
              <c:f>'DRE-Mensal'!#REF!</c:f>
            </c:multiLvlStrRef>
          </c:cat>
          <c:val>
            <c:numRef>
              <c:f>'DRE-Mensal'!#REF!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/>
        <c:axId val="74385280"/>
        <c:axId val="74386816"/>
      </c:barChart>
      <c:catAx>
        <c:axId val="74385280"/>
        <c:scaling>
          <c:orientation val="minMax"/>
        </c:scaling>
        <c:axPos val="b"/>
        <c:numFmt formatCode="#,##0_);\(#,##0\)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386816"/>
        <c:crosses val="autoZero"/>
        <c:auto val="1"/>
        <c:lblAlgn val="ctr"/>
        <c:lblOffset val="100"/>
      </c:catAx>
      <c:valAx>
        <c:axId val="7438681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R$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385280"/>
        <c:crosses val="autoZero"/>
        <c:crossBetween val="between"/>
        <c:majorUnit val="2000000"/>
      </c:valAx>
      <c:dTable>
        <c:showHorzBorder val="1"/>
        <c:showVertBorder val="1"/>
        <c:showOutline val="1"/>
        <c:showKeys val="1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 rtl="0"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dTable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98425196899999967" l="0.78740157499999996" r="0.78740157499999996" t="0.98425196899999967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Fluxo de Caixa Descontado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VP Fluxo Caixa</c:v>
          </c:tx>
          <c:spPr>
            <a:solidFill>
              <a:srgbClr val="4F81BD"/>
            </a:solidFill>
            <a:ln w="25400">
              <a:noFill/>
            </a:ln>
          </c:spPr>
          <c:cat>
            <c:multiLvlStrRef>
              <c:f>'DRE-Mensal'!#REF!</c:f>
            </c:multiLvlStrRef>
          </c:cat>
          <c:val>
            <c:numRef>
              <c:f>'DRE-Mensal'!#REF!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/>
        <c:axId val="74441856"/>
        <c:axId val="74443392"/>
      </c:barChart>
      <c:catAx>
        <c:axId val="74441856"/>
        <c:scaling>
          <c:orientation val="minMax"/>
        </c:scaling>
        <c:axPos val="b"/>
        <c:numFmt formatCode="#,##0_);\(#,##0\)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443392"/>
        <c:crosses val="autoZero"/>
        <c:auto val="1"/>
        <c:lblAlgn val="ctr"/>
        <c:lblOffset val="100"/>
      </c:catAx>
      <c:valAx>
        <c:axId val="7444339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R$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4441856"/>
        <c:crosses val="autoZero"/>
        <c:crossBetween val="between"/>
        <c:majorUnit val="2000000"/>
      </c:valAx>
      <c:dTable>
        <c:showHorzBorder val="1"/>
        <c:showVertBorder val="1"/>
        <c:showOutline val="1"/>
        <c:showKeys val="1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 rtl="0"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dTable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98425196899999967" l="0.78740157499999996" r="0.78740157499999996" t="0.98425196899999967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30</xdr:row>
      <xdr:rowOff>0</xdr:rowOff>
    </xdr:from>
    <xdr:to>
      <xdr:col>9</xdr:col>
      <xdr:colOff>279400</xdr:colOff>
      <xdr:row>46</xdr:row>
      <xdr:rowOff>26670</xdr:rowOff>
    </xdr:to>
    <xdr:graphicFrame macro="">
      <xdr:nvGraphicFramePr>
        <xdr:cNvPr id="5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609600</xdr:colOff>
      <xdr:row>12</xdr:row>
      <xdr:rowOff>47625</xdr:rowOff>
    </xdr:from>
    <xdr:to>
      <xdr:col>9</xdr:col>
      <xdr:colOff>152400</xdr:colOff>
      <xdr:row>26</xdr:row>
      <xdr:rowOff>123825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55</xdr:row>
      <xdr:rowOff>180975</xdr:rowOff>
    </xdr:from>
    <xdr:to>
      <xdr:col>8</xdr:col>
      <xdr:colOff>0</xdr:colOff>
      <xdr:row>75</xdr:row>
      <xdr:rowOff>47625</xdr:rowOff>
    </xdr:to>
    <xdr:graphicFrame macro="">
      <xdr:nvGraphicFramePr>
        <xdr:cNvPr id="1177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609600</xdr:colOff>
      <xdr:row>76</xdr:row>
      <xdr:rowOff>180975</xdr:rowOff>
    </xdr:from>
    <xdr:to>
      <xdr:col>8</xdr:col>
      <xdr:colOff>0</xdr:colOff>
      <xdr:row>96</xdr:row>
      <xdr:rowOff>47625</xdr:rowOff>
    </xdr:to>
    <xdr:graphicFrame macro="">
      <xdr:nvGraphicFramePr>
        <xdr:cNvPr id="1177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581025</xdr:colOff>
      <xdr:row>97</xdr:row>
      <xdr:rowOff>104775</xdr:rowOff>
    </xdr:from>
    <xdr:to>
      <xdr:col>8</xdr:col>
      <xdr:colOff>0</xdr:colOff>
      <xdr:row>116</xdr:row>
      <xdr:rowOff>152400</xdr:rowOff>
    </xdr:to>
    <xdr:graphicFrame macro="">
      <xdr:nvGraphicFramePr>
        <xdr:cNvPr id="11778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1190625</xdr:colOff>
      <xdr:row>118</xdr:row>
      <xdr:rowOff>47625</xdr:rowOff>
    </xdr:from>
    <xdr:to>
      <xdr:col>8</xdr:col>
      <xdr:colOff>0</xdr:colOff>
      <xdr:row>137</xdr:row>
      <xdr:rowOff>104775</xdr:rowOff>
    </xdr:to>
    <xdr:graphicFrame macro="">
      <xdr:nvGraphicFramePr>
        <xdr:cNvPr id="11778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55</xdr:row>
      <xdr:rowOff>180975</xdr:rowOff>
    </xdr:from>
    <xdr:to>
      <xdr:col>8</xdr:col>
      <xdr:colOff>0</xdr:colOff>
      <xdr:row>75</xdr:row>
      <xdr:rowOff>47625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609600</xdr:colOff>
      <xdr:row>76</xdr:row>
      <xdr:rowOff>180975</xdr:rowOff>
    </xdr:from>
    <xdr:to>
      <xdr:col>8</xdr:col>
      <xdr:colOff>0</xdr:colOff>
      <xdr:row>96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581025</xdr:colOff>
      <xdr:row>97</xdr:row>
      <xdr:rowOff>104775</xdr:rowOff>
    </xdr:from>
    <xdr:to>
      <xdr:col>8</xdr:col>
      <xdr:colOff>0</xdr:colOff>
      <xdr:row>116</xdr:row>
      <xdr:rowOff>152400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1190625</xdr:colOff>
      <xdr:row>118</xdr:row>
      <xdr:rowOff>47625</xdr:rowOff>
    </xdr:from>
    <xdr:to>
      <xdr:col>8</xdr:col>
      <xdr:colOff>0</xdr:colOff>
      <xdr:row>137</xdr:row>
      <xdr:rowOff>104775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fault01" refreshedDate="41174.691076388888" createdVersion="3" refreshedVersion="3" minRefreshableVersion="3" recordCount="7">
  <cacheSource type="worksheet">
    <worksheetSource ref="B26:H33" sheet="Financeiro PIN (2)"/>
  </cacheSource>
  <cacheFields count="7">
    <cacheField name="Itens" numFmtId="41">
      <sharedItems count="7">
        <s v="(+) Receita Bruta"/>
        <s v="(-) Repasse para parceiros comerciais"/>
        <s v="(-) Impostos (Serviços - 5%)"/>
        <s v="(+) Receita Líquida"/>
        <s v="( - ) Custo Total"/>
        <s v="(-) Custo variável"/>
        <s v="(-) Custo fixo"/>
      </sharedItems>
    </cacheField>
    <cacheField name="Ano 0" numFmtId="41">
      <sharedItems containsSemiMixedTypes="0" containsString="0" containsNumber="1" containsInteger="1" minValue="-38300" maxValue="0"/>
    </cacheField>
    <cacheField name="Ano 1" numFmtId="41">
      <sharedItems containsSemiMixedTypes="0" containsString="0" containsNumber="1" minValue="-101822.9034513839" maxValue="70130"/>
    </cacheField>
    <cacheField name="Ano 2" numFmtId="41">
      <sharedItems containsSemiMixedTypes="0" containsString="0" containsNumber="1" minValue="-112005.1937965223" maxValue="210380"/>
    </cacheField>
    <cacheField name="Ano 3" numFmtId="41">
      <sharedItems containsSemiMixedTypes="0" containsString="0" containsNumber="1" minValue="-123205.71317617454" maxValue="493070"/>
    </cacheField>
    <cacheField name="Ano 4" numFmtId="41">
      <sharedItems containsSemiMixedTypes="0" containsString="0" containsNumber="1" minValue="-135526.28449379199" maxValue="920390"/>
    </cacheField>
    <cacheField name="Ano 5" numFmtId="41">
      <sharedItems containsSemiMixedTypes="0" containsString="0" containsNumber="1" minValue="-149078.91294317122" maxValue="1577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0"/>
    <n v="70130"/>
    <n v="210380"/>
    <n v="493070"/>
    <n v="920390"/>
    <n v="1577810"/>
  </r>
  <r>
    <x v="1"/>
    <n v="0"/>
    <n v="0"/>
    <n v="0"/>
    <n v="0"/>
    <n v="0"/>
    <n v="0"/>
  </r>
  <r>
    <x v="2"/>
    <n v="0"/>
    <n v="-3506.5"/>
    <n v="-10519"/>
    <n v="-24653.5"/>
    <n v="-46019.5"/>
    <n v="-78890.5"/>
  </r>
  <r>
    <x v="3"/>
    <n v="0"/>
    <n v="66623.5"/>
    <n v="199861"/>
    <n v="468416.5"/>
    <n v="874370.5"/>
    <n v="1498919.5"/>
  </r>
  <r>
    <x v="4"/>
    <n v="-38300"/>
    <n v="-101822.9034513839"/>
    <n v="-112005.1937965223"/>
    <n v="-123205.71317617454"/>
    <n v="-135526.28449379199"/>
    <n v="-149078.91294317122"/>
  </r>
  <r>
    <x v="5"/>
    <n v="-38300"/>
    <n v="0"/>
    <n v="0"/>
    <n v="0"/>
    <n v="0"/>
    <n v="0"/>
  </r>
  <r>
    <x v="6"/>
    <n v="0"/>
    <n v="-101822.9034513839"/>
    <n v="-112005.1937965223"/>
    <n v="-123205.71317617454"/>
    <n v="-135526.28449379199"/>
    <n v="-149078.912943171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A3:G7" firstHeaderRow="1" firstDataRow="2" firstDataCol="1"/>
  <pivotFields count="7">
    <pivotField axis="axisRow" showAll="0">
      <items count="8">
        <item h="1" x="4"/>
        <item x="6"/>
        <item x="5"/>
        <item h="1" x="2"/>
        <item h="1" x="1"/>
        <item h="1" x="0"/>
        <item h="1" x="3"/>
        <item t="default"/>
      </items>
    </pivotField>
    <pivotField dataField="1" numFmtId="41" showAll="0"/>
    <pivotField dataField="1" numFmtId="41" showAll="0"/>
    <pivotField dataField="1" numFmtId="41" showAll="0"/>
    <pivotField dataField="1" numFmtId="41" showAll="0"/>
    <pivotField dataField="1" numFmtId="41" showAll="0"/>
    <pivotField dataField="1" numFmtId="41" showAll="0"/>
  </pivotFields>
  <rowFields count="1">
    <field x="0"/>
  </rowFields>
  <rowItems count="3"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Ano 0" fld="1" baseField="0" baseItem="0"/>
    <dataField name="Soma de Ano 1" fld="2" baseField="0" baseItem="0"/>
    <dataField name="Soma de Ano 2" fld="3" baseField="0" baseItem="0"/>
    <dataField name="Soma de Ano 3" fld="4" baseField="0" baseItem="0"/>
    <dataField name="Soma de Ano 4" fld="5" baseField="0" baseItem="0"/>
    <dataField name="Soma de Ano 5" fld="6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B11" sqref="B11"/>
    </sheetView>
  </sheetViews>
  <sheetFormatPr defaultColWidth="11.42578125" defaultRowHeight="20.25"/>
  <cols>
    <col min="1" max="1" width="5.42578125" style="35" customWidth="1"/>
    <col min="2" max="2" width="59" style="35" customWidth="1"/>
    <col min="3" max="5" width="18.28515625" style="35" customWidth="1"/>
    <col min="6" max="16384" width="11.42578125" style="35"/>
  </cols>
  <sheetData>
    <row r="1" spans="1:5" ht="21" thickBot="1"/>
    <row r="2" spans="1:5" ht="21.75" thickTop="1" thickBot="1">
      <c r="A2" s="36" t="s">
        <v>40</v>
      </c>
      <c r="B2" s="37" t="s">
        <v>41</v>
      </c>
      <c r="C2" s="37"/>
      <c r="D2" s="37"/>
      <c r="E2" s="37" t="s">
        <v>42</v>
      </c>
    </row>
    <row r="3" spans="1:5" ht="21" thickTop="1">
      <c r="A3" s="38" t="s">
        <v>43</v>
      </c>
      <c r="B3" s="38" t="s">
        <v>44</v>
      </c>
      <c r="C3" s="39"/>
      <c r="D3" s="39"/>
      <c r="E3" s="40">
        <v>2500</v>
      </c>
    </row>
    <row r="4" spans="1:5">
      <c r="A4" s="38" t="s">
        <v>45</v>
      </c>
      <c r="B4" s="38" t="s">
        <v>61</v>
      </c>
      <c r="C4" s="39"/>
      <c r="D4" s="39"/>
      <c r="E4" s="39">
        <v>2000</v>
      </c>
    </row>
    <row r="5" spans="1:5">
      <c r="A5" s="38" t="s">
        <v>46</v>
      </c>
      <c r="B5" s="41" t="s">
        <v>64</v>
      </c>
      <c r="C5" s="39"/>
      <c r="D5" s="39"/>
      <c r="E5" s="39">
        <v>1250</v>
      </c>
    </row>
    <row r="6" spans="1:5">
      <c r="A6" s="38"/>
      <c r="B6" s="41"/>
      <c r="C6" s="42"/>
      <c r="D6" s="42"/>
      <c r="E6" s="39"/>
    </row>
    <row r="7" spans="1:5">
      <c r="A7" s="43"/>
      <c r="B7" s="44" t="s">
        <v>47</v>
      </c>
      <c r="C7" s="45"/>
      <c r="D7" s="45"/>
      <c r="E7" s="45">
        <f>SUM(E3:E6)</f>
        <v>5750</v>
      </c>
    </row>
    <row r="8" spans="1:5" ht="21" thickBot="1">
      <c r="A8" s="46" t="s">
        <v>48</v>
      </c>
      <c r="B8" s="47" t="s">
        <v>49</v>
      </c>
      <c r="C8" s="48" t="s">
        <v>50</v>
      </c>
      <c r="D8" s="48" t="s">
        <v>42</v>
      </c>
      <c r="E8" s="49" t="s">
        <v>51</v>
      </c>
    </row>
    <row r="9" spans="1:5" ht="21" thickTop="1">
      <c r="A9" s="38" t="s">
        <v>52</v>
      </c>
      <c r="B9" s="41" t="s">
        <v>53</v>
      </c>
      <c r="C9" s="50">
        <v>1</v>
      </c>
      <c r="D9" s="39">
        <v>250</v>
      </c>
      <c r="E9" s="39">
        <f>C9*D9</f>
        <v>250</v>
      </c>
    </row>
    <row r="10" spans="1:5">
      <c r="A10" s="38" t="s">
        <v>54</v>
      </c>
      <c r="B10" s="41" t="s">
        <v>55</v>
      </c>
      <c r="C10" s="50">
        <v>1</v>
      </c>
      <c r="D10" s="39">
        <v>2000</v>
      </c>
      <c r="E10" s="39">
        <f>C10*D10</f>
        <v>2000</v>
      </c>
    </row>
    <row r="11" spans="1:5">
      <c r="A11" s="38" t="s">
        <v>69</v>
      </c>
      <c r="B11" s="41" t="s">
        <v>70</v>
      </c>
      <c r="C11" s="50">
        <v>1</v>
      </c>
      <c r="D11" s="39">
        <v>20000</v>
      </c>
      <c r="E11" s="39">
        <f>D11</f>
        <v>20000</v>
      </c>
    </row>
    <row r="12" spans="1:5">
      <c r="A12" s="38"/>
      <c r="B12" s="41"/>
      <c r="C12" s="50"/>
      <c r="D12" s="39"/>
      <c r="E12" s="39"/>
    </row>
    <row r="13" spans="1:5">
      <c r="A13" s="38"/>
      <c r="B13" s="51" t="s">
        <v>47</v>
      </c>
      <c r="C13" s="52"/>
      <c r="D13" s="52"/>
      <c r="E13" s="52">
        <f>SUM(E8:E12)</f>
        <v>22250</v>
      </c>
    </row>
    <row r="14" spans="1:5" ht="21" thickBot="1">
      <c r="A14" s="46" t="s">
        <v>56</v>
      </c>
      <c r="B14" s="46" t="s">
        <v>57</v>
      </c>
      <c r="C14" s="53"/>
      <c r="D14" s="54"/>
      <c r="E14" s="48" t="s">
        <v>42</v>
      </c>
    </row>
    <row r="15" spans="1:5" ht="21" thickTop="1">
      <c r="A15" s="38" t="s">
        <v>58</v>
      </c>
      <c r="B15" s="41" t="s">
        <v>59</v>
      </c>
      <c r="C15" s="42"/>
      <c r="D15" s="42"/>
      <c r="E15" s="39">
        <v>10300</v>
      </c>
    </row>
    <row r="16" spans="1:5">
      <c r="A16" s="38"/>
      <c r="B16" s="38"/>
      <c r="C16" s="42"/>
      <c r="D16" s="55"/>
      <c r="E16" s="39"/>
    </row>
    <row r="17" spans="1:5">
      <c r="A17" s="38"/>
      <c r="B17" s="38"/>
      <c r="C17" s="42"/>
      <c r="D17" s="55"/>
      <c r="E17" s="39"/>
    </row>
    <row r="18" spans="1:5">
      <c r="A18" s="56"/>
      <c r="B18" s="57" t="s">
        <v>47</v>
      </c>
      <c r="C18" s="52"/>
      <c r="D18" s="52"/>
      <c r="E18" s="52">
        <f>SUM(E15:E17)</f>
        <v>10300</v>
      </c>
    </row>
    <row r="19" spans="1:5" ht="21" thickBot="1">
      <c r="A19" s="58"/>
      <c r="B19" s="58" t="s">
        <v>60</v>
      </c>
      <c r="C19" s="59"/>
      <c r="D19" s="60"/>
      <c r="E19" s="61">
        <f>E7+E13+E18</f>
        <v>38300</v>
      </c>
    </row>
    <row r="20" spans="1:5" ht="21" thickTop="1"/>
  </sheetData>
  <pageMargins left="0.78740157499999996" right="0.78740157499999996" top="0.984251969" bottom="0.984251969" header="0.5" footer="0.5"/>
  <pageSetup paperSize="9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2"/>
  <sheetViews>
    <sheetView workbookViewId="0">
      <selection activeCell="G12" sqref="G12"/>
    </sheetView>
  </sheetViews>
  <sheetFormatPr defaultRowHeight="15"/>
  <cols>
    <col min="1" max="1" width="18" customWidth="1"/>
    <col min="2" max="7" width="14.28515625" bestFit="1" customWidth="1"/>
  </cols>
  <sheetData>
    <row r="3" spans="1:7">
      <c r="B3" s="91" t="s">
        <v>88</v>
      </c>
    </row>
    <row r="4" spans="1:7">
      <c r="A4" s="91" t="s">
        <v>85</v>
      </c>
      <c r="B4" t="s">
        <v>87</v>
      </c>
      <c r="C4" t="s">
        <v>89</v>
      </c>
      <c r="D4" t="s">
        <v>90</v>
      </c>
      <c r="E4" t="s">
        <v>91</v>
      </c>
      <c r="F4" t="s">
        <v>92</v>
      </c>
      <c r="G4" t="s">
        <v>93</v>
      </c>
    </row>
    <row r="5" spans="1:7">
      <c r="A5" s="92" t="s">
        <v>62</v>
      </c>
      <c r="B5" s="93">
        <v>0</v>
      </c>
      <c r="C5" s="93">
        <v>-101822.9034513839</v>
      </c>
      <c r="D5" s="93">
        <v>-112005.1937965223</v>
      </c>
      <c r="E5" s="93">
        <v>-123205.71317617454</v>
      </c>
      <c r="F5" s="93">
        <v>-135526.28449379199</v>
      </c>
      <c r="G5" s="93">
        <v>-149078.91294317122</v>
      </c>
    </row>
    <row r="6" spans="1:7">
      <c r="A6" s="92" t="s">
        <v>63</v>
      </c>
      <c r="B6" s="93">
        <v>-38300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</row>
    <row r="7" spans="1:7">
      <c r="A7" s="92" t="s">
        <v>86</v>
      </c>
      <c r="B7" s="93">
        <v>-38300</v>
      </c>
      <c r="C7" s="93">
        <v>-101822.9034513839</v>
      </c>
      <c r="D7" s="93">
        <v>-112005.1937965223</v>
      </c>
      <c r="E7" s="93">
        <v>-123205.71317617454</v>
      </c>
      <c r="F7" s="93">
        <v>-135526.28449379199</v>
      </c>
      <c r="G7" s="93">
        <v>-149078.91294317122</v>
      </c>
    </row>
    <row r="10" spans="1:7">
      <c r="A10" s="94" t="s">
        <v>94</v>
      </c>
      <c r="B10" s="95" t="s">
        <v>16</v>
      </c>
      <c r="C10" s="95" t="s">
        <v>0</v>
      </c>
      <c r="D10" s="95" t="s">
        <v>2</v>
      </c>
      <c r="E10" s="95" t="s">
        <v>3</v>
      </c>
      <c r="F10" s="95" t="s">
        <v>4</v>
      </c>
      <c r="G10" s="95" t="s">
        <v>5</v>
      </c>
    </row>
    <row r="11" spans="1:7">
      <c r="A11" s="92" t="s">
        <v>95</v>
      </c>
      <c r="B11" s="96">
        <v>0</v>
      </c>
      <c r="C11" s="96">
        <f>GETPIVOTDATA("Soma de Ano 1",$A$3,"Itens","(-) Custo fixo")*-1</f>
        <v>101822.9034513839</v>
      </c>
      <c r="D11" s="96">
        <f>GETPIVOTDATA("Soma de Ano 2",$A$3,"Itens","(-) Custo fixo")*-1</f>
        <v>112005.1937965223</v>
      </c>
      <c r="E11" s="96">
        <f>GETPIVOTDATA("Soma de Ano 3",$A$3,"Itens","(-) Custo fixo")*-1</f>
        <v>123205.71317617454</v>
      </c>
      <c r="F11" s="96">
        <f>GETPIVOTDATA("Soma de Ano 4",$A$3,"Itens","(-) Custo fixo")*-1</f>
        <v>135526.28449379199</v>
      </c>
      <c r="G11" s="96">
        <f>GETPIVOTDATA("Soma de Ano 5",$A$3,"Itens","(-) Custo fixo")*-1</f>
        <v>149078.91294317122</v>
      </c>
    </row>
    <row r="12" spans="1:7">
      <c r="A12" s="92" t="s">
        <v>96</v>
      </c>
      <c r="B12" s="96">
        <f>GETPIVOTDATA("Soma de Ano 0",$A$3,"Itens","(-) Custo variável")*-1</f>
        <v>38300</v>
      </c>
      <c r="C12" s="96">
        <v>0</v>
      </c>
      <c r="D12" s="96">
        <v>0</v>
      </c>
      <c r="E12" s="96">
        <v>0</v>
      </c>
      <c r="F12" s="96">
        <v>0</v>
      </c>
      <c r="G12" s="96">
        <v>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R61"/>
  <sheetViews>
    <sheetView showGridLines="0" tabSelected="1" topLeftCell="A19" zoomScale="90" zoomScaleNormal="90" workbookViewId="0">
      <selection activeCell="C40" sqref="C40:D40"/>
    </sheetView>
  </sheetViews>
  <sheetFormatPr defaultColWidth="8.85546875" defaultRowHeight="15"/>
  <cols>
    <col min="1" max="1" width="2.140625" style="12" customWidth="1"/>
    <col min="2" max="2" width="55.42578125" style="2" bestFit="1" customWidth="1"/>
    <col min="3" max="3" width="11.42578125" style="2" bestFit="1" customWidth="1"/>
    <col min="4" max="5" width="11.7109375" style="1" bestFit="1" customWidth="1"/>
    <col min="6" max="7" width="12" style="1" bestFit="1" customWidth="1"/>
    <col min="8" max="8" width="14" style="1" bestFit="1" customWidth="1"/>
    <col min="9" max="12" width="8.85546875" style="2"/>
    <col min="13" max="13" width="9" style="2" bestFit="1" customWidth="1"/>
    <col min="14" max="16384" width="8.85546875" style="2"/>
  </cols>
  <sheetData>
    <row r="1" spans="1:8" ht="29.25" customHeight="1" thickBot="1">
      <c r="B1" s="26" t="s">
        <v>98</v>
      </c>
      <c r="C1" s="27"/>
      <c r="D1" s="28"/>
      <c r="E1" s="28"/>
      <c r="F1" s="28"/>
      <c r="G1" s="28"/>
      <c r="H1" s="28"/>
    </row>
    <row r="2" spans="1:8" s="5" customFormat="1" ht="30" customHeight="1" thickBot="1">
      <c r="A2" s="4"/>
      <c r="B2" s="97"/>
      <c r="C2" s="98"/>
      <c r="D2" s="98">
        <v>2012</v>
      </c>
      <c r="E2" s="99">
        <v>2013</v>
      </c>
      <c r="F2" s="98">
        <v>2014</v>
      </c>
      <c r="G2" s="99">
        <v>2015</v>
      </c>
      <c r="H2" s="98">
        <v>2016</v>
      </c>
    </row>
    <row r="3" spans="1:8" s="3" customFormat="1" ht="26.25" customHeight="1" thickTop="1" thickBot="1">
      <c r="A3" s="6"/>
      <c r="B3" s="100" t="s">
        <v>1</v>
      </c>
      <c r="C3" s="101" t="s">
        <v>16</v>
      </c>
      <c r="D3" s="101" t="s">
        <v>0</v>
      </c>
      <c r="E3" s="101" t="s">
        <v>2</v>
      </c>
      <c r="F3" s="101" t="s">
        <v>3</v>
      </c>
      <c r="G3" s="101" t="s">
        <v>4</v>
      </c>
      <c r="H3" s="101" t="s">
        <v>5</v>
      </c>
    </row>
    <row r="4" spans="1:8" s="32" customFormat="1" ht="26.25" customHeight="1" thickTop="1">
      <c r="A4" s="6"/>
      <c r="B4" s="102" t="s">
        <v>68</v>
      </c>
      <c r="C4" s="103">
        <v>0</v>
      </c>
      <c r="D4" s="103">
        <v>70130</v>
      </c>
      <c r="E4" s="103">
        <v>210380</v>
      </c>
      <c r="F4" s="103">
        <v>493070</v>
      </c>
      <c r="G4" s="103">
        <v>920390</v>
      </c>
      <c r="H4" s="103">
        <v>1577810</v>
      </c>
    </row>
    <row r="5" spans="1:8" s="3" customFormat="1" ht="26.25" customHeight="1">
      <c r="A5" s="9"/>
      <c r="B5" s="104" t="s">
        <v>11</v>
      </c>
      <c r="C5" s="105">
        <f>-C4*75%</f>
        <v>0</v>
      </c>
      <c r="D5" s="105">
        <v>0</v>
      </c>
      <c r="E5" s="105">
        <v>0</v>
      </c>
      <c r="F5" s="105">
        <v>0</v>
      </c>
      <c r="G5" s="105">
        <v>0</v>
      </c>
      <c r="H5" s="105">
        <v>0</v>
      </c>
    </row>
    <row r="6" spans="1:8" s="3" customFormat="1" ht="26.25" customHeight="1">
      <c r="A6" s="11"/>
      <c r="B6" s="106" t="s">
        <v>97</v>
      </c>
      <c r="C6" s="107">
        <f t="shared" ref="C6" si="0">-(16%)*C4</f>
        <v>0</v>
      </c>
      <c r="D6" s="107">
        <f>-(6%)*D4</f>
        <v>-4207.8</v>
      </c>
      <c r="E6" s="107">
        <f t="shared" ref="E6:H6" si="1">-(6%)*E4</f>
        <v>-12622.8</v>
      </c>
      <c r="F6" s="107">
        <f t="shared" si="1"/>
        <v>-29584.199999999997</v>
      </c>
      <c r="G6" s="107">
        <f t="shared" si="1"/>
        <v>-55223.4</v>
      </c>
      <c r="H6" s="107">
        <f t="shared" si="1"/>
        <v>-94668.599999999991</v>
      </c>
    </row>
    <row r="7" spans="1:8" s="3" customFormat="1" ht="26.25" customHeight="1">
      <c r="A7" s="9"/>
      <c r="B7" s="108" t="s">
        <v>6</v>
      </c>
      <c r="C7" s="109">
        <f t="shared" ref="C7:H7" si="2">C4+SUM(C5:C6)</f>
        <v>0</v>
      </c>
      <c r="D7" s="109">
        <f t="shared" si="2"/>
        <v>65922.2</v>
      </c>
      <c r="E7" s="109">
        <f t="shared" si="2"/>
        <v>197757.2</v>
      </c>
      <c r="F7" s="109">
        <f t="shared" si="2"/>
        <v>463485.8</v>
      </c>
      <c r="G7" s="109">
        <f t="shared" si="2"/>
        <v>865166.6</v>
      </c>
      <c r="H7" s="109">
        <f t="shared" si="2"/>
        <v>1483141.4</v>
      </c>
    </row>
    <row r="8" spans="1:8" s="3" customFormat="1" ht="26.25" customHeight="1">
      <c r="A8" s="9"/>
      <c r="B8" s="104" t="s">
        <v>12</v>
      </c>
      <c r="C8" s="105">
        <v>-5750</v>
      </c>
      <c r="D8" s="105">
        <v>0</v>
      </c>
      <c r="E8" s="105">
        <v>0</v>
      </c>
      <c r="F8" s="105">
        <v>0</v>
      </c>
      <c r="G8" s="105">
        <v>0</v>
      </c>
      <c r="H8" s="105">
        <v>0</v>
      </c>
    </row>
    <row r="9" spans="1:8" s="3" customFormat="1" ht="26.25" customHeight="1">
      <c r="A9" s="9"/>
      <c r="B9" s="104" t="s">
        <v>18</v>
      </c>
      <c r="C9" s="105">
        <v>-2000</v>
      </c>
      <c r="D9" s="105">
        <v>0</v>
      </c>
      <c r="E9" s="105">
        <v>0</v>
      </c>
      <c r="F9" s="105">
        <v>0</v>
      </c>
      <c r="G9" s="105">
        <v>0</v>
      </c>
      <c r="H9" s="105">
        <v>0</v>
      </c>
    </row>
    <row r="10" spans="1:8" s="3" customFormat="1" ht="26.25" customHeight="1">
      <c r="A10" s="9"/>
      <c r="B10" s="104" t="s">
        <v>38</v>
      </c>
      <c r="C10" s="105">
        <v>-10300</v>
      </c>
      <c r="D10" s="105">
        <v>0</v>
      </c>
      <c r="E10" s="105">
        <v>0</v>
      </c>
      <c r="F10" s="105">
        <v>0</v>
      </c>
      <c r="G10" s="105">
        <v>0</v>
      </c>
      <c r="H10" s="105">
        <v>0</v>
      </c>
    </row>
    <row r="11" spans="1:8" s="3" customFormat="1" ht="26.25" customHeight="1">
      <c r="A11" s="9"/>
      <c r="B11" s="104" t="s">
        <v>71</v>
      </c>
      <c r="C11" s="105">
        <v>-20000</v>
      </c>
      <c r="D11" s="105">
        <v>0</v>
      </c>
      <c r="E11" s="105">
        <v>0</v>
      </c>
      <c r="F11" s="105">
        <v>0</v>
      </c>
      <c r="G11" s="105">
        <v>0</v>
      </c>
      <c r="H11" s="105">
        <v>0</v>
      </c>
    </row>
    <row r="12" spans="1:8" s="3" customFormat="1" ht="26.25" customHeight="1">
      <c r="A12" s="9"/>
      <c r="B12" s="104" t="s">
        <v>65</v>
      </c>
      <c r="C12" s="105">
        <v>-250</v>
      </c>
      <c r="D12" s="105">
        <v>0</v>
      </c>
      <c r="E12" s="105">
        <v>0</v>
      </c>
      <c r="F12" s="105">
        <v>0</v>
      </c>
      <c r="G12" s="105">
        <v>0</v>
      </c>
      <c r="H12" s="105">
        <v>0</v>
      </c>
    </row>
    <row r="13" spans="1:8" s="3" customFormat="1" ht="26.25" customHeight="1">
      <c r="A13" s="9"/>
      <c r="B13" s="108" t="s">
        <v>28</v>
      </c>
      <c r="C13" s="109">
        <f>SUM(C8:C12)</f>
        <v>-38300</v>
      </c>
      <c r="D13" s="109">
        <f>SUM(D7:D12)</f>
        <v>65922.2</v>
      </c>
      <c r="E13" s="109">
        <f>SUM(E7:E12)</f>
        <v>197757.2</v>
      </c>
      <c r="F13" s="109">
        <f>SUM(F7:F12)</f>
        <v>463485.8</v>
      </c>
      <c r="G13" s="109">
        <f>SUM(G7:G12)</f>
        <v>865166.6</v>
      </c>
      <c r="H13" s="109">
        <f>SUM(H7:H12)</f>
        <v>1483141.4</v>
      </c>
    </row>
    <row r="14" spans="1:8" s="3" customFormat="1" ht="26.25" customHeight="1">
      <c r="A14" s="9"/>
      <c r="B14" s="104" t="s">
        <v>39</v>
      </c>
      <c r="C14" s="105">
        <v>0</v>
      </c>
      <c r="D14" s="105">
        <f>-27196</f>
        <v>-27196</v>
      </c>
      <c r="E14" s="105">
        <f t="shared" ref="E14:H16" si="3">D14*1.1</f>
        <v>-29915.600000000002</v>
      </c>
      <c r="F14" s="105">
        <f t="shared" ref="F14" si="4">E14*1.1</f>
        <v>-32907.160000000003</v>
      </c>
      <c r="G14" s="105">
        <f t="shared" ref="G14" si="5">F14*1.1</f>
        <v>-36197.876000000004</v>
      </c>
      <c r="H14" s="105">
        <f t="shared" ref="H14" si="6">G14*1.1</f>
        <v>-39817.663600000007</v>
      </c>
    </row>
    <row r="15" spans="1:8" s="3" customFormat="1" ht="26.25" customHeight="1">
      <c r="A15" s="9"/>
      <c r="B15" s="104" t="s">
        <v>13</v>
      </c>
      <c r="C15" s="104">
        <v>0</v>
      </c>
      <c r="D15" s="105">
        <v>-74626.9034513839</v>
      </c>
      <c r="E15" s="105">
        <f t="shared" si="3"/>
        <v>-82089.593796522298</v>
      </c>
      <c r="F15" s="105">
        <f t="shared" si="3"/>
        <v>-90298.553176174537</v>
      </c>
      <c r="G15" s="105">
        <f t="shared" si="3"/>
        <v>-99328.408493791998</v>
      </c>
      <c r="H15" s="105">
        <f t="shared" si="3"/>
        <v>-109261.24934317121</v>
      </c>
    </row>
    <row r="16" spans="1:8" s="3" customFormat="1" ht="26.25" customHeight="1">
      <c r="A16" s="9"/>
      <c r="B16" s="106" t="s">
        <v>7</v>
      </c>
      <c r="C16" s="106">
        <v>0</v>
      </c>
      <c r="D16" s="107">
        <v>0</v>
      </c>
      <c r="E16" s="105">
        <f t="shared" si="3"/>
        <v>0</v>
      </c>
      <c r="F16" s="105">
        <f t="shared" si="3"/>
        <v>0</v>
      </c>
      <c r="G16" s="105">
        <f t="shared" si="3"/>
        <v>0</v>
      </c>
      <c r="H16" s="105">
        <f t="shared" si="3"/>
        <v>0</v>
      </c>
    </row>
    <row r="17" spans="1:252" s="3" customFormat="1" ht="26.25" customHeight="1">
      <c r="A17" s="9"/>
      <c r="B17" s="108" t="s">
        <v>27</v>
      </c>
      <c r="C17" s="109">
        <f t="shared" ref="C17:H17" si="7">SUM(C13:C16)</f>
        <v>-38300</v>
      </c>
      <c r="D17" s="109">
        <f t="shared" si="7"/>
        <v>-35900.703451383903</v>
      </c>
      <c r="E17" s="109">
        <f t="shared" si="7"/>
        <v>85752.006203477707</v>
      </c>
      <c r="F17" s="109">
        <f t="shared" si="7"/>
        <v>340280.08682382549</v>
      </c>
      <c r="G17" s="109">
        <f t="shared" si="7"/>
        <v>729640.31550620799</v>
      </c>
      <c r="H17" s="109">
        <f t="shared" si="7"/>
        <v>1334062.4870568286</v>
      </c>
    </row>
    <row r="18" spans="1:252" s="3" customFormat="1" ht="26.25" customHeight="1">
      <c r="A18" s="9"/>
      <c r="B18" s="106" t="s">
        <v>37</v>
      </c>
      <c r="C18" s="106">
        <v>0</v>
      </c>
      <c r="D18" s="110">
        <v>0</v>
      </c>
      <c r="E18" s="110">
        <v>0</v>
      </c>
      <c r="F18" s="110">
        <v>0</v>
      </c>
      <c r="G18" s="110">
        <v>0</v>
      </c>
      <c r="H18" s="110">
        <v>0</v>
      </c>
    </row>
    <row r="19" spans="1:252" s="3" customFormat="1" ht="26.25" customHeight="1">
      <c r="A19" s="9"/>
      <c r="B19" s="108" t="s">
        <v>8</v>
      </c>
      <c r="C19" s="109">
        <f>SUM(C17:C18)</f>
        <v>-38300</v>
      </c>
      <c r="D19" s="109">
        <f>SUM(D17:D18)</f>
        <v>-35900.703451383903</v>
      </c>
      <c r="E19" s="109">
        <f>E17+E18</f>
        <v>85752.006203477707</v>
      </c>
      <c r="F19" s="109">
        <f>F17+F18</f>
        <v>340280.08682382549</v>
      </c>
      <c r="G19" s="109">
        <f>G17+G18</f>
        <v>729640.31550620799</v>
      </c>
      <c r="H19" s="109">
        <f>H17+H18</f>
        <v>1334062.4870568286</v>
      </c>
    </row>
    <row r="20" spans="1:252" s="3" customFormat="1" ht="26.25" customHeight="1">
      <c r="A20" s="9"/>
      <c r="B20" s="106" t="s">
        <v>67</v>
      </c>
      <c r="C20" s="107">
        <f t="shared" ref="C20:H20" si="8">IF(C19&gt;0,-(24%*C19),0)</f>
        <v>0</v>
      </c>
      <c r="D20" s="107">
        <f t="shared" si="8"/>
        <v>0</v>
      </c>
      <c r="E20" s="107">
        <f t="shared" si="8"/>
        <v>-20580.481488834648</v>
      </c>
      <c r="F20" s="107">
        <f t="shared" si="8"/>
        <v>-81667.220837718109</v>
      </c>
      <c r="G20" s="107">
        <f t="shared" si="8"/>
        <v>-175113.67572148991</v>
      </c>
      <c r="H20" s="107">
        <f t="shared" si="8"/>
        <v>-320174.99689363886</v>
      </c>
    </row>
    <row r="21" spans="1:252" s="3" customFormat="1" ht="26.25" customHeight="1">
      <c r="A21" s="9"/>
      <c r="B21" s="108" t="s">
        <v>9</v>
      </c>
      <c r="C21" s="109">
        <f>SUM(C19:C20)</f>
        <v>-38300</v>
      </c>
      <c r="D21" s="109">
        <f>SUM(D19:D20)</f>
        <v>-35900.703451383903</v>
      </c>
      <c r="E21" s="109">
        <f>E19+E20</f>
        <v>65171.524714643063</v>
      </c>
      <c r="F21" s="109">
        <f>F19+F20</f>
        <v>258612.86598610738</v>
      </c>
      <c r="G21" s="109">
        <f>G19+G20</f>
        <v>554526.63978471805</v>
      </c>
      <c r="H21" s="109">
        <f>H19+H20</f>
        <v>1013887.4901631897</v>
      </c>
    </row>
    <row r="22" spans="1:252" s="24" customFormat="1" ht="26.25" customHeight="1">
      <c r="A22" s="21"/>
      <c r="B22" s="22"/>
      <c r="C22" s="23"/>
      <c r="D22" s="23"/>
      <c r="E22" s="23"/>
      <c r="F22" s="23"/>
      <c r="G22" s="23"/>
      <c r="H22" s="23"/>
    </row>
    <row r="23" spans="1:252" s="24" customFormat="1" ht="26.25" customHeight="1">
      <c r="A23" s="21"/>
      <c r="B23" s="22"/>
      <c r="C23" s="23"/>
      <c r="D23" s="23"/>
      <c r="E23" s="23"/>
      <c r="F23" s="23"/>
      <c r="G23" s="23"/>
      <c r="H23" s="23"/>
    </row>
    <row r="24" spans="1:252" s="24" customFormat="1" ht="26.25" customHeight="1" thickBot="1">
      <c r="A24" s="21"/>
      <c r="B24" s="26" t="s">
        <v>29</v>
      </c>
      <c r="C24" s="27"/>
      <c r="D24" s="28"/>
      <c r="E24" s="28"/>
      <c r="F24" s="28"/>
      <c r="G24" s="28"/>
      <c r="H24" s="28"/>
    </row>
    <row r="25" spans="1:252" s="24" customFormat="1" ht="26.25" customHeight="1" thickBot="1">
      <c r="A25" s="21"/>
      <c r="B25" s="30"/>
      <c r="C25" s="30"/>
      <c r="D25" s="30">
        <v>2012</v>
      </c>
      <c r="E25" s="31">
        <v>2013</v>
      </c>
      <c r="F25" s="30">
        <v>2014</v>
      </c>
      <c r="G25" s="31">
        <v>2015</v>
      </c>
      <c r="H25" s="30">
        <v>2016</v>
      </c>
    </row>
    <row r="26" spans="1:252" s="24" customFormat="1" ht="26.25" customHeight="1" thickTop="1" thickBot="1">
      <c r="A26" s="21"/>
      <c r="B26" s="29" t="s">
        <v>1</v>
      </c>
      <c r="C26" s="8" t="s">
        <v>16</v>
      </c>
      <c r="D26" s="8" t="s">
        <v>0</v>
      </c>
      <c r="E26" s="8" t="s">
        <v>2</v>
      </c>
      <c r="F26" s="8" t="s">
        <v>3</v>
      </c>
      <c r="G26" s="8" t="s">
        <v>4</v>
      </c>
      <c r="H26" s="8" t="s">
        <v>5</v>
      </c>
    </row>
    <row r="27" spans="1:252" s="32" customFormat="1" ht="26.25" customHeight="1" thickTop="1">
      <c r="A27" s="6"/>
      <c r="B27" s="66" t="s">
        <v>34</v>
      </c>
      <c r="C27" s="67">
        <f t="shared" ref="C27:H29" si="9">C4</f>
        <v>0</v>
      </c>
      <c r="D27" s="67">
        <f t="shared" si="9"/>
        <v>70130</v>
      </c>
      <c r="E27" s="67">
        <f t="shared" si="9"/>
        <v>210380</v>
      </c>
      <c r="F27" s="67">
        <f t="shared" si="9"/>
        <v>493070</v>
      </c>
      <c r="G27" s="67">
        <f t="shared" si="9"/>
        <v>920390</v>
      </c>
      <c r="H27" s="67">
        <f t="shared" si="9"/>
        <v>1577810</v>
      </c>
    </row>
    <row r="28" spans="1:252" s="32" customFormat="1" ht="26.25" customHeight="1">
      <c r="A28" s="6"/>
      <c r="B28" s="76" t="s">
        <v>11</v>
      </c>
      <c r="C28" s="77">
        <f t="shared" si="9"/>
        <v>0</v>
      </c>
      <c r="D28" s="77">
        <f t="shared" si="9"/>
        <v>0</v>
      </c>
      <c r="E28" s="77">
        <f t="shared" si="9"/>
        <v>0</v>
      </c>
      <c r="F28" s="77">
        <f t="shared" si="9"/>
        <v>0</v>
      </c>
      <c r="G28" s="77">
        <f t="shared" si="9"/>
        <v>0</v>
      </c>
      <c r="H28" s="77">
        <f t="shared" si="9"/>
        <v>0</v>
      </c>
    </row>
    <row r="29" spans="1:252" s="32" customFormat="1" ht="26.25" customHeight="1">
      <c r="A29" s="6"/>
      <c r="B29" s="76" t="s">
        <v>97</v>
      </c>
      <c r="C29" s="77">
        <f t="shared" si="9"/>
        <v>0</v>
      </c>
      <c r="D29" s="77">
        <f t="shared" si="9"/>
        <v>-4207.8</v>
      </c>
      <c r="E29" s="77">
        <f t="shared" si="9"/>
        <v>-12622.8</v>
      </c>
      <c r="F29" s="77">
        <f t="shared" si="9"/>
        <v>-29584.199999999997</v>
      </c>
      <c r="G29" s="77">
        <f t="shared" si="9"/>
        <v>-55223.4</v>
      </c>
      <c r="H29" s="77">
        <f t="shared" si="9"/>
        <v>-94668.599999999991</v>
      </c>
    </row>
    <row r="30" spans="1:252" s="32" customFormat="1" ht="26.25" customHeight="1">
      <c r="A30" s="6"/>
      <c r="B30" s="66" t="s">
        <v>35</v>
      </c>
      <c r="C30" s="67">
        <f t="shared" ref="C30:H30" si="10">SUM(C27:C29)</f>
        <v>0</v>
      </c>
      <c r="D30" s="67">
        <f t="shared" si="10"/>
        <v>65922.2</v>
      </c>
      <c r="E30" s="67">
        <f t="shared" si="10"/>
        <v>197757.2</v>
      </c>
      <c r="F30" s="67">
        <f t="shared" si="10"/>
        <v>463485.8</v>
      </c>
      <c r="G30" s="67">
        <f t="shared" si="10"/>
        <v>865166.6</v>
      </c>
      <c r="H30" s="67">
        <f t="shared" si="10"/>
        <v>1483141.4</v>
      </c>
    </row>
    <row r="31" spans="1:252" s="3" customFormat="1" ht="26.25" customHeight="1">
      <c r="A31" s="9"/>
      <c r="B31" s="78" t="s">
        <v>30</v>
      </c>
      <c r="C31" s="79">
        <f>C32+C33</f>
        <v>-38300</v>
      </c>
      <c r="D31" s="79">
        <f>SUM(D14:D16)+D9</f>
        <v>-101822.9034513839</v>
      </c>
      <c r="E31" s="79">
        <f>SUM(E14:E16)+E9</f>
        <v>-112005.1937965223</v>
      </c>
      <c r="F31" s="79">
        <f>SUM(F14:F16)+F9</f>
        <v>-123205.71317617454</v>
      </c>
      <c r="G31" s="79">
        <f>SUM(G14:G16)+G9</f>
        <v>-135526.28449379199</v>
      </c>
      <c r="H31" s="79">
        <f>SUM(H14:H16)+H9</f>
        <v>-149078.91294317122</v>
      </c>
      <c r="IR31" s="10"/>
    </row>
    <row r="32" spans="1:252" s="3" customFormat="1" ht="26.25" customHeight="1">
      <c r="A32" s="9"/>
      <c r="B32" s="80" t="s">
        <v>63</v>
      </c>
      <c r="C32" s="81">
        <f t="shared" ref="C32:H32" si="11">SUM(C8:C12)</f>
        <v>-38300</v>
      </c>
      <c r="D32" s="81">
        <f t="shared" si="11"/>
        <v>0</v>
      </c>
      <c r="E32" s="81">
        <f t="shared" si="11"/>
        <v>0</v>
      </c>
      <c r="F32" s="81">
        <f t="shared" si="11"/>
        <v>0</v>
      </c>
      <c r="G32" s="81">
        <f t="shared" si="11"/>
        <v>0</v>
      </c>
      <c r="H32" s="81">
        <f t="shared" si="11"/>
        <v>0</v>
      </c>
      <c r="IR32" s="10"/>
    </row>
    <row r="33" spans="1:252" s="3" customFormat="1" ht="26.25" customHeight="1">
      <c r="A33" s="9"/>
      <c r="B33" s="80" t="s">
        <v>62</v>
      </c>
      <c r="C33" s="81">
        <f t="shared" ref="C33:H33" si="12">SUM(C14:C16)</f>
        <v>0</v>
      </c>
      <c r="D33" s="81">
        <f t="shared" si="12"/>
        <v>-101822.9034513839</v>
      </c>
      <c r="E33" s="81">
        <f t="shared" si="12"/>
        <v>-112005.1937965223</v>
      </c>
      <c r="F33" s="81">
        <f t="shared" si="12"/>
        <v>-123205.71317617454</v>
      </c>
      <c r="G33" s="81">
        <f t="shared" si="12"/>
        <v>-135526.28449379199</v>
      </c>
      <c r="H33" s="81">
        <f t="shared" si="12"/>
        <v>-149078.91294317122</v>
      </c>
      <c r="IR33" s="10"/>
    </row>
    <row r="34" spans="1:252" s="3" customFormat="1" ht="26.25" customHeight="1">
      <c r="A34" s="9"/>
      <c r="B34" s="71" t="s">
        <v>31</v>
      </c>
      <c r="C34" s="72">
        <f t="shared" ref="C34:H34" si="13">C30+C31</f>
        <v>-38300</v>
      </c>
      <c r="D34" s="72">
        <f t="shared" si="13"/>
        <v>-35900.703451383903</v>
      </c>
      <c r="E34" s="72">
        <f t="shared" si="13"/>
        <v>85752.006203477707</v>
      </c>
      <c r="F34" s="72">
        <f t="shared" si="13"/>
        <v>340280.08682382543</v>
      </c>
      <c r="G34" s="72">
        <f t="shared" si="13"/>
        <v>729640.31550620799</v>
      </c>
      <c r="H34" s="72">
        <f t="shared" si="13"/>
        <v>1334062.4870568286</v>
      </c>
    </row>
    <row r="35" spans="1:252" s="33" customFormat="1" ht="26.25" customHeight="1">
      <c r="A35" s="9"/>
      <c r="B35" s="69" t="s">
        <v>66</v>
      </c>
      <c r="C35" s="70">
        <f t="shared" ref="C35:H35" si="14">C20</f>
        <v>0</v>
      </c>
      <c r="D35" s="70">
        <f t="shared" si="14"/>
        <v>0</v>
      </c>
      <c r="E35" s="70">
        <f t="shared" si="14"/>
        <v>-20580.481488834648</v>
      </c>
      <c r="F35" s="70">
        <f t="shared" si="14"/>
        <v>-81667.220837718109</v>
      </c>
      <c r="G35" s="70">
        <f t="shared" si="14"/>
        <v>-175113.67572148991</v>
      </c>
      <c r="H35" s="70">
        <f t="shared" si="14"/>
        <v>-320174.99689363886</v>
      </c>
    </row>
    <row r="36" spans="1:252" s="3" customFormat="1" ht="26.25" customHeight="1">
      <c r="A36" s="9"/>
      <c r="B36" s="71" t="s">
        <v>32</v>
      </c>
      <c r="C36" s="72">
        <f t="shared" ref="C36:H36" si="15">SUM(C34:C35)</f>
        <v>-38300</v>
      </c>
      <c r="D36" s="72">
        <f t="shared" si="15"/>
        <v>-35900.703451383903</v>
      </c>
      <c r="E36" s="72">
        <f t="shared" si="15"/>
        <v>65171.524714643063</v>
      </c>
      <c r="F36" s="72">
        <f t="shared" si="15"/>
        <v>258612.86598610732</v>
      </c>
      <c r="G36" s="72">
        <f t="shared" si="15"/>
        <v>554526.63978471805</v>
      </c>
      <c r="H36" s="72">
        <f t="shared" si="15"/>
        <v>1013887.4901631897</v>
      </c>
    </row>
    <row r="37" spans="1:252" s="33" customFormat="1" ht="26.25" customHeight="1">
      <c r="A37" s="9"/>
      <c r="B37" s="69" t="s">
        <v>36</v>
      </c>
      <c r="C37" s="70">
        <f t="shared" ref="C37:H37" si="16">C18</f>
        <v>0</v>
      </c>
      <c r="D37" s="70">
        <f t="shared" si="16"/>
        <v>0</v>
      </c>
      <c r="E37" s="70">
        <f t="shared" si="16"/>
        <v>0</v>
      </c>
      <c r="F37" s="70">
        <f t="shared" si="16"/>
        <v>0</v>
      </c>
      <c r="G37" s="70">
        <f t="shared" si="16"/>
        <v>0</v>
      </c>
      <c r="H37" s="70">
        <f t="shared" si="16"/>
        <v>0</v>
      </c>
    </row>
    <row r="38" spans="1:252" s="3" customFormat="1" ht="26.25" customHeight="1">
      <c r="A38" s="9"/>
      <c r="B38" s="82" t="s">
        <v>33</v>
      </c>
      <c r="C38" s="83">
        <f t="shared" ref="C38:H38" si="17">SUM(C36:C37)</f>
        <v>-38300</v>
      </c>
      <c r="D38" s="83">
        <f t="shared" si="17"/>
        <v>-35900.703451383903</v>
      </c>
      <c r="E38" s="83">
        <f t="shared" si="17"/>
        <v>65171.524714643063</v>
      </c>
      <c r="F38" s="83">
        <f t="shared" si="17"/>
        <v>258612.86598610732</v>
      </c>
      <c r="G38" s="83">
        <f t="shared" si="17"/>
        <v>554526.63978471805</v>
      </c>
      <c r="H38" s="83">
        <f t="shared" si="17"/>
        <v>1013887.4901631897</v>
      </c>
    </row>
    <row r="39" spans="1:252" s="24" customFormat="1" ht="26.25" customHeight="1">
      <c r="A39" s="21"/>
      <c r="B39" s="84"/>
      <c r="C39" s="85"/>
      <c r="D39" s="85"/>
      <c r="E39" s="85"/>
      <c r="F39" s="85"/>
      <c r="G39" s="85"/>
      <c r="H39" s="85"/>
    </row>
    <row r="40" spans="1:252" s="3" customFormat="1" ht="26.25" customHeight="1">
      <c r="A40" s="9"/>
      <c r="B40" s="86" t="s">
        <v>10</v>
      </c>
      <c r="C40" s="87">
        <f t="shared" ref="C40:H40" si="18">C38</f>
        <v>-38300</v>
      </c>
      <c r="D40" s="87">
        <f t="shared" si="18"/>
        <v>-35900.703451383903</v>
      </c>
      <c r="E40" s="87">
        <f t="shared" si="18"/>
        <v>65171.524714643063</v>
      </c>
      <c r="F40" s="87">
        <f t="shared" si="18"/>
        <v>258612.86598610732</v>
      </c>
      <c r="G40" s="87">
        <f t="shared" si="18"/>
        <v>554526.63978471805</v>
      </c>
      <c r="H40" s="87">
        <f t="shared" si="18"/>
        <v>1013887.4901631897</v>
      </c>
    </row>
    <row r="41" spans="1:252" s="3" customFormat="1" ht="26.25" customHeight="1">
      <c r="A41" s="9"/>
      <c r="B41" s="88" t="s">
        <v>19</v>
      </c>
      <c r="C41" s="89">
        <f>C40</f>
        <v>-38300</v>
      </c>
      <c r="D41" s="89">
        <f>D40+C41</f>
        <v>-74200.703451383903</v>
      </c>
      <c r="E41" s="89">
        <f>E40+D41</f>
        <v>-9029.1787367408397</v>
      </c>
      <c r="F41" s="89">
        <f>F40+E41</f>
        <v>249583.68724936649</v>
      </c>
      <c r="G41" s="89">
        <f>G40+F41</f>
        <v>804110.32703408459</v>
      </c>
      <c r="H41" s="89">
        <f>H40+G41</f>
        <v>1817997.8171972744</v>
      </c>
    </row>
    <row r="42" spans="1:252" s="24" customFormat="1" ht="18.75" customHeight="1">
      <c r="A42" s="21"/>
      <c r="B42" s="22"/>
      <c r="C42" s="23"/>
      <c r="D42" s="23"/>
      <c r="E42" s="23"/>
      <c r="F42" s="23"/>
      <c r="G42" s="23"/>
      <c r="H42" s="23"/>
    </row>
    <row r="43" spans="1:252" s="24" customFormat="1" ht="26.25" customHeight="1">
      <c r="A43" s="21"/>
      <c r="B43" s="22" t="s">
        <v>25</v>
      </c>
      <c r="C43" s="25">
        <v>0.1</v>
      </c>
      <c r="D43" s="23">
        <v>1</v>
      </c>
      <c r="E43" s="23">
        <v>2</v>
      </c>
      <c r="F43" s="23">
        <v>3</v>
      </c>
      <c r="G43" s="23">
        <v>4</v>
      </c>
      <c r="H43" s="23">
        <v>5</v>
      </c>
    </row>
    <row r="44" spans="1:252" s="3" customFormat="1" ht="26.25" customHeight="1">
      <c r="A44" s="9"/>
      <c r="B44" s="86" t="s">
        <v>23</v>
      </c>
      <c r="C44" s="87">
        <f>C40</f>
        <v>-38300</v>
      </c>
      <c r="D44" s="87">
        <f>PV($C$43,D43,0,-D40)</f>
        <v>-32637.003137621727</v>
      </c>
      <c r="E44" s="87">
        <f>PV($C$43,E43,0,-E40)</f>
        <v>53860.764226977728</v>
      </c>
      <c r="F44" s="87">
        <f>PV($C$43,F43,0,-F40)</f>
        <v>194299.67391893858</v>
      </c>
      <c r="G44" s="87">
        <f>PV($C$43,G43,0,-G40)</f>
        <v>378749.15633134206</v>
      </c>
      <c r="H44" s="87">
        <f>PV($C$43,H43,0,-H40)</f>
        <v>629544.3618252537</v>
      </c>
    </row>
    <row r="45" spans="1:252" s="3" customFormat="1" ht="26.25" customHeight="1">
      <c r="A45" s="9"/>
      <c r="B45" s="88" t="s">
        <v>24</v>
      </c>
      <c r="C45" s="89">
        <f>C44</f>
        <v>-38300</v>
      </c>
      <c r="D45" s="89">
        <f>D44+C45</f>
        <v>-70937.003137621723</v>
      </c>
      <c r="E45" s="89">
        <f>E44+D45</f>
        <v>-17076.238910643995</v>
      </c>
      <c r="F45" s="89">
        <f>F44+E45</f>
        <v>177223.43500829459</v>
      </c>
      <c r="G45" s="89">
        <f>G44+F45</f>
        <v>555972.59133963659</v>
      </c>
      <c r="H45" s="89">
        <f>H44+G45</f>
        <v>1185516.9531648904</v>
      </c>
    </row>
    <row r="46" spans="1:252" ht="15.75" thickBot="1"/>
    <row r="47" spans="1:252" ht="24" customHeight="1" thickBot="1">
      <c r="B47" s="13" t="s">
        <v>17</v>
      </c>
      <c r="C47" s="62">
        <v>0.2</v>
      </c>
      <c r="D47" s="63"/>
      <c r="E47" s="63"/>
      <c r="F47" s="63"/>
      <c r="G47" s="63"/>
      <c r="H47" s="63"/>
    </row>
    <row r="48" spans="1:252" ht="24" customHeight="1" thickBot="1">
      <c r="B48" s="13" t="s">
        <v>14</v>
      </c>
      <c r="C48" s="16">
        <f>NPV(C47,$C$40:$H$40)+$C$40</f>
        <v>629684.8334602461</v>
      </c>
      <c r="D48" s="64"/>
      <c r="E48" s="64"/>
      <c r="F48" s="64"/>
      <c r="G48" s="64"/>
      <c r="H48" s="64"/>
    </row>
    <row r="49" spans="2:6" ht="24" customHeight="1" thickBot="1">
      <c r="B49" s="13" t="s">
        <v>15</v>
      </c>
      <c r="C49" s="17">
        <f>IRR(C40:H40)</f>
        <v>1.4835398080619311</v>
      </c>
    </row>
    <row r="50" spans="2:6" ht="24" customHeight="1" thickBot="1">
      <c r="B50" s="13" t="s">
        <v>20</v>
      </c>
      <c r="C50" s="18">
        <f>COUNTIF(D41:H41,"&lt;0")</f>
        <v>2</v>
      </c>
      <c r="D50" s="20" t="s">
        <v>22</v>
      </c>
      <c r="E50" s="90">
        <f>(-E41/F40)*12</f>
        <v>0.41896656776044022</v>
      </c>
      <c r="F50" s="20" t="s">
        <v>21</v>
      </c>
    </row>
    <row r="51" spans="2:6" ht="21" customHeight="1" thickBot="1">
      <c r="B51" s="13" t="s">
        <v>26</v>
      </c>
      <c r="C51" s="18">
        <f>COUNTIF(D45:H45,"&lt;0")</f>
        <v>2</v>
      </c>
      <c r="D51" s="20" t="s">
        <v>22</v>
      </c>
      <c r="E51" s="90">
        <f>(-E45/F44)*12</f>
        <v>1.054633097393761</v>
      </c>
      <c r="F51" s="20" t="s">
        <v>21</v>
      </c>
    </row>
    <row r="53" spans="2:6">
      <c r="F53" s="19"/>
    </row>
    <row r="57" spans="2:6">
      <c r="D57" s="15"/>
    </row>
    <row r="61" spans="2:6">
      <c r="C61" s="14"/>
    </row>
  </sheetData>
  <pageMargins left="0.78740157499999996" right="0.78740157499999996" top="0.984251969" bottom="0.984251969" header="0.49212598499999999" footer="0.49212598499999999"/>
  <pageSetup paperSize="9" orientation="portrait" horizontalDpi="4294967294" verticalDpi="4294967294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61"/>
  <sheetViews>
    <sheetView showGridLines="0" zoomScale="75" zoomScaleNormal="75" workbookViewId="0">
      <selection activeCell="P21" sqref="B1:P21"/>
    </sheetView>
  </sheetViews>
  <sheetFormatPr defaultColWidth="8.85546875" defaultRowHeight="15"/>
  <cols>
    <col min="1" max="1" width="2.140625" style="12" customWidth="1"/>
    <col min="2" max="2" width="59.42578125" style="2" bestFit="1" customWidth="1"/>
    <col min="3" max="3" width="11.5703125" style="2" bestFit="1" customWidth="1"/>
    <col min="4" max="8" width="10.28515625" style="1" bestFit="1" customWidth="1"/>
    <col min="9" max="13" width="10.28515625" style="2" bestFit="1" customWidth="1"/>
    <col min="14" max="14" width="9.42578125" style="2" bestFit="1" customWidth="1"/>
    <col min="15" max="15" width="10" style="2" bestFit="1" customWidth="1"/>
    <col min="16" max="16" width="11.5703125" style="2" bestFit="1" customWidth="1"/>
    <col min="17" max="16384" width="8.85546875" style="2"/>
  </cols>
  <sheetData>
    <row r="1" spans="1:16" ht="29.25" customHeight="1" thickBot="1">
      <c r="B1" s="26" t="s">
        <v>84</v>
      </c>
      <c r="C1" s="27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s="5" customFormat="1" ht="30" customHeight="1" thickBot="1">
      <c r="A2" s="4"/>
      <c r="B2" s="4"/>
      <c r="C2" s="34"/>
      <c r="D2" s="111" t="s">
        <v>0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</row>
    <row r="3" spans="1:16" s="3" customFormat="1" ht="26.25" customHeight="1" thickTop="1" thickBot="1">
      <c r="A3" s="6"/>
      <c r="B3" s="7" t="s">
        <v>1</v>
      </c>
      <c r="C3" s="8" t="s">
        <v>16</v>
      </c>
      <c r="D3" s="8" t="s">
        <v>72</v>
      </c>
      <c r="E3" s="8" t="s">
        <v>73</v>
      </c>
      <c r="F3" s="8" t="s">
        <v>74</v>
      </c>
      <c r="G3" s="8" t="s">
        <v>75</v>
      </c>
      <c r="H3" s="8" t="s">
        <v>76</v>
      </c>
      <c r="I3" s="8" t="s">
        <v>77</v>
      </c>
      <c r="J3" s="8" t="s">
        <v>78</v>
      </c>
      <c r="K3" s="8" t="s">
        <v>79</v>
      </c>
      <c r="L3" s="8" t="s">
        <v>80</v>
      </c>
      <c r="M3" s="8" t="s">
        <v>81</v>
      </c>
      <c r="N3" s="8" t="s">
        <v>82</v>
      </c>
      <c r="O3" s="8" t="s">
        <v>83</v>
      </c>
      <c r="P3" s="8" t="s">
        <v>51</v>
      </c>
    </row>
    <row r="4" spans="1:16" s="32" customFormat="1" ht="26.25" customHeight="1" thickTop="1">
      <c r="A4" s="6"/>
      <c r="B4" s="66" t="s">
        <v>68</v>
      </c>
      <c r="C4" s="67">
        <v>0</v>
      </c>
      <c r="D4" s="67">
        <v>2000</v>
      </c>
      <c r="E4" s="67">
        <v>3000</v>
      </c>
      <c r="F4" s="67">
        <v>4000</v>
      </c>
      <c r="G4" s="67">
        <v>4500</v>
      </c>
      <c r="H4" s="67">
        <v>5000</v>
      </c>
      <c r="I4" s="67">
        <v>5250</v>
      </c>
      <c r="J4" s="67">
        <v>6000</v>
      </c>
      <c r="K4" s="67">
        <v>6380</v>
      </c>
      <c r="L4" s="67">
        <v>7000</v>
      </c>
      <c r="M4" s="67">
        <v>8000</v>
      </c>
      <c r="N4" s="67">
        <v>9000</v>
      </c>
      <c r="O4" s="67">
        <v>10000</v>
      </c>
      <c r="P4" s="67">
        <f>SUM(D4:O4)</f>
        <v>70130</v>
      </c>
    </row>
    <row r="5" spans="1:16" s="3" customFormat="1" ht="26.25" customHeight="1">
      <c r="A5" s="9"/>
      <c r="B5" s="68" t="s">
        <v>11</v>
      </c>
      <c r="C5" s="65">
        <f>-C4*75%</f>
        <v>0</v>
      </c>
      <c r="D5" s="65">
        <v>0</v>
      </c>
      <c r="E5" s="65">
        <v>0</v>
      </c>
      <c r="F5" s="65">
        <v>0</v>
      </c>
      <c r="G5" s="65">
        <v>0</v>
      </c>
      <c r="H5" s="65">
        <v>0</v>
      </c>
    </row>
    <row r="6" spans="1:16" s="3" customFormat="1" ht="26.25" customHeight="1">
      <c r="A6" s="11"/>
      <c r="B6" s="69" t="s">
        <v>97</v>
      </c>
      <c r="C6" s="70">
        <f t="shared" ref="C6" si="0">-(16%)*C4</f>
        <v>0</v>
      </c>
      <c r="D6" s="70">
        <f>-(6%)*D4</f>
        <v>-120</v>
      </c>
      <c r="E6" s="70">
        <f t="shared" ref="E6:O6" si="1">-(6%)*E4</f>
        <v>-180</v>
      </c>
      <c r="F6" s="70">
        <f t="shared" si="1"/>
        <v>-240</v>
      </c>
      <c r="G6" s="70">
        <f t="shared" si="1"/>
        <v>-270</v>
      </c>
      <c r="H6" s="70">
        <f t="shared" si="1"/>
        <v>-300</v>
      </c>
      <c r="I6" s="70">
        <f t="shared" si="1"/>
        <v>-315</v>
      </c>
      <c r="J6" s="70">
        <f t="shared" si="1"/>
        <v>-360</v>
      </c>
      <c r="K6" s="70">
        <f t="shared" si="1"/>
        <v>-382.8</v>
      </c>
      <c r="L6" s="70">
        <f t="shared" si="1"/>
        <v>-420</v>
      </c>
      <c r="M6" s="70">
        <f t="shared" si="1"/>
        <v>-480</v>
      </c>
      <c r="N6" s="70">
        <f t="shared" si="1"/>
        <v>-540</v>
      </c>
      <c r="O6" s="70">
        <f t="shared" si="1"/>
        <v>-600</v>
      </c>
      <c r="P6" s="70">
        <f>SUM(C6:O6)</f>
        <v>-4207.8</v>
      </c>
    </row>
    <row r="7" spans="1:16" s="3" customFormat="1" ht="26.25" customHeight="1">
      <c r="A7" s="9"/>
      <c r="B7" s="71" t="s">
        <v>6</v>
      </c>
      <c r="C7" s="72">
        <f t="shared" ref="C7:P7" si="2">C4+SUM(C5:C6)</f>
        <v>0</v>
      </c>
      <c r="D7" s="72">
        <f t="shared" si="2"/>
        <v>1880</v>
      </c>
      <c r="E7" s="72">
        <f t="shared" si="2"/>
        <v>2820</v>
      </c>
      <c r="F7" s="72">
        <f t="shared" si="2"/>
        <v>3760</v>
      </c>
      <c r="G7" s="72">
        <f t="shared" si="2"/>
        <v>4230</v>
      </c>
      <c r="H7" s="72">
        <f t="shared" si="2"/>
        <v>4700</v>
      </c>
      <c r="I7" s="72">
        <f t="shared" si="2"/>
        <v>4935</v>
      </c>
      <c r="J7" s="72">
        <f t="shared" si="2"/>
        <v>5640</v>
      </c>
      <c r="K7" s="72">
        <f t="shared" si="2"/>
        <v>5997.2</v>
      </c>
      <c r="L7" s="72">
        <f t="shared" si="2"/>
        <v>6580</v>
      </c>
      <c r="M7" s="72">
        <f t="shared" si="2"/>
        <v>7520</v>
      </c>
      <c r="N7" s="72">
        <f t="shared" si="2"/>
        <v>8460</v>
      </c>
      <c r="O7" s="72">
        <f t="shared" si="2"/>
        <v>9400</v>
      </c>
      <c r="P7" s="72">
        <f t="shared" si="2"/>
        <v>65922.2</v>
      </c>
    </row>
    <row r="8" spans="1:16" s="3" customFormat="1" ht="26.25" customHeight="1">
      <c r="A8" s="9"/>
      <c r="B8" s="68" t="s">
        <v>12</v>
      </c>
      <c r="C8" s="65">
        <v>-5750</v>
      </c>
      <c r="D8" s="65">
        <v>0</v>
      </c>
      <c r="E8" s="65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5">
        <v>0</v>
      </c>
      <c r="M8" s="65">
        <v>0</v>
      </c>
      <c r="N8" s="65">
        <v>0</v>
      </c>
      <c r="O8" s="65">
        <v>0</v>
      </c>
      <c r="P8" s="65">
        <v>0</v>
      </c>
    </row>
    <row r="9" spans="1:16" s="3" customFormat="1" ht="26.25" customHeight="1">
      <c r="A9" s="9"/>
      <c r="B9" s="68" t="s">
        <v>18</v>
      </c>
      <c r="C9" s="65">
        <v>-2000</v>
      </c>
      <c r="D9" s="65">
        <v>0</v>
      </c>
      <c r="E9" s="65">
        <v>0</v>
      </c>
      <c r="F9" s="65">
        <v>0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</row>
    <row r="10" spans="1:16" s="3" customFormat="1" ht="26.25" customHeight="1">
      <c r="A10" s="9"/>
      <c r="B10" s="68" t="s">
        <v>38</v>
      </c>
      <c r="C10" s="65">
        <v>-10300</v>
      </c>
      <c r="D10" s="65">
        <v>0</v>
      </c>
      <c r="E10" s="65">
        <v>0</v>
      </c>
      <c r="F10" s="65">
        <v>0</v>
      </c>
      <c r="G10" s="65">
        <v>0</v>
      </c>
      <c r="H10" s="65">
        <v>0</v>
      </c>
      <c r="I10" s="65">
        <v>0</v>
      </c>
      <c r="J10" s="65">
        <v>0</v>
      </c>
      <c r="K10" s="65">
        <v>0</v>
      </c>
      <c r="L10" s="65">
        <v>0</v>
      </c>
      <c r="M10" s="65">
        <v>0</v>
      </c>
      <c r="N10" s="65">
        <v>0</v>
      </c>
      <c r="O10" s="65">
        <v>0</v>
      </c>
      <c r="P10" s="65">
        <v>0</v>
      </c>
    </row>
    <row r="11" spans="1:16" s="3" customFormat="1" ht="26.25" customHeight="1">
      <c r="A11" s="9"/>
      <c r="B11" s="68" t="s">
        <v>71</v>
      </c>
      <c r="C11" s="65">
        <v>-20000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0</v>
      </c>
      <c r="O11" s="65">
        <v>0</v>
      </c>
      <c r="P11" s="65">
        <v>0</v>
      </c>
    </row>
    <row r="12" spans="1:16" s="3" customFormat="1" ht="26.25" customHeight="1">
      <c r="A12" s="9"/>
      <c r="B12" s="68" t="s">
        <v>65</v>
      </c>
      <c r="C12" s="65">
        <v>-250</v>
      </c>
      <c r="D12" s="65">
        <v>0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  <c r="N12" s="65">
        <v>0</v>
      </c>
      <c r="O12" s="65">
        <v>0</v>
      </c>
      <c r="P12" s="65">
        <v>0</v>
      </c>
    </row>
    <row r="13" spans="1:16" s="3" customFormat="1" ht="26.25" customHeight="1">
      <c r="A13" s="9"/>
      <c r="B13" s="73" t="s">
        <v>28</v>
      </c>
      <c r="C13" s="74">
        <f>SUM(C8:C12)</f>
        <v>-38300</v>
      </c>
      <c r="D13" s="74">
        <f>SUM(D7:D12)</f>
        <v>1880</v>
      </c>
      <c r="E13" s="74">
        <f>SUM(E7:E12)</f>
        <v>2820</v>
      </c>
      <c r="F13" s="74">
        <f>SUM(F7:F12)</f>
        <v>3760</v>
      </c>
      <c r="G13" s="74">
        <f>SUM(G7:G12)</f>
        <v>4230</v>
      </c>
      <c r="H13" s="74">
        <f>SUM(H7:H12)</f>
        <v>4700</v>
      </c>
      <c r="I13" s="74">
        <f t="shared" ref="I13:P13" si="3">SUM(I7:I12)</f>
        <v>4935</v>
      </c>
      <c r="J13" s="74">
        <f t="shared" si="3"/>
        <v>5640</v>
      </c>
      <c r="K13" s="74">
        <f t="shared" si="3"/>
        <v>5997.2</v>
      </c>
      <c r="L13" s="74">
        <f t="shared" si="3"/>
        <v>6580</v>
      </c>
      <c r="M13" s="74">
        <f t="shared" si="3"/>
        <v>7520</v>
      </c>
      <c r="N13" s="74">
        <f t="shared" si="3"/>
        <v>8460</v>
      </c>
      <c r="O13" s="74">
        <f t="shared" si="3"/>
        <v>9400</v>
      </c>
      <c r="P13" s="74">
        <f t="shared" si="3"/>
        <v>65922.2</v>
      </c>
    </row>
    <row r="14" spans="1:16" s="3" customFormat="1" ht="26.25" customHeight="1">
      <c r="A14" s="9"/>
      <c r="B14" s="68" t="s">
        <v>39</v>
      </c>
      <c r="C14" s="65">
        <v>0</v>
      </c>
      <c r="D14" s="65">
        <f>-27196/12</f>
        <v>-2266.3333333333335</v>
      </c>
      <c r="E14" s="65">
        <f t="shared" ref="E14:O14" si="4">-27196/12</f>
        <v>-2266.3333333333335</v>
      </c>
      <c r="F14" s="65">
        <f t="shared" si="4"/>
        <v>-2266.3333333333335</v>
      </c>
      <c r="G14" s="65">
        <f t="shared" si="4"/>
        <v>-2266.3333333333335</v>
      </c>
      <c r="H14" s="65">
        <f t="shared" si="4"/>
        <v>-2266.3333333333335</v>
      </c>
      <c r="I14" s="65">
        <f t="shared" si="4"/>
        <v>-2266.3333333333335</v>
      </c>
      <c r="J14" s="65">
        <f t="shared" si="4"/>
        <v>-2266.3333333333335</v>
      </c>
      <c r="K14" s="65">
        <f t="shared" si="4"/>
        <v>-2266.3333333333335</v>
      </c>
      <c r="L14" s="65">
        <f t="shared" si="4"/>
        <v>-2266.3333333333335</v>
      </c>
      <c r="M14" s="65">
        <f t="shared" si="4"/>
        <v>-2266.3333333333335</v>
      </c>
      <c r="N14" s="65">
        <f t="shared" si="4"/>
        <v>-2266.3333333333335</v>
      </c>
      <c r="O14" s="65">
        <f t="shared" si="4"/>
        <v>-2266.3333333333335</v>
      </c>
      <c r="P14" s="65">
        <f>SUM(D14:O14)</f>
        <v>-27195.999999999996</v>
      </c>
    </row>
    <row r="15" spans="1:16" s="3" customFormat="1" ht="26.25" customHeight="1">
      <c r="A15" s="9"/>
      <c r="B15" s="68" t="s">
        <v>13</v>
      </c>
      <c r="C15" s="68">
        <v>0</v>
      </c>
      <c r="D15" s="65">
        <v>-5950</v>
      </c>
      <c r="E15" s="65">
        <v>-5997.6</v>
      </c>
      <c r="F15" s="65">
        <v>-6045.5808000000006</v>
      </c>
      <c r="G15" s="65">
        <v>-6093.9454464000009</v>
      </c>
      <c r="H15" s="65">
        <v>-6142.6970099712007</v>
      </c>
      <c r="I15" s="65">
        <v>-6191.8385860509707</v>
      </c>
      <c r="J15" s="65">
        <v>-6241.3732947393783</v>
      </c>
      <c r="K15" s="65">
        <v>-6291.3042810972929</v>
      </c>
      <c r="L15" s="65">
        <v>-6341.6347153460711</v>
      </c>
      <c r="M15" s="65">
        <v>-6392.36779306884</v>
      </c>
      <c r="N15" s="65">
        <v>-6443.5067354133907</v>
      </c>
      <c r="O15" s="65">
        <v>-6495.0547892966979</v>
      </c>
      <c r="P15" s="65">
        <f>SUM(D15:O15)</f>
        <v>-74626.903451383856</v>
      </c>
    </row>
    <row r="16" spans="1:16" s="3" customFormat="1" ht="26.25" customHeight="1">
      <c r="A16" s="9"/>
      <c r="B16" s="69" t="s">
        <v>7</v>
      </c>
      <c r="C16" s="69">
        <v>0</v>
      </c>
      <c r="D16" s="70">
        <v>0</v>
      </c>
      <c r="E16" s="65">
        <f t="shared" ref="E16:H16" si="5">D16*1.1</f>
        <v>0</v>
      </c>
      <c r="F16" s="65">
        <f t="shared" si="5"/>
        <v>0</v>
      </c>
      <c r="G16" s="65">
        <f t="shared" si="5"/>
        <v>0</v>
      </c>
      <c r="H16" s="65">
        <f t="shared" si="5"/>
        <v>0</v>
      </c>
      <c r="I16" s="65">
        <f t="shared" ref="I16" si="6">H16*1.1</f>
        <v>0</v>
      </c>
      <c r="J16" s="65">
        <f t="shared" ref="J16" si="7">I16*1.1</f>
        <v>0</v>
      </c>
      <c r="K16" s="65">
        <f t="shared" ref="K16" si="8">J16*1.1</f>
        <v>0</v>
      </c>
      <c r="L16" s="65">
        <f t="shared" ref="L16" si="9">K16*1.1</f>
        <v>0</v>
      </c>
      <c r="M16" s="65">
        <f t="shared" ref="M16" si="10">L16*1.1</f>
        <v>0</v>
      </c>
      <c r="N16" s="65">
        <f t="shared" ref="N16" si="11">M16*1.1</f>
        <v>0</v>
      </c>
      <c r="O16" s="65">
        <f t="shared" ref="O16" si="12">N16*1.1</f>
        <v>0</v>
      </c>
      <c r="P16" s="65">
        <f t="shared" ref="P16" si="13">O16*1.1</f>
        <v>0</v>
      </c>
    </row>
    <row r="17" spans="1:16" s="3" customFormat="1" ht="26.25" customHeight="1">
      <c r="A17" s="9"/>
      <c r="B17" s="73" t="s">
        <v>27</v>
      </c>
      <c r="C17" s="74">
        <f t="shared" ref="C17:H17" si="14">SUM(C13:C16)</f>
        <v>-38300</v>
      </c>
      <c r="D17" s="74">
        <f t="shared" si="14"/>
        <v>-6336.3333333333339</v>
      </c>
      <c r="E17" s="74">
        <f t="shared" si="14"/>
        <v>-5443.9333333333343</v>
      </c>
      <c r="F17" s="74">
        <f t="shared" si="14"/>
        <v>-4551.9141333333337</v>
      </c>
      <c r="G17" s="74">
        <f t="shared" si="14"/>
        <v>-4130.2787797333349</v>
      </c>
      <c r="H17" s="74">
        <f t="shared" si="14"/>
        <v>-3709.0303433045342</v>
      </c>
      <c r="I17" s="74">
        <f t="shared" ref="I17:P17" si="15">SUM(I13:I16)</f>
        <v>-3523.1719193843041</v>
      </c>
      <c r="J17" s="74">
        <f t="shared" si="15"/>
        <v>-2867.7066280727117</v>
      </c>
      <c r="K17" s="74">
        <f t="shared" si="15"/>
        <v>-2560.4376144306266</v>
      </c>
      <c r="L17" s="74">
        <f t="shared" si="15"/>
        <v>-2027.968048679405</v>
      </c>
      <c r="M17" s="74">
        <f t="shared" si="15"/>
        <v>-1138.7011264021739</v>
      </c>
      <c r="N17" s="74">
        <f t="shared" si="15"/>
        <v>-249.84006874672468</v>
      </c>
      <c r="O17" s="74">
        <f t="shared" si="15"/>
        <v>638.61187736996817</v>
      </c>
      <c r="P17" s="74">
        <f t="shared" si="15"/>
        <v>-35900.703451383859</v>
      </c>
    </row>
    <row r="18" spans="1:16" s="3" customFormat="1" ht="26.25" customHeight="1">
      <c r="A18" s="9"/>
      <c r="B18" s="69" t="s">
        <v>37</v>
      </c>
      <c r="C18" s="69">
        <v>0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</row>
    <row r="19" spans="1:16" s="3" customFormat="1" ht="26.25" customHeight="1">
      <c r="A19" s="9"/>
      <c r="B19" s="71" t="s">
        <v>8</v>
      </c>
      <c r="C19" s="72">
        <f>SUM(C17:C18)</f>
        <v>-38300</v>
      </c>
      <c r="D19" s="72">
        <f>SUM(D17:D18)</f>
        <v>-6336.3333333333339</v>
      </c>
      <c r="E19" s="72">
        <f>E17+E18</f>
        <v>-5443.9333333333343</v>
      </c>
      <c r="F19" s="72">
        <f>F17+F18</f>
        <v>-4551.9141333333337</v>
      </c>
      <c r="G19" s="72">
        <f>G17+G18</f>
        <v>-4130.2787797333349</v>
      </c>
      <c r="H19" s="72">
        <f>H17+H18</f>
        <v>-3709.0303433045342</v>
      </c>
      <c r="I19" s="72">
        <f t="shared" ref="I19:P19" si="16">I17+I18</f>
        <v>-3523.1719193843041</v>
      </c>
      <c r="J19" s="72">
        <f t="shared" si="16"/>
        <v>-2867.7066280727117</v>
      </c>
      <c r="K19" s="72">
        <f t="shared" si="16"/>
        <v>-2560.4376144306266</v>
      </c>
      <c r="L19" s="72">
        <f t="shared" si="16"/>
        <v>-2027.968048679405</v>
      </c>
      <c r="M19" s="72">
        <f t="shared" si="16"/>
        <v>-1138.7011264021739</v>
      </c>
      <c r="N19" s="72">
        <f t="shared" si="16"/>
        <v>-249.84006874672468</v>
      </c>
      <c r="O19" s="72">
        <f t="shared" si="16"/>
        <v>638.61187736996817</v>
      </c>
      <c r="P19" s="72">
        <f t="shared" si="16"/>
        <v>-35900.703451383859</v>
      </c>
    </row>
    <row r="20" spans="1:16" s="3" customFormat="1" ht="26.25" customHeight="1">
      <c r="A20" s="9"/>
      <c r="B20" s="69" t="s">
        <v>67</v>
      </c>
      <c r="C20" s="70">
        <f>IF(C19&gt;0,(24%*-C19),0)</f>
        <v>0</v>
      </c>
      <c r="D20" s="70">
        <f>IF(D19&gt;0,(24%*-D19),0)</f>
        <v>0</v>
      </c>
      <c r="E20" s="70">
        <f t="shared" ref="E20:O20" si="17">IF(E19&gt;0,(24%*-E19),0)</f>
        <v>0</v>
      </c>
      <c r="F20" s="70">
        <f t="shared" si="17"/>
        <v>0</v>
      </c>
      <c r="G20" s="70">
        <f t="shared" si="17"/>
        <v>0</v>
      </c>
      <c r="H20" s="70">
        <f t="shared" si="17"/>
        <v>0</v>
      </c>
      <c r="I20" s="70">
        <f t="shared" si="17"/>
        <v>0</v>
      </c>
      <c r="J20" s="70">
        <f t="shared" si="17"/>
        <v>0</v>
      </c>
      <c r="K20" s="70">
        <f t="shared" si="17"/>
        <v>0</v>
      </c>
      <c r="L20" s="70">
        <f t="shared" si="17"/>
        <v>0</v>
      </c>
      <c r="M20" s="70">
        <f t="shared" si="17"/>
        <v>0</v>
      </c>
      <c r="N20" s="70">
        <f t="shared" si="17"/>
        <v>0</v>
      </c>
      <c r="O20" s="70">
        <f t="shared" si="17"/>
        <v>-153.26685056879236</v>
      </c>
      <c r="P20" s="70">
        <f t="shared" ref="P20" si="18">IF(P19&gt;0,-(24%*P19),0)</f>
        <v>0</v>
      </c>
    </row>
    <row r="21" spans="1:16" s="3" customFormat="1" ht="26.25" customHeight="1">
      <c r="A21" s="9"/>
      <c r="B21" s="71" t="s">
        <v>9</v>
      </c>
      <c r="C21" s="72">
        <f>SUM(C19:C20)</f>
        <v>-38300</v>
      </c>
      <c r="D21" s="72">
        <f>SUM(D19:D20)</f>
        <v>-6336.3333333333339</v>
      </c>
      <c r="E21" s="72">
        <f>E19+E20</f>
        <v>-5443.9333333333343</v>
      </c>
      <c r="F21" s="72">
        <f>F19+F20</f>
        <v>-4551.9141333333337</v>
      </c>
      <c r="G21" s="72">
        <f>G19+G20</f>
        <v>-4130.2787797333349</v>
      </c>
      <c r="H21" s="72">
        <f>H19+H20</f>
        <v>-3709.0303433045342</v>
      </c>
      <c r="I21" s="72">
        <f t="shared" ref="I21:P21" si="19">I19+I20</f>
        <v>-3523.1719193843041</v>
      </c>
      <c r="J21" s="72">
        <f t="shared" si="19"/>
        <v>-2867.7066280727117</v>
      </c>
      <c r="K21" s="72">
        <f t="shared" si="19"/>
        <v>-2560.4376144306266</v>
      </c>
      <c r="L21" s="72">
        <f t="shared" si="19"/>
        <v>-2027.968048679405</v>
      </c>
      <c r="M21" s="72">
        <f t="shared" si="19"/>
        <v>-1138.7011264021739</v>
      </c>
      <c r="N21" s="72">
        <f t="shared" si="19"/>
        <v>-249.84006874672468</v>
      </c>
      <c r="O21" s="72">
        <f t="shared" si="19"/>
        <v>485.34502680117578</v>
      </c>
      <c r="P21" s="72">
        <f t="shared" si="19"/>
        <v>-35900.703451383859</v>
      </c>
    </row>
    <row r="22" spans="1:16" s="24" customFormat="1" ht="26.25" customHeight="1">
      <c r="A22" s="21"/>
      <c r="B22" s="22"/>
      <c r="C22" s="23"/>
      <c r="D22" s="23"/>
      <c r="E22" s="23"/>
      <c r="F22" s="23"/>
      <c r="G22" s="23"/>
      <c r="H22" s="23"/>
    </row>
    <row r="23" spans="1:16" s="24" customFormat="1" ht="26.25" customHeight="1"/>
    <row r="24" spans="1:16" s="24" customFormat="1" ht="26.25" customHeight="1">
      <c r="F24" s="32"/>
      <c r="G24" s="32"/>
      <c r="H24" s="32"/>
      <c r="I24" s="32"/>
      <c r="J24" s="3"/>
      <c r="K24" s="3"/>
      <c r="L24" s="3"/>
      <c r="M24" s="3"/>
      <c r="N24" s="33"/>
      <c r="O24" s="3"/>
    </row>
    <row r="25" spans="1:16" s="24" customFormat="1" ht="26.25" customHeight="1"/>
    <row r="26" spans="1:16" s="24" customFormat="1" ht="26.25" customHeight="1"/>
    <row r="27" spans="1:16" s="32" customFormat="1" ht="26.25" customHeight="1">
      <c r="E27" s="24"/>
      <c r="F27" s="24"/>
    </row>
    <row r="28" spans="1:16" s="32" customFormat="1" ht="26.25" customHeight="1">
      <c r="E28" s="24"/>
      <c r="F28" s="24"/>
    </row>
    <row r="29" spans="1:16" s="32" customFormat="1" ht="26.25" customHeight="1">
      <c r="E29" s="24"/>
      <c r="F29" s="24"/>
    </row>
    <row r="30" spans="1:16" s="32" customFormat="1" ht="26.25" customHeight="1">
      <c r="E30" s="24"/>
      <c r="F30" s="24"/>
    </row>
    <row r="31" spans="1:16" s="3" customFormat="1" ht="26.25" customHeight="1">
      <c r="E31" s="24"/>
      <c r="F31" s="24"/>
    </row>
    <row r="32" spans="1:16" s="3" customFormat="1" ht="26.25" customHeight="1">
      <c r="E32" s="24"/>
      <c r="F32" s="24"/>
    </row>
    <row r="33" spans="1:8" s="3" customFormat="1" ht="26.25" customHeight="1">
      <c r="E33" s="24"/>
      <c r="F33" s="24"/>
    </row>
    <row r="34" spans="1:8" s="3" customFormat="1" ht="26.25" customHeight="1">
      <c r="E34" s="24"/>
      <c r="F34" s="24"/>
    </row>
    <row r="35" spans="1:8" s="33" customFormat="1" ht="26.25" customHeight="1">
      <c r="E35" s="24"/>
      <c r="F35" s="24"/>
    </row>
    <row r="36" spans="1:8" s="3" customFormat="1" ht="26.25" customHeight="1">
      <c r="E36" s="24"/>
      <c r="F36" s="24"/>
    </row>
    <row r="37" spans="1:8" s="33" customFormat="1" ht="26.25" customHeight="1"/>
    <row r="38" spans="1:8" s="3" customFormat="1" ht="26.25" customHeight="1"/>
    <row r="39" spans="1:8" s="24" customFormat="1" ht="26.25" customHeight="1"/>
    <row r="40" spans="1:8" s="3" customFormat="1" ht="26.25" customHeight="1"/>
    <row r="41" spans="1:8" s="3" customFormat="1" ht="26.25" customHeight="1"/>
    <row r="42" spans="1:8" s="24" customFormat="1" ht="18.75" customHeight="1"/>
    <row r="43" spans="1:8" s="24" customFormat="1" ht="26.25" customHeight="1"/>
    <row r="44" spans="1:8" s="3" customFormat="1" ht="26.25" customHeight="1"/>
    <row r="45" spans="1:8" s="3" customFormat="1" ht="26.25" customHeight="1"/>
    <row r="46" spans="1:8">
      <c r="A46" s="2"/>
      <c r="D46" s="2"/>
      <c r="E46" s="2"/>
      <c r="F46" s="2"/>
      <c r="G46" s="2"/>
      <c r="H46" s="2"/>
    </row>
    <row r="47" spans="1:8" ht="24" customHeight="1">
      <c r="A47" s="2"/>
      <c r="D47" s="2"/>
      <c r="E47" s="2"/>
      <c r="F47" s="2"/>
      <c r="G47" s="2"/>
      <c r="H47" s="2"/>
    </row>
    <row r="48" spans="1:8" ht="24" customHeight="1">
      <c r="A48" s="2"/>
      <c r="D48" s="2"/>
      <c r="E48" s="2"/>
      <c r="F48" s="2"/>
      <c r="G48" s="2"/>
      <c r="H48" s="2"/>
    </row>
    <row r="49" spans="1:8" ht="24" customHeight="1">
      <c r="A49" s="2"/>
      <c r="D49" s="2"/>
      <c r="E49" s="2"/>
      <c r="F49" s="2"/>
      <c r="G49" s="2"/>
      <c r="H49" s="2"/>
    </row>
    <row r="50" spans="1:8" ht="24" customHeight="1">
      <c r="A50" s="2"/>
      <c r="D50" s="2"/>
      <c r="E50" s="2"/>
      <c r="F50" s="2"/>
      <c r="G50" s="2"/>
      <c r="H50" s="2"/>
    </row>
    <row r="51" spans="1:8" ht="21" customHeight="1">
      <c r="A51" s="2"/>
      <c r="D51" s="2"/>
      <c r="E51" s="2"/>
      <c r="F51" s="2"/>
      <c r="G51" s="2"/>
      <c r="H51" s="2"/>
    </row>
    <row r="52" spans="1:8">
      <c r="A52" s="2"/>
      <c r="D52" s="2"/>
      <c r="E52" s="2"/>
      <c r="F52" s="2"/>
      <c r="G52" s="2"/>
      <c r="H52" s="2"/>
    </row>
    <row r="53" spans="1:8">
      <c r="A53" s="2"/>
      <c r="D53" s="2"/>
      <c r="E53" s="2"/>
      <c r="F53" s="2"/>
      <c r="G53" s="2"/>
      <c r="H53" s="2"/>
    </row>
    <row r="54" spans="1:8">
      <c r="A54" s="2"/>
      <c r="D54" s="2"/>
      <c r="E54" s="2"/>
      <c r="F54" s="2"/>
      <c r="G54" s="2"/>
      <c r="H54" s="2"/>
    </row>
    <row r="55" spans="1:8">
      <c r="A55" s="2"/>
      <c r="D55" s="2"/>
      <c r="E55" s="2"/>
      <c r="F55" s="2"/>
      <c r="G55" s="2"/>
      <c r="H55" s="2"/>
    </row>
    <row r="56" spans="1:8">
      <c r="A56" s="2"/>
      <c r="D56" s="2"/>
      <c r="E56" s="2"/>
      <c r="F56" s="2"/>
      <c r="G56" s="2"/>
      <c r="H56" s="2"/>
    </row>
    <row r="57" spans="1:8">
      <c r="A57" s="2"/>
      <c r="D57" s="2"/>
      <c r="E57" s="2"/>
      <c r="F57" s="2"/>
      <c r="G57" s="2"/>
      <c r="H57" s="2"/>
    </row>
    <row r="58" spans="1:8">
      <c r="A58" s="2"/>
      <c r="D58" s="2"/>
      <c r="E58" s="2"/>
      <c r="F58" s="2"/>
      <c r="G58" s="2"/>
      <c r="H58" s="2"/>
    </row>
    <row r="59" spans="1:8">
      <c r="A59" s="2"/>
      <c r="D59" s="2"/>
      <c r="E59" s="2"/>
      <c r="F59" s="2"/>
      <c r="G59" s="2"/>
      <c r="H59" s="2"/>
    </row>
    <row r="60" spans="1:8">
      <c r="A60" s="2"/>
      <c r="D60" s="2"/>
      <c r="E60" s="2"/>
      <c r="F60" s="2"/>
      <c r="G60" s="2"/>
      <c r="H60" s="2"/>
    </row>
    <row r="61" spans="1:8">
      <c r="A61" s="2"/>
      <c r="D61" s="2"/>
      <c r="E61" s="2"/>
      <c r="F61" s="2"/>
      <c r="G61" s="2"/>
      <c r="H61" s="2"/>
    </row>
  </sheetData>
  <mergeCells count="1">
    <mergeCell ref="D2:O2"/>
  </mergeCells>
  <pageMargins left="0.78740157499999996" right="0.78740157499999996" top="0.984251969" bottom="0.984251969" header="0.49212598499999999" footer="0.49212598499999999"/>
  <pageSetup paperSize="9" orientation="portrait" horizontalDpi="4294967294" verticalDpi="4294967294"/>
  <headerFooter alignWithMargins="0"/>
  <ignoredErrors>
    <ignoredError sqref="P15" formulaRange="1"/>
    <ignoredError sqref="N20:P20 C20:M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Investimento inicial</vt:lpstr>
      <vt:lpstr>Plan1</vt:lpstr>
      <vt:lpstr>Financeiro PIN (2)</vt:lpstr>
      <vt:lpstr>DRE-Mensal</vt:lpstr>
    </vt:vector>
  </TitlesOfParts>
  <Company>Redecard 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Redecard</dc:creator>
  <cp:lastModifiedBy>marcello.grizzaffi</cp:lastModifiedBy>
  <dcterms:created xsi:type="dcterms:W3CDTF">2011-03-01T23:12:18Z</dcterms:created>
  <dcterms:modified xsi:type="dcterms:W3CDTF">2012-10-11T22:49:25Z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</Properties>
</file>