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20490" windowHeight="7755" activeTab="2"/>
  </bookViews>
  <sheets>
    <sheet name="Capa" sheetId="5" r:id="rId1"/>
    <sheet name="Análise G.L" sheetId="4" r:id="rId2"/>
    <sheet name="Balanco Material" sheetId="1" r:id="rId3"/>
    <sheet name="Matriz Reator " sheetId="2" r:id="rId4"/>
  </sheets>
  <definedNames>
    <definedName name="solver_adj" localSheetId="2" hidden="1">'Balanco Material'!$D$21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'Balanco Material'!$C$31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200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M24" i="1" l="1"/>
  <c r="D23" i="1" l="1"/>
  <c r="E51" i="1" l="1"/>
  <c r="C19" i="1" l="1"/>
  <c r="C18" i="1" l="1"/>
  <c r="B9" i="2" l="1"/>
  <c r="C3" i="2"/>
  <c r="I16" i="2" s="1"/>
  <c r="B10" i="2"/>
  <c r="P5" i="2"/>
  <c r="P4" i="2"/>
  <c r="O28" i="1"/>
  <c r="E18" i="1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I18" i="2" l="1"/>
  <c r="I19" i="2"/>
  <c r="C20" i="1"/>
  <c r="C8" i="2"/>
  <c r="I14" i="2" s="1"/>
  <c r="I15" i="2" l="1"/>
  <c r="L14" i="2" s="1" a="1"/>
  <c r="L18" i="2" s="1"/>
  <c r="C32" i="1" s="1"/>
  <c r="L17" i="2" l="1"/>
  <c r="C28" i="1" s="1"/>
  <c r="H18" i="1" s="1"/>
  <c r="L19" i="2"/>
  <c r="C27" i="1" s="1"/>
  <c r="H17" i="1" s="1"/>
  <c r="L14" i="2"/>
  <c r="C30" i="1" s="1"/>
  <c r="H20" i="1" s="1"/>
  <c r="L15" i="2"/>
  <c r="C31" i="1" s="1"/>
  <c r="L16" i="2"/>
  <c r="C29" i="1" s="1"/>
  <c r="H22" i="1"/>
  <c r="H21" i="1" l="1"/>
  <c r="J34" i="1" s="1"/>
  <c r="H31" i="1" s="1"/>
  <c r="M22" i="1" s="1"/>
  <c r="H19" i="1"/>
  <c r="E31" i="1"/>
  <c r="J21" i="1" s="1"/>
  <c r="E32" i="1"/>
  <c r="J22" i="1" s="1"/>
  <c r="H32" i="1" s="1"/>
  <c r="M23" i="1" s="1"/>
  <c r="E29" i="1"/>
  <c r="J19" i="1" s="1"/>
  <c r="H28" i="1" s="1"/>
  <c r="M19" i="1" s="1"/>
  <c r="E30" i="1"/>
  <c r="J20" i="1" s="1"/>
  <c r="H29" i="1" s="1"/>
  <c r="M20" i="1" s="1"/>
  <c r="E28" i="1"/>
  <c r="J18" i="1" s="1"/>
  <c r="H27" i="1" l="1"/>
  <c r="M18" i="1" s="1"/>
  <c r="M29" i="1" s="1"/>
  <c r="M28" i="1" s="1"/>
  <c r="M30" i="1" s="1"/>
  <c r="H30" i="1"/>
  <c r="E27" i="1"/>
  <c r="J17" i="1" s="1"/>
  <c r="H26" i="1" l="1"/>
  <c r="J32" i="1" s="1"/>
  <c r="M21" i="1"/>
  <c r="M17" i="1" s="1"/>
  <c r="O21" i="1" s="1"/>
  <c r="L24" i="1"/>
  <c r="N48" i="1"/>
  <c r="J30" i="1" l="1"/>
  <c r="J29" i="1"/>
  <c r="J28" i="1"/>
  <c r="J31" i="1"/>
  <c r="J27" i="1"/>
  <c r="M44" i="1"/>
  <c r="M42" i="1"/>
  <c r="O18" i="1"/>
  <c r="M39" i="1"/>
  <c r="M46" i="1"/>
  <c r="M43" i="1"/>
  <c r="M45" i="1"/>
  <c r="O22" i="1"/>
  <c r="O19" i="1"/>
  <c r="O23" i="1"/>
  <c r="O20" i="1"/>
  <c r="J26" i="1" l="1"/>
  <c r="M41" i="1"/>
  <c r="O46" i="1" s="1"/>
  <c r="M34" i="1"/>
  <c r="M40" i="1" s="1"/>
  <c r="N50" i="1" s="1"/>
  <c r="O17" i="1"/>
  <c r="P40" i="1" l="1"/>
  <c r="O44" i="1"/>
  <c r="O42" i="1"/>
  <c r="O45" i="1"/>
  <c r="M38" i="1"/>
  <c r="O39" i="1" s="1"/>
  <c r="O43" i="1"/>
  <c r="P39" i="1"/>
  <c r="P38" i="1" l="1"/>
  <c r="O41" i="1"/>
  <c r="O40" i="1"/>
  <c r="O38" i="1" s="1"/>
</calcChain>
</file>

<file path=xl/sharedStrings.xml><?xml version="1.0" encoding="utf-8"?>
<sst xmlns="http://schemas.openxmlformats.org/spreadsheetml/2006/main" count="255" uniqueCount="127">
  <si>
    <t>Componente</t>
  </si>
  <si>
    <t>Vazão</t>
  </si>
  <si>
    <t>Unidade</t>
  </si>
  <si>
    <t>Composição</t>
  </si>
  <si>
    <t>NH3</t>
  </si>
  <si>
    <t>O2</t>
  </si>
  <si>
    <t>N2</t>
  </si>
  <si>
    <t>SAÍDA</t>
  </si>
  <si>
    <t>CORRENTE B</t>
  </si>
  <si>
    <t>NO</t>
  </si>
  <si>
    <t>E3</t>
  </si>
  <si>
    <t>CORRENTE C</t>
  </si>
  <si>
    <t>F</t>
  </si>
  <si>
    <t>O</t>
  </si>
  <si>
    <t>N</t>
  </si>
  <si>
    <t>H</t>
  </si>
  <si>
    <t>B(TOTAL)</t>
  </si>
  <si>
    <t>N1(H20)</t>
  </si>
  <si>
    <t>N2(NO)</t>
  </si>
  <si>
    <t>N3(N2)</t>
  </si>
  <si>
    <t>N4(O2)</t>
  </si>
  <si>
    <t>A</t>
  </si>
  <si>
    <t>N5(NH3)</t>
  </si>
  <si>
    <t>%H20</t>
  </si>
  <si>
    <t>Conversão</t>
  </si>
  <si>
    <t>ENTRADA 1</t>
  </si>
  <si>
    <t>ENTRADA 2</t>
  </si>
  <si>
    <t>ENTRADA 3</t>
  </si>
  <si>
    <t>CORRENTE W</t>
  </si>
  <si>
    <t>E4</t>
  </si>
  <si>
    <t>ENTRADA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</si>
  <si>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</si>
  <si>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</si>
  <si>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</si>
  <si>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</si>
  <si>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</si>
  <si>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</si>
  <si>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Variáveis </t>
  </si>
  <si>
    <t>Restrições</t>
  </si>
  <si>
    <t xml:space="preserve">ENTRADA </t>
  </si>
  <si>
    <t>CORRENTE A (AR)</t>
  </si>
  <si>
    <r>
      <t>CORRENTE F (NH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</si>
  <si>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CORRENTE D (AR)</t>
  </si>
  <si>
    <t>CONV. (Reagente limitante)</t>
  </si>
  <si>
    <r>
      <rPr>
        <sz val="16"/>
        <color theme="1"/>
        <rFont val="Calibri"/>
        <family val="2"/>
        <scheme val="minor"/>
      </rPr>
      <t>2NO</t>
    </r>
    <r>
      <rPr>
        <vertAlign val="subscript"/>
        <sz val="16"/>
        <color theme="1"/>
        <rFont val="Calibri"/>
        <family val="2"/>
        <scheme val="minor"/>
      </rPr>
      <t>(g)</t>
    </r>
    <r>
      <rPr>
        <sz val="16"/>
        <color theme="1"/>
        <rFont val="Calibri"/>
        <family val="2"/>
        <scheme val="minor"/>
      </rPr>
      <t>+ O</t>
    </r>
    <r>
      <rPr>
        <vertAlign val="subscript"/>
        <sz val="16"/>
        <color theme="1"/>
        <rFont val="Calibri"/>
        <family val="2"/>
        <scheme val="minor"/>
      </rPr>
      <t>2(g)</t>
    </r>
    <r>
      <rPr>
        <sz val="16"/>
        <color theme="1"/>
        <rFont val="Calibri"/>
        <family val="2"/>
        <scheme val="minor"/>
      </rPr>
      <t xml:space="preserve"> → 2NO</t>
    </r>
    <r>
      <rPr>
        <vertAlign val="subscript"/>
        <sz val="16"/>
        <color theme="1"/>
        <rFont val="Calibri"/>
        <family val="2"/>
        <scheme val="minor"/>
      </rPr>
      <t>2(g)</t>
    </r>
    <r>
      <rPr>
        <sz val="11"/>
        <color theme="1"/>
        <rFont val="Calibri"/>
        <family val="2"/>
        <scheme val="minor"/>
      </rPr>
      <t xml:space="preserve"> 
</t>
    </r>
  </si>
  <si>
    <r>
      <t>CORRENTE S (HNO</t>
    </r>
    <r>
      <rPr>
        <b/>
        <vertAlign val="subscript"/>
        <sz val="11"/>
        <color theme="1"/>
        <rFont val="Calibri"/>
        <family val="2"/>
        <scheme val="minor"/>
      </rPr>
      <t>3)</t>
    </r>
  </si>
  <si>
    <t>Composição(Molar)</t>
  </si>
  <si>
    <t>Composição (Mássica)</t>
  </si>
  <si>
    <t>Concentração Máxima de HNO3</t>
  </si>
  <si>
    <t>W</t>
  </si>
  <si>
    <t>21% O2</t>
  </si>
  <si>
    <t>D</t>
  </si>
  <si>
    <t>79% N2</t>
  </si>
  <si>
    <t>100% H20</t>
  </si>
  <si>
    <t>C</t>
  </si>
  <si>
    <t>S</t>
  </si>
  <si>
    <t>100% NH3</t>
  </si>
  <si>
    <t>% O2</t>
  </si>
  <si>
    <t>% NH3</t>
  </si>
  <si>
    <t>%O2</t>
  </si>
  <si>
    <t>%NH3</t>
  </si>
  <si>
    <t>%HNO3</t>
  </si>
  <si>
    <t>ξ4</t>
  </si>
  <si>
    <t>% N2</t>
  </si>
  <si>
    <t>ξ1</t>
  </si>
  <si>
    <t>%N2</t>
  </si>
  <si>
    <t>%NO2</t>
  </si>
  <si>
    <t>% NO</t>
  </si>
  <si>
    <t>ξ2</t>
  </si>
  <si>
    <t>%NO</t>
  </si>
  <si>
    <t>ξ3</t>
  </si>
  <si>
    <t>% H20</t>
  </si>
  <si>
    <t>L</t>
  </si>
  <si>
    <t>Análise do Grau de Liberdade do Processo</t>
  </si>
  <si>
    <t>Informações Utilizadas</t>
  </si>
  <si>
    <t>Incógnitas</t>
  </si>
  <si>
    <r>
      <t>F;A;B;B[O2];B[N2];B[NO];B[H2O];B[NH3];C;C[O2];C[N2];C[NO];C[H2O];C[NH3];C[NO2];W;D;S;S[HNO3];S[H20];L;L[NO];L[NO2];L[NH3];L[O2];L[N2];</t>
    </r>
    <r>
      <rPr>
        <sz val="10"/>
        <color theme="1"/>
        <rFont val="Calibri"/>
        <family val="2"/>
      </rPr>
      <t>ξ1;ξ2;ξ3;ξ4</t>
    </r>
  </si>
  <si>
    <t>1. Vazão de Amônia(VC2)</t>
  </si>
  <si>
    <r>
      <rPr>
        <b/>
        <i/>
        <sz val="11"/>
        <color theme="1"/>
        <rFont val="Calibri"/>
        <family val="2"/>
        <scheme val="minor"/>
      </rPr>
      <t>2. Excesso de ar(VC2)</t>
    </r>
    <r>
      <rPr>
        <i/>
        <sz val="11"/>
        <color theme="1"/>
        <rFont val="Calibri"/>
        <family val="2"/>
        <scheme val="minor"/>
      </rPr>
      <t xml:space="preserve"> </t>
    </r>
  </si>
  <si>
    <t>Equações</t>
  </si>
  <si>
    <t>4 restrições (Somatório das composições = 1); 18 BMs</t>
  </si>
  <si>
    <t>GL = 30 - 22 = 8</t>
  </si>
  <si>
    <t>CONV. (Reagente Limitante)</t>
  </si>
  <si>
    <t>Calculado</t>
  </si>
  <si>
    <t>Restrição</t>
  </si>
  <si>
    <t>Componentes</t>
  </si>
  <si>
    <t>N1(H2O)</t>
  </si>
  <si>
    <t>Saída</t>
  </si>
  <si>
    <t>Conversão 2</t>
  </si>
  <si>
    <t>Entrada</t>
  </si>
  <si>
    <t>Escassez do componente</t>
  </si>
  <si>
    <t>Excesso de Ar( C + D)</t>
  </si>
  <si>
    <r>
      <t xml:space="preserve">Observações:                                                                                               1) Quando houver valores </t>
    </r>
    <r>
      <rPr>
        <u/>
        <sz val="11"/>
        <color theme="5" tint="-0.249977111117893"/>
        <rFont val="Calibri"/>
        <family val="2"/>
        <scheme val="minor"/>
      </rPr>
      <t>negativos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em algum dos volumes de controles, isso significa que há escassez do componente. Isso pode ser resolvido através das alterações de algumas variáveis, como vazões e/ou conversões;                                                                        </t>
    </r>
  </si>
  <si>
    <t>8. Excesso de ar(C+D)(VC4)</t>
  </si>
  <si>
    <t>Seletividade</t>
  </si>
  <si>
    <t>CONVERSÃO DE NH3</t>
  </si>
  <si>
    <t>4. Conversão de NH3 (VC2)</t>
  </si>
  <si>
    <t>7. Composição do HNO3(VC4)</t>
  </si>
  <si>
    <t xml:space="preserve">Excesso de Ar </t>
  </si>
  <si>
    <t>MATRIZ PARA BALANÇO ATÔMICO DO REATOR</t>
  </si>
  <si>
    <t>ANÁLISE DE GRAU DE LIBERDADE DO PROCESSO</t>
  </si>
  <si>
    <t>5. Conversão reagente limitante(VC3)</t>
  </si>
  <si>
    <t>6. Conversão reagente limitante(VC4)</t>
  </si>
  <si>
    <t>NH3 Reagindo para formar NO (%)</t>
  </si>
  <si>
    <t>Produção total diária (ACN+Água)(t)</t>
  </si>
  <si>
    <t>CORRENTE L</t>
  </si>
  <si>
    <t>kmol</t>
  </si>
  <si>
    <t>3. %NH3 para reação 1(VC2)</t>
  </si>
  <si>
    <t>Universidade Federal da Bahia</t>
  </si>
  <si>
    <t>Departamento de Engenharia Química</t>
  </si>
  <si>
    <t>Processos Unitários da Indústria Química - ENG372</t>
  </si>
  <si>
    <t>DOCENTE:</t>
  </si>
  <si>
    <t>Regina Viana</t>
  </si>
  <si>
    <t>ALUNOS:</t>
  </si>
  <si>
    <t>ÍNDICE</t>
  </si>
  <si>
    <t>Caique Ferreira</t>
  </si>
  <si>
    <t>Felipe Mendes</t>
  </si>
  <si>
    <t>Igor Colombo</t>
  </si>
  <si>
    <t>Vinicius Viena</t>
  </si>
  <si>
    <t>Tarciso Castro</t>
  </si>
  <si>
    <t>Ácido Nítrico</t>
  </si>
  <si>
    <t>BALANÇO MATERIAL</t>
  </si>
  <si>
    <t>ANÁLISE DOS GRAUS DE LIBERDADE</t>
  </si>
  <si>
    <t>MATRIZ REATOR</t>
  </si>
  <si>
    <r>
      <t>4NH</t>
    </r>
    <r>
      <rPr>
        <vertAlign val="subscript"/>
        <sz val="14"/>
        <color theme="1"/>
        <rFont val="Calibri"/>
        <family val="2"/>
        <scheme val="minor"/>
      </rPr>
      <t>3(g)</t>
    </r>
    <r>
      <rPr>
        <sz val="14"/>
        <color theme="1"/>
        <rFont val="Calibri"/>
        <family val="2"/>
        <scheme val="minor"/>
      </rPr>
      <t xml:space="preserve"> + 5O</t>
    </r>
    <r>
      <rPr>
        <vertAlign val="subscript"/>
        <sz val="14"/>
        <color theme="1"/>
        <rFont val="Calibri"/>
        <family val="2"/>
        <scheme val="minor"/>
      </rPr>
      <t>2(g)</t>
    </r>
    <r>
      <rPr>
        <sz val="14"/>
        <color theme="1"/>
        <rFont val="Calibri"/>
        <family val="2"/>
        <scheme val="minor"/>
      </rPr>
      <t xml:space="preserve"> → 4NO</t>
    </r>
    <r>
      <rPr>
        <vertAlign val="subscript"/>
        <sz val="14"/>
        <color theme="1"/>
        <rFont val="Calibri"/>
        <family val="2"/>
        <scheme val="minor"/>
      </rPr>
      <t>(g)</t>
    </r>
    <r>
      <rPr>
        <sz val="14"/>
        <color theme="1"/>
        <rFont val="Calibri"/>
        <family val="2"/>
        <scheme val="minor"/>
      </rPr>
      <t xml:space="preserve"> + 6H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</t>
    </r>
    <r>
      <rPr>
        <vertAlign val="subscript"/>
        <sz val="14"/>
        <color theme="1"/>
        <rFont val="Calibri"/>
        <family val="2"/>
        <scheme val="minor"/>
      </rPr>
      <t>(g</t>
    </r>
    <r>
      <rPr>
        <vertAlign val="subscript"/>
        <sz val="14"/>
        <rFont val="Calibri"/>
        <family val="2"/>
        <scheme val="minor"/>
      </rPr>
      <t>)</t>
    </r>
    <r>
      <rPr>
        <sz val="14"/>
        <color theme="1"/>
        <rFont val="Calibri"/>
        <family val="2"/>
        <scheme val="minor"/>
      </rPr>
      <t xml:space="preserve"> 
</t>
    </r>
  </si>
  <si>
    <r>
      <t>4NH</t>
    </r>
    <r>
      <rPr>
        <vertAlign val="subscript"/>
        <sz val="14"/>
        <color theme="1"/>
        <rFont val="Calibri"/>
        <family val="2"/>
        <scheme val="minor"/>
      </rPr>
      <t>3(g)</t>
    </r>
    <r>
      <rPr>
        <sz val="14"/>
        <color theme="1"/>
        <rFont val="Calibri"/>
        <family val="2"/>
        <scheme val="minor"/>
      </rPr>
      <t xml:space="preserve"> + 3O</t>
    </r>
    <r>
      <rPr>
        <vertAlign val="subscript"/>
        <sz val="14"/>
        <color theme="1"/>
        <rFont val="Calibri"/>
        <family val="2"/>
        <scheme val="minor"/>
      </rPr>
      <t>2(g)</t>
    </r>
    <r>
      <rPr>
        <sz val="14"/>
        <color theme="1"/>
        <rFont val="Calibri"/>
        <family val="2"/>
        <scheme val="minor"/>
      </rPr>
      <t xml:space="preserve"> → 2N</t>
    </r>
    <r>
      <rPr>
        <vertAlign val="subscript"/>
        <sz val="14"/>
        <color theme="1"/>
        <rFont val="Calibri"/>
        <family val="2"/>
        <scheme val="minor"/>
      </rPr>
      <t>2(g)</t>
    </r>
    <r>
      <rPr>
        <sz val="14"/>
        <color theme="1"/>
        <rFont val="Calibri"/>
        <family val="2"/>
        <scheme val="minor"/>
      </rPr>
      <t xml:space="preserve"> + 6H2O</t>
    </r>
    <r>
      <rPr>
        <vertAlign val="subscript"/>
        <sz val="14"/>
        <color theme="1"/>
        <rFont val="Calibri"/>
        <family val="2"/>
        <scheme val="minor"/>
      </rPr>
      <t>(g)</t>
    </r>
    <r>
      <rPr>
        <sz val="14"/>
        <color theme="1"/>
        <rFont val="Calibri"/>
        <family val="2"/>
        <scheme val="minor"/>
      </rPr>
      <t xml:space="preserve">
</t>
    </r>
  </si>
  <si>
    <r>
      <t>2NO</t>
    </r>
    <r>
      <rPr>
        <vertAlign val="subscript"/>
        <sz val="16"/>
        <color theme="1"/>
        <rFont val="Calibri"/>
        <family val="2"/>
        <scheme val="minor"/>
      </rPr>
      <t>2(g)</t>
    </r>
    <r>
      <rPr>
        <sz val="16"/>
        <color theme="1"/>
        <rFont val="Calibri"/>
        <family val="2"/>
        <scheme val="minor"/>
      </rPr>
      <t xml:space="preserve"> + 1/2O</t>
    </r>
    <r>
      <rPr>
        <vertAlign val="subscript"/>
        <sz val="16"/>
        <color theme="1"/>
        <rFont val="Calibri"/>
        <family val="2"/>
        <scheme val="minor"/>
      </rPr>
      <t>2(g)</t>
    </r>
    <r>
      <rPr>
        <sz val="16"/>
        <color theme="1"/>
        <rFont val="Calibri"/>
        <family val="2"/>
        <scheme val="minor"/>
      </rPr>
      <t xml:space="preserve"> +  H</t>
    </r>
    <r>
      <rPr>
        <vertAlign val="sub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O</t>
    </r>
    <r>
      <rPr>
        <vertAlign val="subscript"/>
        <sz val="16"/>
        <color theme="1"/>
        <rFont val="Calibri"/>
        <family val="2"/>
        <scheme val="minor"/>
      </rPr>
      <t>(l)</t>
    </r>
    <r>
      <rPr>
        <sz val="16"/>
        <color theme="1"/>
        <rFont val="Calibri"/>
        <family val="2"/>
        <scheme val="minor"/>
      </rPr>
      <t>→ 2HNO</t>
    </r>
    <r>
      <rPr>
        <vertAlign val="subscript"/>
        <sz val="16"/>
        <color theme="1"/>
        <rFont val="Calibri"/>
        <family val="2"/>
        <scheme val="minor"/>
      </rPr>
      <t>3(aq)</t>
    </r>
    <r>
      <rPr>
        <sz val="16"/>
        <color theme="1"/>
        <rFont val="Calibri"/>
        <family val="2"/>
        <scheme val="minor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</si>
</sst>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0"/>
      <color theme="1"/>
      <name val="Calibri"/>
      <family val="2"/>
    </font>
    <font>
      <sz val="11"/>
      <color theme="1"/>
      <name val="Cambria"/>
      <family val="1"/>
      <scheme val="major"/>
    </font>
    <font>
      <i/>
      <sz val="12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6"/>
      <color rgb="FF000000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sz val="14"/>
      <name val="Century Gothic"/>
      <family val="2"/>
    </font>
    <font>
      <sz val="16"/>
      <name val="Calibri"/>
      <family val="2"/>
      <scheme val="minor"/>
    </font>
    <font>
      <b/>
      <sz val="16"/>
      <color rgb="FFFF0000"/>
      <name val="Century Gothic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11"/>
      <name val="Calibri"/>
      <family val="2"/>
    </font>
    <font>
      <sz val="16"/>
      <name val="Calibri"/>
      <family val="2"/>
    </font>
    <font>
      <u/>
      <sz val="10"/>
      <color theme="10"/>
      <name val="Arial"/>
      <family val="2"/>
    </font>
    <font>
      <b/>
      <sz val="16"/>
      <color theme="0"/>
      <name val="Century Gothic"/>
      <family val="2"/>
    </font>
    <font>
      <sz val="10"/>
      <color theme="0"/>
      <name val="Arial"/>
      <family val="2"/>
    </font>
    <font>
      <sz val="16"/>
      <color theme="0"/>
      <name val="Century Gothic"/>
      <family val="2"/>
    </font>
    <font>
      <sz val="18"/>
      <color theme="0"/>
      <name val="Century Gothic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002060"/>
        <bgColor rgb="FF95B3D7"/>
      </patternFill>
    </fill>
    <fill>
      <patternFill patternType="solid">
        <fgColor theme="0" tint="-4.9989318521683403E-2"/>
        <bgColor rgb="FF95B3D7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/>
    <xf numFmtId="0" fontId="38" fillId="0" borderId="0" applyNumberFormat="0" applyFill="0" applyBorder="0" applyAlignment="0" applyProtection="0"/>
    <xf numFmtId="44" fontId="27" fillId="0" borderId="0" applyFont="0" applyFill="0" applyBorder="0" applyAlignment="0" applyProtection="0"/>
  </cellStyleXfs>
  <cellXfs count="155">
    <xf numFmtId="0" fontId="0" fillId="0" borderId="0" xfId="0"/>
    <xf numFmtId="9" fontId="0" fillId="0" borderId="1" xfId="2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13" fillId="0" borderId="0" xfId="0" applyFont="1"/>
    <xf numFmtId="2" fontId="13" fillId="0" borderId="0" xfId="0" applyNumberFormat="1" applyFont="1" applyBorder="1" applyAlignment="1">
      <alignment horizontal="center" vertical="center"/>
    </xf>
    <xf numFmtId="9" fontId="3" fillId="8" borderId="1" xfId="2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9" fontId="0" fillId="0" borderId="0" xfId="0" applyNumberFormat="1" applyFill="1" applyBorder="1"/>
    <xf numFmtId="0" fontId="0" fillId="0" borderId="0" xfId="0" applyFont="1" applyFill="1" applyBorder="1"/>
    <xf numFmtId="10" fontId="0" fillId="0" borderId="0" xfId="0" applyNumberFormat="1" applyFill="1" applyBorder="1"/>
    <xf numFmtId="0" fontId="1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Font="1"/>
    <xf numFmtId="0" fontId="22" fillId="7" borderId="1" xfId="0" applyFont="1" applyFill="1" applyBorder="1"/>
    <xf numFmtId="2" fontId="0" fillId="0" borderId="0" xfId="0" applyNumberFormat="1"/>
    <xf numFmtId="2" fontId="0" fillId="0" borderId="0" xfId="2" applyNumberFormat="1" applyFont="1"/>
    <xf numFmtId="2" fontId="4" fillId="0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8" xfId="2" applyNumberFormat="1" applyFont="1" applyFill="1" applyBorder="1" applyAlignment="1">
      <alignment horizontal="center" vertical="center"/>
    </xf>
    <xf numFmtId="0" fontId="31" fillId="12" borderId="17" xfId="3" applyFont="1" applyFill="1" applyBorder="1" applyAlignment="1">
      <alignment horizontal="center" vertical="center"/>
    </xf>
    <xf numFmtId="0" fontId="27" fillId="0" borderId="0" xfId="3"/>
    <xf numFmtId="0" fontId="34" fillId="0" borderId="0" xfId="3" applyFont="1" applyBorder="1"/>
    <xf numFmtId="0" fontId="35" fillId="0" borderId="0" xfId="3" applyFont="1" applyBorder="1" applyAlignment="1">
      <alignment vertical="center"/>
    </xf>
    <xf numFmtId="0" fontId="29" fillId="0" borderId="0" xfId="3" applyFont="1" applyBorder="1" applyAlignment="1">
      <alignment horizontal="center" vertical="center"/>
    </xf>
    <xf numFmtId="0" fontId="30" fillId="0" borderId="0" xfId="3" applyFont="1" applyBorder="1" applyAlignment="1">
      <alignment horizontal="center" vertical="center"/>
    </xf>
    <xf numFmtId="0" fontId="36" fillId="0" borderId="0" xfId="3" applyFont="1" applyBorder="1"/>
    <xf numFmtId="0" fontId="37" fillId="0" borderId="0" xfId="3" applyFont="1" applyBorder="1" applyAlignment="1">
      <alignment vertical="center"/>
    </xf>
    <xf numFmtId="0" fontId="37" fillId="0" borderId="18" xfId="3" applyFont="1" applyBorder="1" applyAlignment="1">
      <alignment horizontal="center" vertical="center"/>
    </xf>
    <xf numFmtId="0" fontId="28" fillId="0" borderId="0" xfId="3" applyFont="1" applyBorder="1" applyAlignment="1">
      <alignment horizontal="center" vertical="center"/>
    </xf>
    <xf numFmtId="0" fontId="28" fillId="0" borderId="0" xfId="3" applyFont="1" applyBorder="1" applyAlignment="1">
      <alignment vertical="center"/>
    </xf>
    <xf numFmtId="0" fontId="33" fillId="0" borderId="0" xfId="3" applyFont="1" applyBorder="1" applyAlignment="1">
      <alignment horizontal="center" vertical="center"/>
    </xf>
    <xf numFmtId="0" fontId="31" fillId="12" borderId="16" xfId="3" applyFont="1" applyFill="1" applyBorder="1" applyAlignment="1">
      <alignment horizontal="center" vertical="center"/>
    </xf>
    <xf numFmtId="0" fontId="8" fillId="0" borderId="0" xfId="3" applyFont="1" applyBorder="1"/>
    <xf numFmtId="0" fontId="11" fillId="0" borderId="0" xfId="3" applyFont="1" applyBorder="1"/>
    <xf numFmtId="0" fontId="11" fillId="0" borderId="0" xfId="3" applyFont="1"/>
    <xf numFmtId="0" fontId="32" fillId="0" borderId="0" xfId="3" applyFont="1" applyBorder="1"/>
    <xf numFmtId="0" fontId="34" fillId="0" borderId="0" xfId="3" applyFont="1" applyFill="1" applyBorder="1"/>
    <xf numFmtId="0" fontId="43" fillId="10" borderId="1" xfId="4" applyFont="1" applyFill="1" applyBorder="1" applyAlignment="1">
      <alignment horizontal="center"/>
    </xf>
    <xf numFmtId="0" fontId="39" fillId="13" borderId="1" xfId="3" applyFont="1" applyFill="1" applyBorder="1" applyAlignment="1">
      <alignment horizontal="center" vertical="center"/>
    </xf>
    <xf numFmtId="0" fontId="40" fillId="11" borderId="1" xfId="3" applyFont="1" applyFill="1" applyBorder="1"/>
    <xf numFmtId="0" fontId="41" fillId="13" borderId="1" xfId="3" applyFont="1" applyFill="1" applyBorder="1" applyAlignment="1">
      <alignment horizontal="center" vertical="center"/>
    </xf>
    <xf numFmtId="0" fontId="31" fillId="12" borderId="4" xfId="3" applyFont="1" applyFill="1" applyBorder="1" applyAlignment="1">
      <alignment horizontal="center" vertical="center"/>
    </xf>
    <xf numFmtId="0" fontId="27" fillId="0" borderId="1" xfId="3" applyBorder="1"/>
    <xf numFmtId="0" fontId="42" fillId="13" borderId="1" xfId="3" applyFont="1" applyFill="1" applyBorder="1" applyAlignment="1">
      <alignment horizontal="center" vertical="center"/>
    </xf>
    <xf numFmtId="0" fontId="43" fillId="14" borderId="1" xfId="4" applyFont="1" applyFill="1" applyBorder="1" applyAlignment="1">
      <alignment horizontal="center" vertical="center"/>
    </xf>
    <xf numFmtId="0" fontId="43" fillId="10" borderId="1" xfId="4" applyFont="1" applyFill="1" applyBorder="1"/>
    <xf numFmtId="0" fontId="39" fillId="13" borderId="19" xfId="3" applyFont="1" applyFill="1" applyBorder="1" applyAlignment="1">
      <alignment horizontal="center" vertical="center"/>
    </xf>
    <xf numFmtId="0" fontId="40" fillId="11" borderId="20" xfId="3" applyFont="1" applyFill="1" applyBorder="1"/>
    <xf numFmtId="0" fontId="40" fillId="11" borderId="21" xfId="3" applyFont="1" applyFill="1" applyBorder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10" borderId="15" xfId="0" applyFont="1" applyFill="1" applyBorder="1" applyAlignment="1"/>
    <xf numFmtId="0" fontId="4" fillId="10" borderId="0" xfId="0" applyFont="1" applyFill="1" applyBorder="1" applyAlignment="1"/>
    <xf numFmtId="0" fontId="4" fillId="10" borderId="12" xfId="0" applyFont="1" applyFill="1" applyBorder="1" applyAlignment="1"/>
    <xf numFmtId="0" fontId="16" fillId="9" borderId="13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25" fillId="11" borderId="0" xfId="0" applyFont="1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5" fillId="10" borderId="5" xfId="0" applyFont="1" applyFill="1" applyBorder="1" applyAlignment="1"/>
    <xf numFmtId="0" fontId="4" fillId="10" borderId="6" xfId="0" applyFont="1" applyFill="1" applyBorder="1" applyAlignment="1"/>
    <xf numFmtId="0" fontId="4" fillId="10" borderId="7" xfId="0" applyFont="1" applyFill="1" applyBorder="1" applyAlignment="1"/>
    <xf numFmtId="0" fontId="21" fillId="0" borderId="0" xfId="0" applyFont="1" applyAlignment="1">
      <alignment horizontal="center" wrapText="1"/>
    </xf>
    <xf numFmtId="0" fontId="17" fillId="10" borderId="1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 wrapText="1"/>
    </xf>
    <xf numFmtId="0" fontId="20" fillId="10" borderId="9" xfId="0" applyFont="1" applyFill="1" applyBorder="1" applyAlignment="1">
      <alignment horizontal="center" vertical="center" wrapText="1"/>
    </xf>
    <xf numFmtId="0" fontId="20" fillId="10" borderId="11" xfId="0" applyFont="1" applyFill="1" applyBorder="1" applyAlignment="1">
      <alignment horizontal="center" vertical="center" wrapText="1"/>
    </xf>
    <xf numFmtId="0" fontId="20" fillId="10" borderId="15" xfId="0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horizontal="center" vertical="center" wrapText="1"/>
    </xf>
    <xf numFmtId="0" fontId="20" fillId="10" borderId="12" xfId="0" applyFont="1" applyFill="1" applyBorder="1" applyAlignment="1">
      <alignment horizontal="center" vertical="center" wrapText="1"/>
    </xf>
    <xf numFmtId="0" fontId="20" fillId="10" borderId="5" xfId="0" applyFont="1" applyFill="1" applyBorder="1" applyAlignment="1">
      <alignment horizontal="center" vertical="center" wrapText="1"/>
    </xf>
    <xf numFmtId="0" fontId="20" fillId="10" borderId="6" xfId="0" applyFont="1" applyFill="1" applyBorder="1" applyAlignment="1">
      <alignment horizontal="center" vertical="center" wrapText="1"/>
    </xf>
    <xf numFmtId="0" fontId="20" fillId="10" borderId="7" xfId="0" applyFont="1" applyFill="1" applyBorder="1" applyAlignment="1">
      <alignment horizontal="center" vertical="center" wrapText="1"/>
    </xf>
    <xf numFmtId="0" fontId="17" fillId="10" borderId="14" xfId="0" applyFont="1" applyFill="1" applyBorder="1" applyAlignment="1">
      <alignment horizontal="center" vertical="center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/>
    <xf numFmtId="0" fontId="4" fillId="10" borderId="9" xfId="0" applyFont="1" applyFill="1" applyBorder="1" applyAlignment="1"/>
    <xf numFmtId="0" fontId="4" fillId="10" borderId="11" xfId="0" applyFont="1" applyFill="1" applyBorder="1" applyAlignment="1"/>
    <xf numFmtId="0" fontId="4" fillId="10" borderId="15" xfId="0" applyFont="1" applyFill="1" applyBorder="1" applyAlignment="1"/>
    <xf numFmtId="0" fontId="5" fillId="10" borderId="15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4" fillId="10" borderId="12" xfId="0" applyFont="1" applyFill="1" applyBorder="1" applyAlignment="1">
      <alignment vertical="center"/>
    </xf>
    <xf numFmtId="164" fontId="0" fillId="6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1" applyNumberFormat="1" applyFont="1" applyFill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2" borderId="1" xfId="2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11" borderId="0" xfId="0" applyFont="1" applyFill="1" applyAlignment="1">
      <alignment horizontal="center"/>
    </xf>
  </cellXfs>
  <cellStyles count="6">
    <cellStyle name="Hiperlink" xfId="4" builtinId="8"/>
    <cellStyle name="Moeda 2" xfId="5"/>
    <cellStyle name="Normal" xfId="0" builtinId="0"/>
    <cellStyle name="Normal 2" xfId="3"/>
    <cellStyle name="Porcentagem" xfId="2" builtinId="5"/>
    <cellStyle name="Vírgula" xfId="1" builtinId="3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287000" y="180975"/>
    <xdr:ext cx="1609725" cy="2171700"/>
    <xdr:pic>
      <xdr:nvPicPr>
        <xdr:cNvPr id="4" name="image00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87000" y="180975"/>
          <a:ext cx="1609725" cy="2171700"/>
        </a:xfrm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5</xdr:row>
      <xdr:rowOff>9525</xdr:rowOff>
    </xdr:from>
    <xdr:to>
      <xdr:col>4</xdr:col>
      <xdr:colOff>590549</xdr:colOff>
      <xdr:row>10</xdr:row>
      <xdr:rowOff>9524</xdr:rowOff>
    </xdr:to>
    <xdr:sp macro="" textlink="">
      <xdr:nvSpPr>
        <xdr:cNvPr id="32" name="Fluxograma: Processo 31"/>
        <xdr:cNvSpPr/>
      </xdr:nvSpPr>
      <xdr:spPr>
        <a:xfrm>
          <a:off x="1247774" y="971550"/>
          <a:ext cx="1781175" cy="962024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419100</xdr:colOff>
      <xdr:row>5</xdr:row>
      <xdr:rowOff>19050</xdr:rowOff>
    </xdr:from>
    <xdr:to>
      <xdr:col>8</xdr:col>
      <xdr:colOff>571500</xdr:colOff>
      <xdr:row>10</xdr:row>
      <xdr:rowOff>19049</xdr:rowOff>
    </xdr:to>
    <xdr:sp macro="" textlink="">
      <xdr:nvSpPr>
        <xdr:cNvPr id="33" name="Fluxograma: Processo 32"/>
        <xdr:cNvSpPr/>
      </xdr:nvSpPr>
      <xdr:spPr>
        <a:xfrm>
          <a:off x="4076700" y="981075"/>
          <a:ext cx="1781175" cy="962024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285750</xdr:colOff>
      <xdr:row>5</xdr:row>
      <xdr:rowOff>19050</xdr:rowOff>
    </xdr:from>
    <xdr:to>
      <xdr:col>14</xdr:col>
      <xdr:colOff>238125</xdr:colOff>
      <xdr:row>10</xdr:row>
      <xdr:rowOff>19049</xdr:rowOff>
    </xdr:to>
    <xdr:sp macro="" textlink="">
      <xdr:nvSpPr>
        <xdr:cNvPr id="34" name="Fluxograma: Processo 33"/>
        <xdr:cNvSpPr/>
      </xdr:nvSpPr>
      <xdr:spPr>
        <a:xfrm>
          <a:off x="7400925" y="981075"/>
          <a:ext cx="1781175" cy="962024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200025</xdr:colOff>
      <xdr:row>7</xdr:row>
      <xdr:rowOff>104775</xdr:rowOff>
    </xdr:from>
    <xdr:to>
      <xdr:col>2</xdr:col>
      <xdr:colOff>28574</xdr:colOff>
      <xdr:row>7</xdr:row>
      <xdr:rowOff>104775</xdr:rowOff>
    </xdr:to>
    <xdr:cxnSp macro="">
      <xdr:nvCxnSpPr>
        <xdr:cNvPr id="35" name="Conector de seta reta 34"/>
        <xdr:cNvCxnSpPr>
          <a:endCxn id="32" idx="1"/>
        </xdr:cNvCxnSpPr>
      </xdr:nvCxnSpPr>
      <xdr:spPr>
        <a:xfrm>
          <a:off x="200025" y="1457325"/>
          <a:ext cx="104774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</xdr:row>
      <xdr:rowOff>171450</xdr:rowOff>
    </xdr:from>
    <xdr:to>
      <xdr:col>3</xdr:col>
      <xdr:colOff>309562</xdr:colOff>
      <xdr:row>5</xdr:row>
      <xdr:rowOff>9525</xdr:rowOff>
    </xdr:to>
    <xdr:cxnSp macro="">
      <xdr:nvCxnSpPr>
        <xdr:cNvPr id="36" name="Conector de seta reta 35"/>
        <xdr:cNvCxnSpPr>
          <a:endCxn id="32" idx="0"/>
        </xdr:cNvCxnSpPr>
      </xdr:nvCxnSpPr>
      <xdr:spPr>
        <a:xfrm>
          <a:off x="2133600" y="361950"/>
          <a:ext cx="4762" cy="6096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7</xdr:row>
      <xdr:rowOff>104775</xdr:rowOff>
    </xdr:from>
    <xdr:to>
      <xdr:col>6</xdr:col>
      <xdr:colOff>419100</xdr:colOff>
      <xdr:row>7</xdr:row>
      <xdr:rowOff>114300</xdr:rowOff>
    </xdr:to>
    <xdr:cxnSp macro="">
      <xdr:nvCxnSpPr>
        <xdr:cNvPr id="37" name="Conector de seta reta 36"/>
        <xdr:cNvCxnSpPr>
          <a:stCxn id="32" idx="3"/>
          <a:endCxn id="33" idx="1"/>
        </xdr:cNvCxnSpPr>
      </xdr:nvCxnSpPr>
      <xdr:spPr>
        <a:xfrm>
          <a:off x="3028949" y="1457325"/>
          <a:ext cx="1047751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114300</xdr:rowOff>
    </xdr:from>
    <xdr:to>
      <xdr:col>11</xdr:col>
      <xdr:colOff>285750</xdr:colOff>
      <xdr:row>7</xdr:row>
      <xdr:rowOff>114300</xdr:rowOff>
    </xdr:to>
    <xdr:cxnSp macro="">
      <xdr:nvCxnSpPr>
        <xdr:cNvPr id="38" name="Conector de seta reta 37"/>
        <xdr:cNvCxnSpPr>
          <a:stCxn id="33" idx="3"/>
          <a:endCxn id="34" idx="1"/>
        </xdr:cNvCxnSpPr>
      </xdr:nvCxnSpPr>
      <xdr:spPr>
        <a:xfrm>
          <a:off x="5857875" y="1466850"/>
          <a:ext cx="15430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38100</xdr:rowOff>
    </xdr:from>
    <xdr:to>
      <xdr:col>11</xdr:col>
      <xdr:colOff>266700</xdr:colOff>
      <xdr:row>5</xdr:row>
      <xdr:rowOff>114300</xdr:rowOff>
    </xdr:to>
    <xdr:cxnSp macro="">
      <xdr:nvCxnSpPr>
        <xdr:cNvPr id="39" name="Conector angulado 38"/>
        <xdr:cNvCxnSpPr/>
      </xdr:nvCxnSpPr>
      <xdr:spPr>
        <a:xfrm>
          <a:off x="5534025" y="619125"/>
          <a:ext cx="1847850" cy="457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</xdr:row>
      <xdr:rowOff>0</xdr:rowOff>
    </xdr:from>
    <xdr:to>
      <xdr:col>13</xdr:col>
      <xdr:colOff>0</xdr:colOff>
      <xdr:row>5</xdr:row>
      <xdr:rowOff>19050</xdr:rowOff>
    </xdr:to>
    <xdr:cxnSp macro="">
      <xdr:nvCxnSpPr>
        <xdr:cNvPr id="40" name="Conector de seta reta 39"/>
        <xdr:cNvCxnSpPr/>
      </xdr:nvCxnSpPr>
      <xdr:spPr>
        <a:xfrm>
          <a:off x="8324850" y="381000"/>
          <a:ext cx="9525" cy="6000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7</xdr:row>
      <xdr:rowOff>104775</xdr:rowOff>
    </xdr:from>
    <xdr:to>
      <xdr:col>17</xdr:col>
      <xdr:colOff>523875</xdr:colOff>
      <xdr:row>7</xdr:row>
      <xdr:rowOff>114300</xdr:rowOff>
    </xdr:to>
    <xdr:cxnSp macro="">
      <xdr:nvCxnSpPr>
        <xdr:cNvPr id="41" name="Conector de seta reta 40"/>
        <xdr:cNvCxnSpPr>
          <a:stCxn id="34" idx="3"/>
        </xdr:cNvCxnSpPr>
      </xdr:nvCxnSpPr>
      <xdr:spPr>
        <a:xfrm flipV="1">
          <a:off x="9182100" y="1457325"/>
          <a:ext cx="2114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566737</xdr:colOff>
      <xdr:row>10</xdr:row>
      <xdr:rowOff>19049</xdr:rowOff>
    </xdr:from>
    <xdr:to>
      <xdr:col>18</xdr:col>
      <xdr:colOff>561974</xdr:colOff>
      <xdr:row>12</xdr:row>
      <xdr:rowOff>85725</xdr:rowOff>
    </xdr:to>
    <xdr:cxnSp macro="">
      <xdr:nvCxnSpPr>
        <xdr:cNvPr id="42" name="Conector angulado 41"/>
        <xdr:cNvCxnSpPr>
          <a:stCxn id="34" idx="2"/>
        </xdr:cNvCxnSpPr>
      </xdr:nvCxnSpPr>
      <xdr:spPr>
        <a:xfrm rot="16200000" flipH="1">
          <a:off x="9889330" y="345281"/>
          <a:ext cx="457201" cy="36528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133349</xdr:rowOff>
    </xdr:from>
    <xdr:to>
      <xdr:col>4</xdr:col>
      <xdr:colOff>533400</xdr:colOff>
      <xdr:row>8</xdr:row>
      <xdr:rowOff>104774</xdr:rowOff>
    </xdr:to>
    <xdr:sp macro="" textlink="">
      <xdr:nvSpPr>
        <xdr:cNvPr id="43" name="CaixaDeTexto 42"/>
        <xdr:cNvSpPr txBox="1"/>
      </xdr:nvSpPr>
      <xdr:spPr>
        <a:xfrm>
          <a:off x="1714500" y="1285874"/>
          <a:ext cx="12573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latin typeface="+mj-lt"/>
            </a:rPr>
            <a:t>REATOR</a:t>
          </a:r>
        </a:p>
        <a:p>
          <a:endParaRPr lang="pt-BR" sz="1100"/>
        </a:p>
      </xdr:txBody>
    </xdr:sp>
    <xdr:clientData/>
  </xdr:twoCellAnchor>
  <xdr:twoCellAnchor>
    <xdr:from>
      <xdr:col>6</xdr:col>
      <xdr:colOff>742950</xdr:colOff>
      <xdr:row>6</xdr:row>
      <xdr:rowOff>133350</xdr:rowOff>
    </xdr:from>
    <xdr:to>
      <xdr:col>8</xdr:col>
      <xdr:colOff>476250</xdr:colOff>
      <xdr:row>8</xdr:row>
      <xdr:rowOff>152400</xdr:rowOff>
    </xdr:to>
    <xdr:sp macro="" textlink="">
      <xdr:nvSpPr>
        <xdr:cNvPr id="44" name="CaixaDeTexto 43"/>
        <xdr:cNvSpPr txBox="1"/>
      </xdr:nvSpPr>
      <xdr:spPr>
        <a:xfrm>
          <a:off x="4400550" y="1285875"/>
          <a:ext cx="13620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TROCADORES</a:t>
          </a:r>
        </a:p>
      </xdr:txBody>
    </xdr:sp>
    <xdr:clientData/>
  </xdr:twoCellAnchor>
  <xdr:twoCellAnchor>
    <xdr:from>
      <xdr:col>11</xdr:col>
      <xdr:colOff>581025</xdr:colOff>
      <xdr:row>6</xdr:row>
      <xdr:rowOff>152400</xdr:rowOff>
    </xdr:from>
    <xdr:to>
      <xdr:col>14</xdr:col>
      <xdr:colOff>228600</xdr:colOff>
      <xdr:row>8</xdr:row>
      <xdr:rowOff>104775</xdr:rowOff>
    </xdr:to>
    <xdr:sp macro="" textlink="">
      <xdr:nvSpPr>
        <xdr:cNvPr id="45" name="CaixaDeTexto 44"/>
        <xdr:cNvSpPr txBox="1"/>
      </xdr:nvSpPr>
      <xdr:spPr>
        <a:xfrm>
          <a:off x="7696200" y="1304925"/>
          <a:ext cx="14763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ABSORVEDORA</a:t>
          </a:r>
        </a:p>
      </xdr:txBody>
    </xdr:sp>
    <xdr:clientData/>
  </xdr:twoCellAnchor>
  <xdr:twoCellAnchor>
    <xdr:from>
      <xdr:col>5</xdr:col>
      <xdr:colOff>228600</xdr:colOff>
      <xdr:row>6</xdr:row>
      <xdr:rowOff>19050</xdr:rowOff>
    </xdr:from>
    <xdr:to>
      <xdr:col>6</xdr:col>
      <xdr:colOff>190500</xdr:colOff>
      <xdr:row>7</xdr:row>
      <xdr:rowOff>38100</xdr:rowOff>
    </xdr:to>
    <xdr:sp macro="" textlink="">
      <xdr:nvSpPr>
        <xdr:cNvPr id="46" name="CaixaDeTexto 45"/>
        <xdr:cNvSpPr txBox="1"/>
      </xdr:nvSpPr>
      <xdr:spPr>
        <a:xfrm>
          <a:off x="3276600" y="1171575"/>
          <a:ext cx="5715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    </a:t>
          </a:r>
          <a:r>
            <a:rPr lang="pt-BR" sz="1200" b="1"/>
            <a:t>B</a:t>
          </a:r>
        </a:p>
        <a:p>
          <a:endParaRPr lang="pt-B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0</xdr:row>
      <xdr:rowOff>38100</xdr:rowOff>
    </xdr:from>
    <xdr:to>
      <xdr:col>4</xdr:col>
      <xdr:colOff>452312</xdr:colOff>
      <xdr:row>9</xdr:row>
      <xdr:rowOff>123674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3356" t="16538" r="11776" b="14183"/>
        <a:stretch/>
      </xdr:blipFill>
      <xdr:spPr>
        <a:xfrm>
          <a:off x="1104900" y="38100"/>
          <a:ext cx="2997868" cy="180007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0</xdr:row>
      <xdr:rowOff>125789</xdr:rowOff>
    </xdr:from>
    <xdr:to>
      <xdr:col>9</xdr:col>
      <xdr:colOff>801992</xdr:colOff>
      <xdr:row>8</xdr:row>
      <xdr:rowOff>180975</xdr:rowOff>
    </xdr:to>
    <xdr:pic>
      <xdr:nvPicPr>
        <xdr:cNvPr id="4" name="Imagem 3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11567" t="16668" r="13898" b="15745"/>
        <a:stretch/>
      </xdr:blipFill>
      <xdr:spPr>
        <a:xfrm>
          <a:off x="5295900" y="125789"/>
          <a:ext cx="3097518" cy="1579186"/>
        </a:xfrm>
        <a:prstGeom prst="rect">
          <a:avLst/>
        </a:prstGeom>
      </xdr:spPr>
    </xdr:pic>
    <xdr:clientData/>
  </xdr:twoCellAnchor>
  <xdr:twoCellAnchor editAs="oneCell">
    <xdr:from>
      <xdr:col>11</xdr:col>
      <xdr:colOff>914399</xdr:colOff>
      <xdr:row>0</xdr:row>
      <xdr:rowOff>0</xdr:rowOff>
    </xdr:from>
    <xdr:to>
      <xdr:col>14</xdr:col>
      <xdr:colOff>200025</xdr:colOff>
      <xdr:row>9</xdr:row>
      <xdr:rowOff>147278</xdr:rowOff>
    </xdr:to>
    <xdr:pic>
      <xdr:nvPicPr>
        <xdr:cNvPr id="5" name="Imagem 4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l="44075" t="23440" r="10458" b="18871"/>
        <a:stretch/>
      </xdr:blipFill>
      <xdr:spPr>
        <a:xfrm>
          <a:off x="9953624" y="0"/>
          <a:ext cx="2609851" cy="1861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showGridLines="0" workbookViewId="0">
      <selection activeCell="F13" sqref="F13:H13"/>
    </sheetView>
  </sheetViews>
  <sheetFormatPr defaultRowHeight="15" x14ac:dyDescent="0.25"/>
  <cols>
    <col min="6" max="6" width="22.28515625" customWidth="1"/>
    <col min="7" max="7" width="23" customWidth="1"/>
    <col min="8" max="8" width="19.42578125" bestFit="1" customWidth="1"/>
    <col min="9" max="9" width="24.140625" bestFit="1" customWidth="1"/>
    <col min="10" max="10" width="19.140625" customWidth="1"/>
  </cols>
  <sheetData>
    <row r="2" spans="1:12" ht="24" x14ac:dyDescent="0.25">
      <c r="A2" s="78" t="s">
        <v>108</v>
      </c>
      <c r="B2" s="74"/>
      <c r="C2" s="74"/>
      <c r="D2" s="74"/>
      <c r="E2" s="74"/>
      <c r="F2" s="74"/>
      <c r="G2" s="74"/>
      <c r="H2" s="74"/>
      <c r="I2" s="74"/>
      <c r="J2" s="74"/>
      <c r="K2" s="57"/>
      <c r="L2" s="57"/>
    </row>
    <row r="3" spans="1:12" ht="24" x14ac:dyDescent="0.25">
      <c r="A3" s="78" t="s">
        <v>109</v>
      </c>
      <c r="B3" s="74"/>
      <c r="C3" s="74"/>
      <c r="D3" s="74"/>
      <c r="E3" s="74"/>
      <c r="F3" s="74"/>
      <c r="G3" s="74"/>
      <c r="H3" s="74"/>
      <c r="I3" s="74"/>
      <c r="J3" s="74"/>
      <c r="K3" s="57"/>
      <c r="L3" s="57"/>
    </row>
    <row r="4" spans="1:12" ht="23.25" x14ac:dyDescent="0.25">
      <c r="A4" s="75" t="s">
        <v>110</v>
      </c>
      <c r="B4" s="74"/>
      <c r="C4" s="74"/>
      <c r="D4" s="74"/>
      <c r="E4" s="74"/>
      <c r="F4" s="74"/>
      <c r="G4" s="74"/>
      <c r="H4" s="74"/>
      <c r="I4" s="74"/>
      <c r="J4" s="74"/>
      <c r="K4" s="57"/>
      <c r="L4" s="57"/>
    </row>
    <row r="5" spans="1:12" ht="16.5" x14ac:dyDescent="0.25">
      <c r="A5" s="58"/>
      <c r="B5" s="58"/>
      <c r="C5" s="58"/>
      <c r="D5" s="59"/>
      <c r="E5" s="59"/>
      <c r="F5" s="59"/>
      <c r="G5" s="59"/>
      <c r="H5" s="59"/>
      <c r="I5" s="59"/>
      <c r="J5" s="59"/>
      <c r="K5" s="60"/>
      <c r="L5" s="60"/>
    </row>
    <row r="6" spans="1:12" ht="21" x14ac:dyDescent="0.25">
      <c r="A6" s="73" t="s">
        <v>111</v>
      </c>
      <c r="B6" s="74"/>
      <c r="C6" s="74"/>
      <c r="D6" s="74"/>
      <c r="E6" s="74"/>
      <c r="F6" s="76" t="s">
        <v>112</v>
      </c>
      <c r="G6" s="77"/>
      <c r="H6" s="77"/>
      <c r="I6" s="77"/>
      <c r="J6" s="77"/>
      <c r="K6" s="61"/>
      <c r="L6" s="60"/>
    </row>
    <row r="7" spans="1:12" ht="21" x14ac:dyDescent="0.25">
      <c r="A7" s="73" t="s">
        <v>113</v>
      </c>
      <c r="B7" s="74"/>
      <c r="C7" s="74"/>
      <c r="D7" s="74"/>
      <c r="E7" s="74"/>
      <c r="F7" s="54" t="s">
        <v>115</v>
      </c>
      <c r="G7" s="66" t="s">
        <v>116</v>
      </c>
      <c r="H7" s="66" t="s">
        <v>117</v>
      </c>
      <c r="I7" s="66" t="s">
        <v>119</v>
      </c>
      <c r="J7" s="66" t="s">
        <v>118</v>
      </c>
      <c r="K7" s="56"/>
      <c r="L7" s="62"/>
    </row>
    <row r="8" spans="1:12" ht="17.25" thickBot="1" x14ac:dyDescent="0.3">
      <c r="A8" s="58"/>
      <c r="B8" s="58"/>
      <c r="C8" s="58"/>
      <c r="D8" s="59"/>
      <c r="E8" s="59"/>
      <c r="F8" s="59"/>
      <c r="G8" s="59"/>
      <c r="H8" s="59"/>
      <c r="I8" s="59"/>
      <c r="J8" s="59"/>
      <c r="K8" s="60"/>
      <c r="L8" s="60"/>
    </row>
    <row r="9" spans="1:12" ht="21" thickBot="1" x14ac:dyDescent="0.3">
      <c r="A9" s="81" t="s">
        <v>120</v>
      </c>
      <c r="B9" s="82"/>
      <c r="C9" s="82"/>
      <c r="D9" s="82"/>
      <c r="E9" s="82"/>
      <c r="F9" s="82"/>
      <c r="G9" s="82"/>
      <c r="H9" s="82"/>
      <c r="I9" s="82"/>
      <c r="J9" s="83"/>
      <c r="K9" s="60"/>
      <c r="L9" s="60"/>
    </row>
    <row r="10" spans="1:12" ht="17.25" thickBot="1" x14ac:dyDescent="0.3">
      <c r="A10" s="58"/>
      <c r="B10" s="58"/>
      <c r="C10" s="58"/>
      <c r="D10" s="59"/>
      <c r="E10" s="59"/>
      <c r="F10" s="59"/>
      <c r="G10" s="59"/>
      <c r="H10" s="59"/>
      <c r="I10" s="59"/>
      <c r="J10" s="59"/>
      <c r="K10" s="60"/>
      <c r="L10" s="60"/>
    </row>
    <row r="11" spans="1:12" ht="21" thickBot="1" x14ac:dyDescent="0.3">
      <c r="A11" s="64"/>
      <c r="B11" s="64"/>
      <c r="C11" s="64"/>
      <c r="D11" s="64"/>
      <c r="E11" s="64"/>
      <c r="F11" s="81" t="s">
        <v>114</v>
      </c>
      <c r="G11" s="82"/>
      <c r="H11" s="83"/>
      <c r="I11" s="64"/>
      <c r="J11" s="64"/>
      <c r="K11" s="60"/>
      <c r="L11" s="60"/>
    </row>
    <row r="12" spans="1:12" ht="20.25" x14ac:dyDescent="0.25">
      <c r="A12" s="58"/>
      <c r="B12" s="58"/>
      <c r="C12" s="58"/>
      <c r="D12" s="59"/>
      <c r="E12" s="64"/>
      <c r="F12" s="65"/>
      <c r="G12" s="65"/>
      <c r="H12" s="65"/>
      <c r="I12" s="64"/>
      <c r="J12" s="59"/>
      <c r="K12" s="60"/>
      <c r="L12" s="60"/>
    </row>
    <row r="13" spans="1:12" ht="19.5" x14ac:dyDescent="0.25">
      <c r="A13" s="58"/>
      <c r="B13" s="64"/>
      <c r="C13" s="64"/>
      <c r="D13" s="64"/>
      <c r="E13" s="64"/>
      <c r="F13" s="79" t="s">
        <v>122</v>
      </c>
      <c r="G13" s="80"/>
      <c r="H13" s="80"/>
      <c r="I13" s="64"/>
      <c r="J13" s="59"/>
      <c r="K13" s="60"/>
      <c r="L13" s="60"/>
    </row>
    <row r="14" spans="1:12" ht="19.5" x14ac:dyDescent="0.25">
      <c r="A14" s="58"/>
      <c r="B14" s="63"/>
      <c r="C14" s="63"/>
      <c r="D14" s="56"/>
      <c r="E14" s="59"/>
      <c r="F14" s="59"/>
      <c r="G14" s="59"/>
      <c r="H14" s="59"/>
      <c r="I14" s="59"/>
      <c r="J14" s="59"/>
      <c r="K14" s="60"/>
      <c r="L14" s="60"/>
    </row>
    <row r="15" spans="1:12" ht="19.5" x14ac:dyDescent="0.25">
      <c r="A15" s="58"/>
      <c r="B15" s="64"/>
      <c r="C15" s="64"/>
      <c r="D15" s="56"/>
      <c r="E15" s="64"/>
      <c r="F15" s="79" t="s">
        <v>121</v>
      </c>
      <c r="G15" s="80"/>
      <c r="H15" s="80"/>
      <c r="I15" s="64"/>
      <c r="J15" s="58"/>
      <c r="K15" s="56"/>
      <c r="L15" s="56"/>
    </row>
    <row r="16" spans="1:12" ht="18.75" x14ac:dyDescent="0.3">
      <c r="A16" s="56"/>
      <c r="B16" s="56"/>
      <c r="C16" s="56"/>
      <c r="D16" s="56"/>
      <c r="E16" s="56"/>
      <c r="F16" s="67"/>
      <c r="G16" s="67"/>
      <c r="H16" s="67"/>
      <c r="I16" s="67"/>
      <c r="J16" s="71"/>
      <c r="K16" s="56"/>
      <c r="L16" s="56"/>
    </row>
    <row r="17" spans="1:12" ht="21" x14ac:dyDescent="0.35">
      <c r="A17" s="56"/>
      <c r="B17" s="56"/>
      <c r="C17" s="56"/>
      <c r="D17" s="56"/>
      <c r="E17" s="56"/>
      <c r="F17" s="72" t="s">
        <v>123</v>
      </c>
      <c r="G17" s="72"/>
      <c r="H17" s="72"/>
      <c r="I17" s="70"/>
      <c r="J17" s="56"/>
      <c r="K17" s="56"/>
      <c r="L17" s="56"/>
    </row>
    <row r="18" spans="1:12" ht="21" x14ac:dyDescent="0.35">
      <c r="A18" s="56"/>
      <c r="B18" s="56"/>
      <c r="C18" s="56"/>
      <c r="D18" s="56"/>
      <c r="E18" s="56"/>
      <c r="F18" s="70"/>
      <c r="G18" s="70"/>
      <c r="H18" s="70"/>
      <c r="I18" s="70"/>
      <c r="J18" s="56"/>
      <c r="K18" s="56"/>
      <c r="L18" s="56"/>
    </row>
    <row r="19" spans="1:12" ht="21" x14ac:dyDescent="0.35">
      <c r="A19" s="56"/>
      <c r="B19" s="56"/>
      <c r="C19" s="56"/>
      <c r="D19" s="56"/>
      <c r="E19" s="56"/>
      <c r="F19" s="70"/>
      <c r="G19" s="70"/>
      <c r="H19" s="70"/>
      <c r="I19" s="70"/>
      <c r="J19" s="56"/>
      <c r="K19" s="56"/>
      <c r="L19" s="56"/>
    </row>
    <row r="20" spans="1:12" ht="21" x14ac:dyDescent="0.35">
      <c r="A20" s="56"/>
      <c r="B20" s="56"/>
      <c r="C20" s="56"/>
      <c r="D20" s="56"/>
      <c r="E20" s="56"/>
      <c r="F20" s="68"/>
      <c r="G20" s="68"/>
      <c r="H20" s="68"/>
      <c r="I20" s="68"/>
      <c r="J20" s="56"/>
      <c r="K20" s="56"/>
      <c r="L20" s="56"/>
    </row>
    <row r="21" spans="1:12" ht="21" x14ac:dyDescent="0.35">
      <c r="A21" s="55"/>
      <c r="B21" s="55"/>
      <c r="C21" s="55"/>
      <c r="D21" s="55"/>
      <c r="E21" s="55"/>
      <c r="F21" s="70"/>
      <c r="G21" s="70"/>
      <c r="H21" s="70"/>
      <c r="I21" s="69"/>
      <c r="J21" s="55"/>
      <c r="K21" s="55"/>
      <c r="L21" s="55"/>
    </row>
  </sheetData>
  <mergeCells count="11">
    <mergeCell ref="F17:H17"/>
    <mergeCell ref="A6:E6"/>
    <mergeCell ref="A4:J4"/>
    <mergeCell ref="F6:J6"/>
    <mergeCell ref="A2:J2"/>
    <mergeCell ref="A3:J3"/>
    <mergeCell ref="F13:H13"/>
    <mergeCell ref="F15:H15"/>
    <mergeCell ref="A7:E7"/>
    <mergeCell ref="F11:H11"/>
    <mergeCell ref="A9:J9"/>
  </mergeCells>
  <hyperlinks>
    <hyperlink ref="F13:H13" location="'Análise G.L'!A1" display="Análise dos Graus de Liberdade"/>
    <hyperlink ref="F15:H15" location="'Balanco Material'!A1" display="Balanço de Massa"/>
    <hyperlink ref="F17:H17" location="'Matriz Reator '!A1" display="Matriz Reator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workbookViewId="0">
      <selection sqref="A1:T1"/>
    </sheetView>
  </sheetViews>
  <sheetFormatPr defaultRowHeight="15" x14ac:dyDescent="0.25"/>
  <cols>
    <col min="7" max="7" width="12.42578125" customWidth="1"/>
    <col min="8" max="8" width="11.85546875" customWidth="1"/>
    <col min="9" max="9" width="11.28515625" customWidth="1"/>
  </cols>
  <sheetData>
    <row r="1" spans="1:20" ht="15.75" x14ac:dyDescent="0.25">
      <c r="A1" s="94" t="s">
        <v>100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</row>
    <row r="3" spans="1:20" ht="15.75" x14ac:dyDescent="0.25">
      <c r="D3" s="84" t="s">
        <v>21</v>
      </c>
      <c r="E3" s="84"/>
      <c r="J3" s="28" t="s">
        <v>49</v>
      </c>
      <c r="N3" s="3" t="s">
        <v>50</v>
      </c>
    </row>
    <row r="4" spans="1:20" x14ac:dyDescent="0.25">
      <c r="D4" s="86" t="s">
        <v>50</v>
      </c>
      <c r="E4" s="86"/>
      <c r="M4" s="29" t="s">
        <v>51</v>
      </c>
      <c r="N4" s="3" t="s">
        <v>52</v>
      </c>
    </row>
    <row r="5" spans="1:20" x14ac:dyDescent="0.25">
      <c r="D5" s="86" t="s">
        <v>52</v>
      </c>
      <c r="E5" s="86"/>
      <c r="K5" t="s">
        <v>53</v>
      </c>
    </row>
    <row r="7" spans="1:20" ht="15.75" x14ac:dyDescent="0.25">
      <c r="A7" s="84" t="s">
        <v>12</v>
      </c>
      <c r="B7" s="84"/>
      <c r="F7" s="30"/>
      <c r="G7" s="30"/>
      <c r="J7" s="84" t="s">
        <v>54</v>
      </c>
      <c r="K7" s="84"/>
      <c r="P7" s="84" t="s">
        <v>55</v>
      </c>
      <c r="Q7" s="85"/>
    </row>
    <row r="9" spans="1:20" x14ac:dyDescent="0.25">
      <c r="A9" s="86" t="s">
        <v>56</v>
      </c>
      <c r="B9" s="86"/>
      <c r="F9" t="s">
        <v>57</v>
      </c>
      <c r="G9" t="s">
        <v>58</v>
      </c>
      <c r="J9" s="18" t="s">
        <v>59</v>
      </c>
      <c r="K9" t="s">
        <v>60</v>
      </c>
      <c r="P9" s="86" t="s">
        <v>61</v>
      </c>
      <c r="Q9" s="86"/>
      <c r="R9" t="s">
        <v>62</v>
      </c>
    </row>
    <row r="10" spans="1:20" x14ac:dyDescent="0.25">
      <c r="F10" t="s">
        <v>63</v>
      </c>
      <c r="G10" t="s">
        <v>64</v>
      </c>
      <c r="J10" t="s">
        <v>65</v>
      </c>
      <c r="K10" t="s">
        <v>66</v>
      </c>
      <c r="P10" s="86" t="s">
        <v>23</v>
      </c>
      <c r="Q10" s="86"/>
    </row>
    <row r="11" spans="1:20" x14ac:dyDescent="0.25">
      <c r="F11" t="s">
        <v>67</v>
      </c>
      <c r="G11" t="s">
        <v>68</v>
      </c>
      <c r="J11" t="s">
        <v>69</v>
      </c>
      <c r="K11" t="s">
        <v>70</v>
      </c>
    </row>
    <row r="12" spans="1:20" ht="15.75" x14ac:dyDescent="0.25">
      <c r="F12" t="s">
        <v>71</v>
      </c>
      <c r="J12" t="s">
        <v>23</v>
      </c>
      <c r="P12" s="84" t="s">
        <v>72</v>
      </c>
      <c r="Q12" s="85"/>
    </row>
    <row r="14" spans="1:20" ht="15.75" thickBot="1" x14ac:dyDescent="0.3">
      <c r="C14" s="90" t="s">
        <v>73</v>
      </c>
      <c r="D14" s="90"/>
      <c r="E14" s="90"/>
      <c r="F14" s="90"/>
      <c r="G14" s="90"/>
      <c r="H14" s="90"/>
      <c r="I14" s="30"/>
      <c r="J14" s="91" t="s">
        <v>74</v>
      </c>
      <c r="K14" s="92"/>
      <c r="L14" s="92"/>
      <c r="M14" s="92"/>
      <c r="N14" s="93"/>
      <c r="P14" t="s">
        <v>69</v>
      </c>
      <c r="Q14" s="18" t="s">
        <v>59</v>
      </c>
    </row>
    <row r="15" spans="1:20" ht="15.75" thickTop="1" x14ac:dyDescent="0.25">
      <c r="C15" s="110" t="s">
        <v>75</v>
      </c>
      <c r="D15" s="110"/>
      <c r="E15" s="111" t="s">
        <v>76</v>
      </c>
      <c r="F15" s="112"/>
      <c r="G15" s="113"/>
      <c r="H15" s="110">
        <v>30</v>
      </c>
      <c r="J15" s="117" t="s">
        <v>77</v>
      </c>
      <c r="K15" s="118"/>
      <c r="L15" s="118"/>
      <c r="M15" s="118"/>
      <c r="N15" s="119"/>
      <c r="P15" t="s">
        <v>66</v>
      </c>
      <c r="Q15" t="s">
        <v>65</v>
      </c>
    </row>
    <row r="16" spans="1:20" x14ac:dyDescent="0.25">
      <c r="C16" s="100"/>
      <c r="D16" s="100"/>
      <c r="E16" s="111"/>
      <c r="F16" s="112"/>
      <c r="G16" s="113"/>
      <c r="H16" s="100"/>
      <c r="J16" s="120" t="s">
        <v>78</v>
      </c>
      <c r="K16" s="88"/>
      <c r="L16" s="88"/>
      <c r="M16" s="88"/>
      <c r="N16" s="89"/>
      <c r="P16" t="s">
        <v>60</v>
      </c>
    </row>
    <row r="17" spans="3:14" x14ac:dyDescent="0.25">
      <c r="C17" s="100"/>
      <c r="D17" s="100"/>
      <c r="E17" s="111"/>
      <c r="F17" s="112"/>
      <c r="G17" s="113"/>
      <c r="H17" s="100"/>
      <c r="J17" s="121" t="s">
        <v>107</v>
      </c>
      <c r="K17" s="122"/>
      <c r="L17" s="122"/>
      <c r="M17" s="122"/>
      <c r="N17" s="123"/>
    </row>
    <row r="18" spans="3:14" x14ac:dyDescent="0.25">
      <c r="C18" s="100"/>
      <c r="D18" s="100"/>
      <c r="E18" s="114"/>
      <c r="F18" s="115"/>
      <c r="G18" s="116"/>
      <c r="H18" s="100"/>
      <c r="J18" s="87" t="s">
        <v>96</v>
      </c>
      <c r="K18" s="88"/>
      <c r="L18" s="88"/>
      <c r="M18" s="88"/>
      <c r="N18" s="89"/>
    </row>
    <row r="19" spans="3:14" x14ac:dyDescent="0.25">
      <c r="C19" s="100" t="s">
        <v>79</v>
      </c>
      <c r="D19" s="100"/>
      <c r="E19" s="101" t="s">
        <v>80</v>
      </c>
      <c r="F19" s="102"/>
      <c r="G19" s="103"/>
      <c r="H19" s="100">
        <v>22</v>
      </c>
      <c r="J19" s="87" t="s">
        <v>101</v>
      </c>
      <c r="K19" s="88"/>
      <c r="L19" s="88"/>
      <c r="M19" s="88"/>
      <c r="N19" s="89"/>
    </row>
    <row r="20" spans="3:14" x14ac:dyDescent="0.25">
      <c r="C20" s="100"/>
      <c r="D20" s="100"/>
      <c r="E20" s="104"/>
      <c r="F20" s="105"/>
      <c r="G20" s="106"/>
      <c r="H20" s="100"/>
      <c r="J20" s="87" t="s">
        <v>102</v>
      </c>
      <c r="K20" s="88"/>
      <c r="L20" s="88"/>
      <c r="M20" s="88"/>
      <c r="N20" s="89"/>
    </row>
    <row r="21" spans="3:14" x14ac:dyDescent="0.25">
      <c r="C21" s="100"/>
      <c r="D21" s="100"/>
      <c r="E21" s="107"/>
      <c r="F21" s="108"/>
      <c r="G21" s="109"/>
      <c r="H21" s="100"/>
      <c r="J21" s="87" t="s">
        <v>97</v>
      </c>
      <c r="K21" s="88"/>
      <c r="L21" s="88"/>
      <c r="M21" s="88"/>
      <c r="N21" s="89"/>
    </row>
    <row r="22" spans="3:14" x14ac:dyDescent="0.25">
      <c r="F22" s="95" t="s">
        <v>81</v>
      </c>
      <c r="G22" s="95"/>
      <c r="H22" s="95"/>
      <c r="J22" s="96" t="s">
        <v>93</v>
      </c>
      <c r="K22" s="97"/>
      <c r="L22" s="97"/>
      <c r="M22" s="97"/>
      <c r="N22" s="98"/>
    </row>
    <row r="24" spans="3:14" x14ac:dyDescent="0.25">
      <c r="C24" s="99"/>
      <c r="D24" s="99"/>
      <c r="E24" s="99"/>
      <c r="F24" s="99"/>
      <c r="G24" s="99"/>
      <c r="H24" s="99"/>
    </row>
    <row r="25" spans="3:14" x14ac:dyDescent="0.25">
      <c r="C25" s="99"/>
      <c r="D25" s="99"/>
      <c r="E25" s="99"/>
      <c r="F25" s="99"/>
      <c r="G25" s="99"/>
      <c r="H25" s="99"/>
      <c r="I25" s="30"/>
    </row>
    <row r="26" spans="3:14" x14ac:dyDescent="0.25">
      <c r="C26" s="99"/>
      <c r="D26" s="99"/>
      <c r="E26" s="99"/>
      <c r="F26" s="99"/>
      <c r="G26" s="99"/>
      <c r="H26" s="99"/>
    </row>
  </sheetData>
  <mergeCells count="29">
    <mergeCell ref="A1:T1"/>
    <mergeCell ref="F22:H22"/>
    <mergeCell ref="J22:N22"/>
    <mergeCell ref="C24:H26"/>
    <mergeCell ref="C19:D21"/>
    <mergeCell ref="E19:G21"/>
    <mergeCell ref="H19:H21"/>
    <mergeCell ref="J19:N19"/>
    <mergeCell ref="J20:N20"/>
    <mergeCell ref="J21:N21"/>
    <mergeCell ref="C15:D18"/>
    <mergeCell ref="E15:G18"/>
    <mergeCell ref="H15:H18"/>
    <mergeCell ref="J15:N15"/>
    <mergeCell ref="J16:N16"/>
    <mergeCell ref="J17:N17"/>
    <mergeCell ref="J18:N18"/>
    <mergeCell ref="A9:B9"/>
    <mergeCell ref="P9:Q9"/>
    <mergeCell ref="P10:Q10"/>
    <mergeCell ref="P12:Q12"/>
    <mergeCell ref="C14:H14"/>
    <mergeCell ref="J14:N14"/>
    <mergeCell ref="P7:Q7"/>
    <mergeCell ref="D3:E3"/>
    <mergeCell ref="D4:E4"/>
    <mergeCell ref="D5:E5"/>
    <mergeCell ref="A7:B7"/>
    <mergeCell ref="J7:K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68"/>
  <sheetViews>
    <sheetView showGridLines="0" tabSelected="1" zoomScale="80" zoomScaleNormal="80" workbookViewId="0">
      <selection activeCell="M25" sqref="M25"/>
    </sheetView>
  </sheetViews>
  <sheetFormatPr defaultRowHeight="15" x14ac:dyDescent="0.25"/>
  <cols>
    <col min="2" max="2" width="19.5703125" customWidth="1"/>
    <col min="3" max="3" width="17" style="3" customWidth="1"/>
    <col min="4" max="4" width="9.140625" style="3"/>
    <col min="5" max="5" width="17.7109375" customWidth="1"/>
    <col min="7" max="7" width="17" customWidth="1"/>
    <col min="8" max="8" width="9.140625" style="3"/>
    <col min="9" max="9" width="9.140625" style="3" customWidth="1"/>
    <col min="10" max="10" width="12.5703125" customWidth="1"/>
    <col min="12" max="12" width="23.85546875" customWidth="1"/>
    <col min="13" max="13" width="14.42578125" customWidth="1"/>
    <col min="14" max="14" width="11.5703125" customWidth="1"/>
    <col min="15" max="15" width="18.42578125" customWidth="1"/>
    <col min="16" max="16" width="20.28515625" customWidth="1"/>
    <col min="19" max="19" width="13.42578125" bestFit="1" customWidth="1"/>
  </cols>
  <sheetData>
    <row r="1" spans="1:15" x14ac:dyDescent="0.25">
      <c r="A1" s="13"/>
      <c r="B1" s="129"/>
      <c r="C1" s="129"/>
      <c r="D1" s="129"/>
      <c r="E1" s="129"/>
      <c r="F1" s="13"/>
      <c r="G1" s="129"/>
      <c r="H1" s="129"/>
      <c r="I1" s="129"/>
      <c r="J1" s="129"/>
      <c r="K1" s="13"/>
      <c r="L1" s="130"/>
      <c r="M1" s="130"/>
      <c r="N1" s="130"/>
      <c r="O1" s="130"/>
    </row>
    <row r="2" spans="1:15" x14ac:dyDescent="0.25">
      <c r="A2" s="13"/>
      <c r="B2" s="129"/>
      <c r="C2" s="129"/>
      <c r="D2" s="129"/>
      <c r="E2" s="129"/>
      <c r="F2" s="13"/>
      <c r="G2" s="129"/>
      <c r="H2" s="129"/>
      <c r="I2" s="129"/>
      <c r="J2" s="129"/>
      <c r="K2" s="13"/>
      <c r="L2" s="130"/>
      <c r="M2" s="130"/>
      <c r="N2" s="130"/>
      <c r="O2" s="130"/>
    </row>
    <row r="3" spans="1:15" x14ac:dyDescent="0.25">
      <c r="A3" s="13"/>
      <c r="B3" s="129"/>
      <c r="C3" s="129"/>
      <c r="D3" s="129"/>
      <c r="E3" s="129"/>
      <c r="F3" s="13"/>
      <c r="G3" s="129"/>
      <c r="H3" s="129"/>
      <c r="I3" s="129"/>
      <c r="J3" s="129"/>
      <c r="K3" s="13"/>
      <c r="L3" s="130"/>
      <c r="M3" s="130"/>
      <c r="N3" s="130"/>
      <c r="O3" s="130"/>
    </row>
    <row r="4" spans="1:15" x14ac:dyDescent="0.25">
      <c r="A4" s="13"/>
      <c r="B4" s="129"/>
      <c r="C4" s="129"/>
      <c r="D4" s="129"/>
      <c r="E4" s="129"/>
      <c r="F4" s="13"/>
      <c r="G4" s="129"/>
      <c r="H4" s="129"/>
      <c r="I4" s="129"/>
      <c r="J4" s="129"/>
      <c r="K4" s="13"/>
      <c r="L4" s="130"/>
      <c r="M4" s="130"/>
      <c r="N4" s="130"/>
      <c r="O4" s="130"/>
    </row>
    <row r="5" spans="1:15" x14ac:dyDescent="0.25">
      <c r="A5" s="13"/>
      <c r="B5" s="129"/>
      <c r="C5" s="129"/>
      <c r="D5" s="129"/>
      <c r="E5" s="129"/>
      <c r="F5" s="13"/>
      <c r="G5" s="129"/>
      <c r="H5" s="129"/>
      <c r="I5" s="129"/>
      <c r="J5" s="129"/>
      <c r="K5" s="13"/>
      <c r="L5" s="130"/>
      <c r="M5" s="130"/>
      <c r="N5" s="130"/>
      <c r="O5" s="130"/>
    </row>
    <row r="6" spans="1:15" x14ac:dyDescent="0.25">
      <c r="A6" s="13"/>
      <c r="B6" s="129"/>
      <c r="C6" s="129"/>
      <c r="D6" s="129"/>
      <c r="E6" s="129"/>
      <c r="F6" s="13"/>
      <c r="G6" s="129"/>
      <c r="H6" s="129"/>
      <c r="I6" s="129"/>
      <c r="J6" s="129"/>
      <c r="K6" s="13"/>
      <c r="L6" s="130"/>
      <c r="M6" s="130"/>
      <c r="N6" s="130"/>
      <c r="O6" s="130"/>
    </row>
    <row r="7" spans="1:15" x14ac:dyDescent="0.25">
      <c r="A7" s="13"/>
      <c r="B7" s="129"/>
      <c r="C7" s="129"/>
      <c r="D7" s="129"/>
      <c r="E7" s="129"/>
      <c r="F7" s="13"/>
      <c r="G7" s="129"/>
      <c r="H7" s="129"/>
      <c r="I7" s="129"/>
      <c r="J7" s="129"/>
      <c r="K7" s="13"/>
      <c r="L7" s="130"/>
      <c r="M7" s="130"/>
      <c r="N7" s="130"/>
      <c r="O7" s="130"/>
    </row>
    <row r="8" spans="1:15" x14ac:dyDescent="0.25">
      <c r="A8" s="12"/>
      <c r="B8" s="129"/>
      <c r="C8" s="129"/>
      <c r="D8" s="129"/>
      <c r="E8" s="129"/>
      <c r="F8" s="12"/>
      <c r="G8" s="129"/>
      <c r="H8" s="129"/>
      <c r="I8" s="129"/>
      <c r="J8" s="129"/>
      <c r="K8" s="13"/>
      <c r="L8" s="130"/>
      <c r="M8" s="130"/>
      <c r="N8" s="130"/>
      <c r="O8" s="130"/>
    </row>
    <row r="9" spans="1:15" x14ac:dyDescent="0.25">
      <c r="A9" s="13"/>
      <c r="B9" s="129"/>
      <c r="C9" s="129"/>
      <c r="D9" s="129"/>
      <c r="E9" s="129"/>
      <c r="F9" s="13"/>
      <c r="G9" s="129"/>
      <c r="H9" s="129"/>
      <c r="I9" s="129"/>
      <c r="J9" s="129"/>
      <c r="K9" s="13"/>
      <c r="L9" s="130"/>
      <c r="M9" s="130"/>
      <c r="N9" s="130"/>
      <c r="O9" s="130"/>
    </row>
    <row r="10" spans="1:15" x14ac:dyDescent="0.25">
      <c r="A10" s="13"/>
      <c r="B10" s="129"/>
      <c r="C10" s="129"/>
      <c r="D10" s="129"/>
      <c r="E10" s="129"/>
      <c r="F10" s="13"/>
      <c r="G10" s="129"/>
      <c r="H10" s="129"/>
      <c r="I10" s="129"/>
      <c r="J10" s="129"/>
      <c r="K10" s="13"/>
      <c r="L10" s="130"/>
      <c r="M10" s="130"/>
      <c r="N10" s="130"/>
      <c r="O10" s="130"/>
    </row>
    <row r="11" spans="1:15" x14ac:dyDescent="0.25">
      <c r="A11" s="13"/>
      <c r="B11" s="131" t="s">
        <v>124</v>
      </c>
      <c r="C11" s="132"/>
      <c r="D11" s="132"/>
      <c r="E11" s="132"/>
      <c r="F11" s="13"/>
      <c r="G11" s="139" t="s">
        <v>44</v>
      </c>
      <c r="H11" s="139"/>
      <c r="I11" s="139"/>
      <c r="J11" s="139"/>
      <c r="K11" s="13"/>
      <c r="L11" s="127" t="s">
        <v>126</v>
      </c>
      <c r="M11" s="128"/>
      <c r="N11" s="128"/>
      <c r="O11" s="128"/>
    </row>
    <row r="12" spans="1:15" x14ac:dyDescent="0.25">
      <c r="A12" s="13"/>
      <c r="B12" s="132"/>
      <c r="C12" s="132"/>
      <c r="D12" s="132"/>
      <c r="E12" s="132"/>
      <c r="F12" s="13"/>
      <c r="G12" s="139"/>
      <c r="H12" s="139"/>
      <c r="I12" s="139"/>
      <c r="J12" s="139"/>
      <c r="K12" s="13"/>
      <c r="L12" s="128"/>
      <c r="M12" s="128"/>
      <c r="N12" s="128"/>
      <c r="O12" s="128"/>
    </row>
    <row r="13" spans="1:15" ht="15" customHeight="1" x14ac:dyDescent="0.25">
      <c r="A13" s="13"/>
      <c r="B13" s="133" t="s">
        <v>125</v>
      </c>
      <c r="C13" s="134"/>
      <c r="D13" s="134"/>
      <c r="E13" s="135"/>
      <c r="F13" s="13"/>
      <c r="G13" s="139"/>
      <c r="H13" s="139"/>
      <c r="I13" s="139"/>
      <c r="J13" s="139"/>
      <c r="K13" s="13"/>
      <c r="L13" s="128"/>
      <c r="M13" s="128"/>
      <c r="N13" s="128"/>
      <c r="O13" s="128"/>
    </row>
    <row r="14" spans="1:15" ht="15" customHeight="1" x14ac:dyDescent="0.25">
      <c r="A14" s="13"/>
      <c r="B14" s="136"/>
      <c r="C14" s="137"/>
      <c r="D14" s="137"/>
      <c r="E14" s="138"/>
      <c r="F14" s="13"/>
      <c r="G14" s="139"/>
      <c r="H14" s="139"/>
      <c r="I14" s="139"/>
      <c r="J14" s="139"/>
      <c r="K14" s="13"/>
      <c r="L14" s="128"/>
      <c r="M14" s="128"/>
      <c r="N14" s="128"/>
      <c r="O14" s="128"/>
    </row>
    <row r="15" spans="1:15" x14ac:dyDescent="0.25">
      <c r="A15" s="13"/>
      <c r="B15" s="125" t="s">
        <v>39</v>
      </c>
      <c r="C15" s="125"/>
      <c r="D15" s="125"/>
      <c r="E15" s="125"/>
      <c r="F15" s="13"/>
      <c r="G15" s="125" t="s">
        <v>30</v>
      </c>
      <c r="H15" s="125"/>
      <c r="I15" s="125"/>
      <c r="J15" s="125"/>
      <c r="K15" s="13"/>
      <c r="L15" s="125" t="s">
        <v>25</v>
      </c>
      <c r="M15" s="125"/>
      <c r="N15" s="125"/>
      <c r="O15" s="125"/>
    </row>
    <row r="16" spans="1:15" x14ac:dyDescent="0.25">
      <c r="A16" s="13"/>
      <c r="B16" s="9" t="s">
        <v>0</v>
      </c>
      <c r="C16" s="9" t="s">
        <v>1</v>
      </c>
      <c r="D16" s="9" t="s">
        <v>2</v>
      </c>
      <c r="E16" s="9" t="s">
        <v>3</v>
      </c>
      <c r="F16" s="13"/>
      <c r="G16" s="9" t="s">
        <v>0</v>
      </c>
      <c r="H16" s="9" t="s">
        <v>1</v>
      </c>
      <c r="I16" s="9" t="s">
        <v>2</v>
      </c>
      <c r="J16" s="9" t="s">
        <v>3</v>
      </c>
      <c r="K16" s="13"/>
      <c r="L16" s="9" t="s">
        <v>0</v>
      </c>
      <c r="M16" s="9" t="s">
        <v>1</v>
      </c>
      <c r="N16" s="9" t="s">
        <v>2</v>
      </c>
      <c r="O16" s="9" t="s">
        <v>3</v>
      </c>
    </row>
    <row r="17" spans="1:17" ht="18" x14ac:dyDescent="0.25">
      <c r="A17" s="13"/>
      <c r="B17" s="4" t="s">
        <v>41</v>
      </c>
      <c r="C17" s="15">
        <v>1000</v>
      </c>
      <c r="D17" s="7" t="s">
        <v>106</v>
      </c>
      <c r="E17" s="14">
        <v>1</v>
      </c>
      <c r="F17" s="13"/>
      <c r="G17" s="4" t="s">
        <v>8</v>
      </c>
      <c r="H17" s="11">
        <f xml:space="preserve"> $C$27</f>
        <v>8387.8571428571431</v>
      </c>
      <c r="I17" s="7" t="s">
        <v>106</v>
      </c>
      <c r="J17" s="14">
        <f t="shared" ref="J17:J22" si="0">E27</f>
        <v>1</v>
      </c>
      <c r="K17" s="13"/>
      <c r="L17" s="4" t="s">
        <v>11</v>
      </c>
      <c r="M17" s="11">
        <f>SUM($M$18:$M$23)</f>
        <v>8214.0369629061934</v>
      </c>
      <c r="N17" s="7" t="s">
        <v>106</v>
      </c>
      <c r="O17" s="14">
        <f>SUM($O$18:$O$23)</f>
        <v>1</v>
      </c>
      <c r="Q17" s="44"/>
    </row>
    <row r="18" spans="1:17" ht="18" x14ac:dyDescent="0.25">
      <c r="A18" s="13"/>
      <c r="B18" s="4" t="s">
        <v>40</v>
      </c>
      <c r="C18" s="10">
        <f>C19/E19</f>
        <v>7142.8571428571431</v>
      </c>
      <c r="D18" s="51" t="s">
        <v>106</v>
      </c>
      <c r="E18" s="14">
        <f>$E$19+$E$20</f>
        <v>1</v>
      </c>
      <c r="F18" s="13"/>
      <c r="G18" s="7" t="s">
        <v>31</v>
      </c>
      <c r="H18" s="11">
        <f xml:space="preserve"> $C$28</f>
        <v>520</v>
      </c>
      <c r="I18" s="51" t="s">
        <v>106</v>
      </c>
      <c r="J18" s="14">
        <f t="shared" si="0"/>
        <v>6.1994379630418123E-2</v>
      </c>
      <c r="K18" s="13"/>
      <c r="L18" s="7" t="s">
        <v>31</v>
      </c>
      <c r="M18" s="11">
        <f t="shared" ref="M18:M23" si="1">H27</f>
        <v>346.17982004904974</v>
      </c>
      <c r="N18" s="51" t="s">
        <v>106</v>
      </c>
      <c r="O18" s="14">
        <f>$M$18/$M$17</f>
        <v>4.2144906531631735E-2</v>
      </c>
      <c r="Q18" s="44"/>
    </row>
    <row r="19" spans="1:17" ht="18" x14ac:dyDescent="0.25">
      <c r="A19" s="13"/>
      <c r="B19" s="7" t="s">
        <v>31</v>
      </c>
      <c r="C19" s="11">
        <f>C17*(100%+D21)*((5/4)*((D23/2/(D23/2+1)))+(3/4)*(1-(D23/2/(D23/2+1))))</f>
        <v>1500</v>
      </c>
      <c r="D19" s="51" t="s">
        <v>106</v>
      </c>
      <c r="E19" s="14">
        <v>0.21</v>
      </c>
      <c r="F19" s="13"/>
      <c r="G19" s="7" t="s">
        <v>32</v>
      </c>
      <c r="H19" s="11">
        <f xml:space="preserve"> $C$29</f>
        <v>5887.8571428571431</v>
      </c>
      <c r="I19" s="51" t="s">
        <v>106</v>
      </c>
      <c r="J19" s="14">
        <f t="shared" si="0"/>
        <v>0.70195009793068208</v>
      </c>
      <c r="K19" s="13"/>
      <c r="L19" s="7" t="s">
        <v>32</v>
      </c>
      <c r="M19" s="11">
        <f t="shared" si="1"/>
        <v>5887.8571428571431</v>
      </c>
      <c r="N19" s="51" t="s">
        <v>106</v>
      </c>
      <c r="O19" s="14">
        <f>$M$19/$M$17</f>
        <v>0.71680431552063184</v>
      </c>
      <c r="Q19" s="44"/>
    </row>
    <row r="20" spans="1:17" ht="18" x14ac:dyDescent="0.25">
      <c r="A20" s="13"/>
      <c r="B20" s="7" t="s">
        <v>32</v>
      </c>
      <c r="C20" s="11">
        <f>C18-C19</f>
        <v>5642.8571428571431</v>
      </c>
      <c r="D20" s="51" t="s">
        <v>106</v>
      </c>
      <c r="E20" s="14">
        <v>0.79</v>
      </c>
      <c r="F20" s="13"/>
      <c r="G20" s="7" t="s">
        <v>33</v>
      </c>
      <c r="H20" s="11">
        <f xml:space="preserve"> $C$30</f>
        <v>1470</v>
      </c>
      <c r="I20" s="51" t="s">
        <v>106</v>
      </c>
      <c r="J20" s="14">
        <f t="shared" si="0"/>
        <v>0.17525334241675891</v>
      </c>
      <c r="K20" s="13"/>
      <c r="L20" s="7" t="s">
        <v>33</v>
      </c>
      <c r="M20" s="11">
        <f t="shared" si="1"/>
        <v>1470</v>
      </c>
      <c r="N20" s="51" t="s">
        <v>106</v>
      </c>
      <c r="O20" s="14">
        <f>$M$20/$M$17</f>
        <v>0.17896194120362249</v>
      </c>
      <c r="Q20" s="44"/>
    </row>
    <row r="21" spans="1:17" x14ac:dyDescent="0.25">
      <c r="A21" s="13"/>
      <c r="B21" s="125" t="s">
        <v>98</v>
      </c>
      <c r="C21" s="126"/>
      <c r="D21" s="124">
        <v>0.5</v>
      </c>
      <c r="E21" s="124"/>
      <c r="F21" s="13"/>
      <c r="G21" s="7" t="s">
        <v>9</v>
      </c>
      <c r="H21" s="11">
        <f>$C$31</f>
        <v>490</v>
      </c>
      <c r="I21" s="51" t="s">
        <v>106</v>
      </c>
      <c r="J21" s="14">
        <f t="shared" si="0"/>
        <v>5.8417780805586302E-2</v>
      </c>
      <c r="K21" s="13"/>
      <c r="L21" s="7" t="s">
        <v>9</v>
      </c>
      <c r="M21" s="11">
        <f t="shared" si="1"/>
        <v>142.35964009809948</v>
      </c>
      <c r="N21" s="51" t="s">
        <v>106</v>
      </c>
      <c r="O21" s="14">
        <f>$M$21/$M$17</f>
        <v>1.7331263633336692E-2</v>
      </c>
      <c r="P21" s="46"/>
      <c r="Q21" s="44"/>
    </row>
    <row r="22" spans="1:17" ht="18" x14ac:dyDescent="0.25">
      <c r="A22" s="12"/>
      <c r="B22" s="125" t="s">
        <v>103</v>
      </c>
      <c r="C22" s="126"/>
      <c r="D22" s="124">
        <v>0.5</v>
      </c>
      <c r="E22" s="124"/>
      <c r="F22" s="12"/>
      <c r="G22" s="7" t="s">
        <v>34</v>
      </c>
      <c r="H22" s="11">
        <f xml:space="preserve"> $C$32</f>
        <v>20.000000000000018</v>
      </c>
      <c r="I22" s="51" t="s">
        <v>106</v>
      </c>
      <c r="J22" s="14">
        <f t="shared" si="0"/>
        <v>2.3843992165545453E-3</v>
      </c>
      <c r="K22" s="13"/>
      <c r="L22" s="7" t="s">
        <v>35</v>
      </c>
      <c r="M22" s="11">
        <f t="shared" si="1"/>
        <v>347.64035990190052</v>
      </c>
      <c r="N22" s="51" t="s">
        <v>106</v>
      </c>
      <c r="O22" s="14">
        <f>$M$22/$M$17</f>
        <v>4.2322716767870805E-2</v>
      </c>
      <c r="P22" s="47"/>
      <c r="Q22" s="44"/>
    </row>
    <row r="23" spans="1:17" ht="18" x14ac:dyDescent="0.25">
      <c r="A23" s="12"/>
      <c r="B23" s="125" t="s">
        <v>94</v>
      </c>
      <c r="C23" s="126"/>
      <c r="D23" s="144">
        <f>IF(D22=100%,100000000000000,2*D22/(1-D22))</f>
        <v>2</v>
      </c>
      <c r="E23" s="144"/>
      <c r="F23" s="12"/>
      <c r="G23" s="12"/>
      <c r="H23" s="41"/>
      <c r="I23" s="39"/>
      <c r="J23" s="39"/>
      <c r="K23" s="13"/>
      <c r="L23" s="38" t="s">
        <v>34</v>
      </c>
      <c r="M23" s="11">
        <f t="shared" si="1"/>
        <v>20.000000000000018</v>
      </c>
      <c r="N23" s="51" t="s">
        <v>106</v>
      </c>
      <c r="O23" s="14">
        <f>$M$23/$M$17</f>
        <v>2.4348563429064307E-3</v>
      </c>
      <c r="Q23" s="44"/>
    </row>
    <row r="24" spans="1:17" x14ac:dyDescent="0.25">
      <c r="A24" s="12"/>
      <c r="B24" s="12"/>
      <c r="C24" s="12"/>
      <c r="D24" s="12"/>
      <c r="E24" s="12"/>
      <c r="F24" s="12"/>
      <c r="G24" s="143" t="s">
        <v>7</v>
      </c>
      <c r="H24" s="143"/>
      <c r="I24" s="143"/>
      <c r="J24" s="143"/>
      <c r="K24" s="13"/>
      <c r="L24" s="4" t="str">
        <f>IF(D23=0, "", IF((M18-M22/4)/(M22/4)&lt;0,IF(ABS((M18-M22/4)/(M22/4))&gt;=1,"","Excesso de NO2"),"Excesso de Ar(Corrente C)"))</f>
        <v>Excesso de Ar(Corrente C)</v>
      </c>
      <c r="M24" s="42">
        <f>IF(D23=0,"Não há NO2",IF((M18-M22/4)/(M22/4)&lt;0,IF(ABS((M18-M22/4)/(M22/4))&gt;=1,"Não há O2",((M22-4*M18)/(4*M18))),(M18-M22/4)/(M22/4)))</f>
        <v>2.9831948183086343</v>
      </c>
      <c r="N24" s="13"/>
      <c r="O24" s="13"/>
      <c r="P24" s="46"/>
    </row>
    <row r="25" spans="1:17" x14ac:dyDescent="0.25">
      <c r="A25" s="12"/>
      <c r="B25" s="143" t="s">
        <v>7</v>
      </c>
      <c r="C25" s="143"/>
      <c r="D25" s="143"/>
      <c r="E25" s="143"/>
      <c r="F25" s="12"/>
      <c r="G25" s="9" t="s">
        <v>0</v>
      </c>
      <c r="H25" s="9" t="s">
        <v>1</v>
      </c>
      <c r="I25" s="9" t="s">
        <v>2</v>
      </c>
      <c r="J25" s="9" t="s">
        <v>3</v>
      </c>
      <c r="K25" s="13"/>
      <c r="L25" s="13"/>
      <c r="M25" s="13"/>
      <c r="N25" s="13"/>
      <c r="O25" s="13"/>
    </row>
    <row r="26" spans="1:17" x14ac:dyDescent="0.25">
      <c r="A26" s="12"/>
      <c r="B26" s="9" t="s">
        <v>0</v>
      </c>
      <c r="C26" s="11" t="s">
        <v>1</v>
      </c>
      <c r="D26" s="9" t="s">
        <v>2</v>
      </c>
      <c r="E26" s="9" t="s">
        <v>3</v>
      </c>
      <c r="F26" s="12"/>
      <c r="G26" s="4" t="s">
        <v>11</v>
      </c>
      <c r="H26" s="11">
        <f xml:space="preserve"> SUM($H$27:$H$32)</f>
        <v>8214.0369629061934</v>
      </c>
      <c r="I26" s="7" t="s">
        <v>106</v>
      </c>
      <c r="J26" s="14">
        <f xml:space="preserve"> SUM($J$27:$J$32)</f>
        <v>1</v>
      </c>
      <c r="K26" s="13"/>
      <c r="L26" s="140" t="s">
        <v>26</v>
      </c>
      <c r="M26" s="142"/>
      <c r="N26" s="142"/>
      <c r="O26" s="141"/>
      <c r="P26" s="46"/>
    </row>
    <row r="27" spans="1:17" ht="18" x14ac:dyDescent="0.25">
      <c r="A27" s="12"/>
      <c r="B27" s="4" t="s">
        <v>8</v>
      </c>
      <c r="C27" s="11">
        <f>'Matriz Reator '!$L$19</f>
        <v>8387.8571428571431</v>
      </c>
      <c r="D27" s="7" t="s">
        <v>106</v>
      </c>
      <c r="E27" s="14">
        <f>SUM($E$28:$E$32)</f>
        <v>1</v>
      </c>
      <c r="F27" s="12"/>
      <c r="G27" s="7" t="s">
        <v>31</v>
      </c>
      <c r="H27" s="11">
        <f xml:space="preserve"> $J$18*$H$17 -$J$34</f>
        <v>346.17982004904974</v>
      </c>
      <c r="I27" s="51" t="s">
        <v>106</v>
      </c>
      <c r="J27" s="14">
        <f>$H$27/$H$26</f>
        <v>4.2144906531631735E-2</v>
      </c>
      <c r="K27" s="13"/>
      <c r="L27" s="9" t="s">
        <v>0</v>
      </c>
      <c r="M27" s="9" t="s">
        <v>1</v>
      </c>
      <c r="N27" s="9" t="s">
        <v>2</v>
      </c>
      <c r="O27" s="9" t="s">
        <v>3</v>
      </c>
      <c r="P27" s="48"/>
      <c r="Q27" s="2"/>
    </row>
    <row r="28" spans="1:17" ht="18" x14ac:dyDescent="0.25">
      <c r="A28" s="12"/>
      <c r="B28" s="7" t="s">
        <v>31</v>
      </c>
      <c r="C28" s="11">
        <f>'Matriz Reator '!$L$17</f>
        <v>520</v>
      </c>
      <c r="D28" s="51" t="s">
        <v>106</v>
      </c>
      <c r="E28" s="14">
        <f>$C$28/$C$27</f>
        <v>6.1994379630418123E-2</v>
      </c>
      <c r="F28" s="12"/>
      <c r="G28" s="7" t="s">
        <v>32</v>
      </c>
      <c r="H28" s="11">
        <f xml:space="preserve"> $J$19*$H$17</f>
        <v>5887.8571428571431</v>
      </c>
      <c r="I28" s="51" t="s">
        <v>106</v>
      </c>
      <c r="J28" s="14">
        <f>$H$28/$H$26</f>
        <v>0.71680431552063184</v>
      </c>
      <c r="K28" s="13"/>
      <c r="L28" s="4" t="s">
        <v>42</v>
      </c>
      <c r="M28" s="10">
        <f>M29/O29</f>
        <v>543.73972707961332</v>
      </c>
      <c r="N28" s="7" t="s">
        <v>106</v>
      </c>
      <c r="O28" s="14">
        <f>$O$29+$O$30</f>
        <v>1</v>
      </c>
    </row>
    <row r="29" spans="1:17" ht="18" x14ac:dyDescent="0.25">
      <c r="A29" s="12"/>
      <c r="B29" s="7" t="s">
        <v>32</v>
      </c>
      <c r="C29" s="11">
        <f>'Matriz Reator '!$L$16</f>
        <v>5887.8571428571431</v>
      </c>
      <c r="D29" s="51" t="s">
        <v>106</v>
      </c>
      <c r="E29" s="14">
        <f>$C$29/$C$27</f>
        <v>0.70195009793068208</v>
      </c>
      <c r="F29" s="12"/>
      <c r="G29" s="7" t="s">
        <v>33</v>
      </c>
      <c r="H29" s="11">
        <f xml:space="preserve"> $J$20*$H$17</f>
        <v>1470</v>
      </c>
      <c r="I29" s="51" t="s">
        <v>106</v>
      </c>
      <c r="J29" s="14">
        <f>$H$29/$H$26</f>
        <v>0.17896194120362249</v>
      </c>
      <c r="K29" s="13"/>
      <c r="L29" s="7" t="s">
        <v>31</v>
      </c>
      <c r="M29" s="11">
        <f>IF((M31*M22/4+M22/4)&lt;=M18,0,M31*M22/4+M22/4 - M18)</f>
        <v>114.1853426867188</v>
      </c>
      <c r="N29" s="51" t="s">
        <v>106</v>
      </c>
      <c r="O29" s="14">
        <v>0.21</v>
      </c>
    </row>
    <row r="30" spans="1:17" ht="18" x14ac:dyDescent="0.25">
      <c r="A30" s="13"/>
      <c r="B30" s="7" t="s">
        <v>33</v>
      </c>
      <c r="C30" s="11">
        <f>'Matriz Reator '!$L$14</f>
        <v>1470</v>
      </c>
      <c r="D30" s="51" t="s">
        <v>106</v>
      </c>
      <c r="E30" s="14">
        <f>$C$30/$C$27</f>
        <v>0.17525334241675891</v>
      </c>
      <c r="F30" s="13"/>
      <c r="G30" s="7" t="s">
        <v>9</v>
      </c>
      <c r="H30" s="11">
        <f xml:space="preserve"> $J$21*$H$17-2*$J$34</f>
        <v>142.35964009809948</v>
      </c>
      <c r="I30" s="51" t="s">
        <v>106</v>
      </c>
      <c r="J30" s="14">
        <f>$H$30/$H$26</f>
        <v>1.7331263633336692E-2</v>
      </c>
      <c r="K30" s="13"/>
      <c r="L30" s="7" t="s">
        <v>32</v>
      </c>
      <c r="M30" s="11">
        <f>O30*M28</f>
        <v>429.55438439289452</v>
      </c>
      <c r="N30" s="51" t="s">
        <v>106</v>
      </c>
      <c r="O30" s="14">
        <v>0.79</v>
      </c>
    </row>
    <row r="31" spans="1:17" ht="18" x14ac:dyDescent="0.25">
      <c r="A31" s="13"/>
      <c r="B31" s="7" t="s">
        <v>9</v>
      </c>
      <c r="C31" s="11">
        <f>'Matriz Reator '!$L$15</f>
        <v>490</v>
      </c>
      <c r="D31" s="51" t="s">
        <v>106</v>
      </c>
      <c r="E31" s="14">
        <f>$C$31/$C$27</f>
        <v>5.8417780805586302E-2</v>
      </c>
      <c r="F31" s="13"/>
      <c r="G31" s="7" t="s">
        <v>35</v>
      </c>
      <c r="H31" s="11">
        <f xml:space="preserve"> 2*$J$34</f>
        <v>347.64035990190052</v>
      </c>
      <c r="I31" s="51" t="s">
        <v>106</v>
      </c>
      <c r="J31" s="14">
        <f>$H$31/$H$26</f>
        <v>4.2322716767870805E-2</v>
      </c>
      <c r="K31" s="13"/>
      <c r="L31" s="40" t="s">
        <v>91</v>
      </c>
      <c r="M31" s="53">
        <v>4.2970278004047335</v>
      </c>
      <c r="N31" s="12"/>
      <c r="O31" s="39"/>
    </row>
    <row r="32" spans="1:17" ht="18" x14ac:dyDescent="0.25">
      <c r="A32" s="13"/>
      <c r="B32" s="7" t="s">
        <v>34</v>
      </c>
      <c r="C32" s="11">
        <f>'Matriz Reator '!$L$18</f>
        <v>20.000000000000018</v>
      </c>
      <c r="D32" s="51" t="s">
        <v>106</v>
      </c>
      <c r="E32" s="14">
        <f>$C$32/$C$27</f>
        <v>2.3843992165545453E-3</v>
      </c>
      <c r="F32" s="13"/>
      <c r="G32" s="7" t="s">
        <v>34</v>
      </c>
      <c r="H32" s="11">
        <f xml:space="preserve"> $J$22*$H$17</f>
        <v>20.000000000000018</v>
      </c>
      <c r="I32" s="51" t="s">
        <v>106</v>
      </c>
      <c r="J32" s="14">
        <f>$H$32/$H$26</f>
        <v>2.4348563429064307E-3</v>
      </c>
      <c r="K32" s="13"/>
      <c r="L32" s="125" t="s">
        <v>27</v>
      </c>
      <c r="M32" s="125"/>
      <c r="N32" s="125"/>
      <c r="O32" s="125"/>
    </row>
    <row r="33" spans="1:18" x14ac:dyDescent="0.25">
      <c r="A33" s="13"/>
      <c r="B33" s="125" t="s">
        <v>95</v>
      </c>
      <c r="C33" s="126"/>
      <c r="D33" s="124">
        <v>0.98</v>
      </c>
      <c r="E33" s="124"/>
      <c r="F33" s="13"/>
      <c r="G33" s="125" t="s">
        <v>43</v>
      </c>
      <c r="H33" s="126"/>
      <c r="I33" s="126"/>
      <c r="J33" s="52">
        <v>0.70947012224877659</v>
      </c>
      <c r="K33" s="13"/>
      <c r="L33" s="5" t="s">
        <v>28</v>
      </c>
      <c r="M33" s="9" t="s">
        <v>1</v>
      </c>
      <c r="N33" s="9" t="s">
        <v>2</v>
      </c>
      <c r="O33" s="9" t="s">
        <v>3</v>
      </c>
    </row>
    <row r="34" spans="1:18" ht="18" x14ac:dyDescent="0.25">
      <c r="A34" s="13"/>
      <c r="B34" s="13"/>
      <c r="C34" s="13"/>
      <c r="D34" s="145"/>
      <c r="E34" s="145"/>
      <c r="F34" s="13"/>
      <c r="G34" s="125" t="s">
        <v>10</v>
      </c>
      <c r="H34" s="126"/>
      <c r="I34" s="126"/>
      <c r="J34" s="10">
        <f>(-J33)*H21/(-2)</f>
        <v>173.82017995095026</v>
      </c>
      <c r="K34" s="13"/>
      <c r="L34" s="7" t="s">
        <v>33</v>
      </c>
      <c r="M34" s="10">
        <f>IF((M39*63.01)/((M20-N48)*18)&gt;(N49/(1-N49)),(63.01*M39-N49*63.01*M39-18*N49*(M20-N48) )/(N49*18),0)</f>
        <v>0</v>
      </c>
      <c r="N34" s="7" t="s">
        <v>106</v>
      </c>
      <c r="O34" s="14">
        <v>1</v>
      </c>
    </row>
    <row r="35" spans="1:18" x14ac:dyDescent="0.25">
      <c r="A35" s="13"/>
      <c r="B35" s="13"/>
      <c r="C35" s="13"/>
      <c r="D35" s="145"/>
      <c r="E35" s="145"/>
      <c r="F35" s="13"/>
      <c r="K35" s="13"/>
      <c r="L35" s="12"/>
      <c r="M35" s="12"/>
      <c r="N35" s="12"/>
      <c r="O35" s="12"/>
    </row>
    <row r="36" spans="1:18" x14ac:dyDescent="0.25">
      <c r="A36" s="13"/>
      <c r="B36" s="16"/>
      <c r="C36" s="139" t="s">
        <v>37</v>
      </c>
      <c r="D36" s="139"/>
      <c r="E36" s="13"/>
      <c r="F36" s="13"/>
      <c r="K36" s="13"/>
      <c r="L36" s="150" t="s">
        <v>7</v>
      </c>
      <c r="M36" s="151"/>
      <c r="N36" s="151"/>
      <c r="O36" s="151"/>
      <c r="P36" s="152"/>
      <c r="R36" s="20"/>
    </row>
    <row r="37" spans="1:18" x14ac:dyDescent="0.25">
      <c r="A37" s="13"/>
      <c r="B37" s="6"/>
      <c r="C37" s="139" t="s">
        <v>83</v>
      </c>
      <c r="D37" s="139"/>
      <c r="E37" s="13"/>
      <c r="F37" s="13"/>
      <c r="K37" s="13"/>
      <c r="L37" s="9" t="s">
        <v>0</v>
      </c>
      <c r="M37" s="9" t="s">
        <v>1</v>
      </c>
      <c r="N37" s="9" t="s">
        <v>2</v>
      </c>
      <c r="O37" s="9" t="s">
        <v>46</v>
      </c>
      <c r="P37" s="19" t="s">
        <v>47</v>
      </c>
      <c r="R37" s="20"/>
    </row>
    <row r="38" spans="1:18" ht="18" x14ac:dyDescent="0.25">
      <c r="A38" s="13"/>
      <c r="B38" s="45"/>
      <c r="C38" s="153" t="s">
        <v>90</v>
      </c>
      <c r="D38" s="153"/>
      <c r="F38" s="13"/>
      <c r="K38" s="13"/>
      <c r="L38" s="4" t="s">
        <v>45</v>
      </c>
      <c r="M38" s="11">
        <f>SUM($M$39:$M$40)</f>
        <v>1640.3437763519314</v>
      </c>
      <c r="N38" s="37" t="s">
        <v>106</v>
      </c>
      <c r="O38" s="14">
        <f>SUM(O39:O40)</f>
        <v>0.99999999999999989</v>
      </c>
      <c r="P38" s="1">
        <f>SUM(P39:P40)</f>
        <v>1</v>
      </c>
      <c r="R38" s="20"/>
    </row>
    <row r="39" spans="1:18" ht="18" customHeight="1" x14ac:dyDescent="0.25">
      <c r="A39" s="13"/>
      <c r="F39" s="13"/>
      <c r="K39" s="13"/>
      <c r="L39" s="17" t="s">
        <v>36</v>
      </c>
      <c r="M39" s="11">
        <f>0 + (2)*$N$48</f>
        <v>340.68755270386248</v>
      </c>
      <c r="N39" s="37" t="s">
        <v>106</v>
      </c>
      <c r="O39" s="14">
        <f>M39/M38</f>
        <v>0.20769277612132012</v>
      </c>
      <c r="P39" s="22">
        <f>63.01*M39/(M39*63.01 + M40*18)</f>
        <v>0.47852132902832129</v>
      </c>
      <c r="R39" s="20"/>
    </row>
    <row r="40" spans="1:18" ht="18" customHeight="1" x14ac:dyDescent="0.25">
      <c r="A40" s="13"/>
      <c r="B40" s="148" t="s">
        <v>92</v>
      </c>
      <c r="C40" s="148"/>
      <c r="D40" s="148"/>
      <c r="E40" s="148"/>
      <c r="F40" s="13"/>
      <c r="K40" s="13"/>
      <c r="L40" s="17" t="s">
        <v>33</v>
      </c>
      <c r="M40" s="11">
        <f>$M$34 + $M$20 + (-1)*$N$48</f>
        <v>1299.6562236480688</v>
      </c>
      <c r="N40" s="37" t="s">
        <v>106</v>
      </c>
      <c r="O40" s="14">
        <f>M40/M38</f>
        <v>0.7923072238786798</v>
      </c>
      <c r="P40" s="22">
        <f>18*M40/(63.01*M39 + 18*M40)</f>
        <v>0.52147867097167866</v>
      </c>
      <c r="R40" s="21"/>
    </row>
    <row r="41" spans="1:18" x14ac:dyDescent="0.25">
      <c r="A41" s="13"/>
      <c r="B41" s="148"/>
      <c r="C41" s="148"/>
      <c r="D41" s="148"/>
      <c r="E41" s="148"/>
      <c r="F41" s="13"/>
      <c r="K41" s="13"/>
      <c r="L41" s="4" t="s">
        <v>105</v>
      </c>
      <c r="M41" s="11">
        <f>SUM($M$42:$M$46)</f>
        <v>6861.917249105978</v>
      </c>
      <c r="N41" s="37" t="s">
        <v>106</v>
      </c>
      <c r="O41" s="14">
        <f>SUM($O$42:$O$46)</f>
        <v>0.99999999999999989</v>
      </c>
      <c r="P41" s="2"/>
      <c r="R41" s="20"/>
    </row>
    <row r="42" spans="1:18" ht="18" x14ac:dyDescent="0.25">
      <c r="B42" s="148"/>
      <c r="C42" s="148"/>
      <c r="D42" s="148"/>
      <c r="E42" s="148"/>
      <c r="F42" s="13"/>
      <c r="L42" s="17" t="s">
        <v>31</v>
      </c>
      <c r="M42" s="11">
        <f>$M$18 + ($O$29*$M$28) + (-0.5)*$N$48</f>
        <v>375.19327455980294</v>
      </c>
      <c r="N42" s="37" t="s">
        <v>106</v>
      </c>
      <c r="O42" s="14">
        <f>$M$42/$M$41</f>
        <v>5.4677615736139329E-2</v>
      </c>
      <c r="P42" s="2"/>
    </row>
    <row r="43" spans="1:18" ht="18" x14ac:dyDescent="0.25">
      <c r="B43" s="148"/>
      <c r="C43" s="148"/>
      <c r="D43" s="148"/>
      <c r="E43" s="148"/>
      <c r="L43" s="17" t="s">
        <v>32</v>
      </c>
      <c r="M43" s="11">
        <f>M19 + O30*M28 + (0)*N48</f>
        <v>6317.4115272500376</v>
      </c>
      <c r="N43" s="37" t="s">
        <v>106</v>
      </c>
      <c r="O43" s="14">
        <f>$M$43/$M$41</f>
        <v>0.92064816550696782</v>
      </c>
      <c r="P43" s="2"/>
    </row>
    <row r="44" spans="1:18" x14ac:dyDescent="0.25">
      <c r="B44" s="148"/>
      <c r="C44" s="148"/>
      <c r="D44" s="148"/>
      <c r="E44" s="148"/>
      <c r="L44" s="17" t="s">
        <v>9</v>
      </c>
      <c r="M44" s="11">
        <f>$M$21 + (0)*$N$48</f>
        <v>142.35964009809948</v>
      </c>
      <c r="N44" s="37" t="s">
        <v>106</v>
      </c>
      <c r="O44" s="14">
        <f>$M$44/$M$41</f>
        <v>2.0746335889819591E-2</v>
      </c>
      <c r="P44" s="2"/>
    </row>
    <row r="45" spans="1:18" ht="18" x14ac:dyDescent="0.25">
      <c r="B45" s="148"/>
      <c r="C45" s="148"/>
      <c r="D45" s="148"/>
      <c r="E45" s="148"/>
      <c r="L45" s="17" t="s">
        <v>35</v>
      </c>
      <c r="M45" s="11">
        <f>$M$22 + (-2)*$N$48</f>
        <v>6.9528071980380446</v>
      </c>
      <c r="N45" s="37" t="s">
        <v>106</v>
      </c>
      <c r="O45" s="14">
        <f>$M$45/$M$41</f>
        <v>1.0132455617916274E-3</v>
      </c>
      <c r="P45" s="2"/>
    </row>
    <row r="46" spans="1:18" ht="18" x14ac:dyDescent="0.25">
      <c r="B46" s="148"/>
      <c r="C46" s="148"/>
      <c r="D46" s="148"/>
      <c r="E46" s="148"/>
      <c r="L46" s="8" t="s">
        <v>34</v>
      </c>
      <c r="M46" s="11">
        <f>$M$23 + (0)*$N$48</f>
        <v>20.000000000000018</v>
      </c>
      <c r="N46" s="37" t="s">
        <v>106</v>
      </c>
      <c r="O46" s="14">
        <f>$M$46/$M$41</f>
        <v>2.914637305281664E-3</v>
      </c>
      <c r="P46" s="2"/>
    </row>
    <row r="47" spans="1:18" x14ac:dyDescent="0.25">
      <c r="B47" s="148"/>
      <c r="C47" s="148"/>
      <c r="D47" s="148"/>
      <c r="E47" s="148"/>
      <c r="L47" s="140" t="s">
        <v>82</v>
      </c>
      <c r="M47" s="141"/>
      <c r="N47" s="146">
        <v>0.98</v>
      </c>
      <c r="O47" s="147"/>
      <c r="P47" s="2"/>
    </row>
    <row r="48" spans="1:18" x14ac:dyDescent="0.25">
      <c r="B48" s="148"/>
      <c r="C48" s="148"/>
      <c r="D48" s="148"/>
      <c r="E48" s="148"/>
      <c r="L48" s="140" t="s">
        <v>29</v>
      </c>
      <c r="M48" s="141"/>
      <c r="N48" s="144">
        <f>IF((M18+M29)*4&gt;=M22,(-$N$47)*$M$22/(-2),2*N47*(M18+M29))</f>
        <v>170.34377635193124</v>
      </c>
      <c r="O48" s="144"/>
      <c r="P48" s="2"/>
    </row>
    <row r="49" spans="1:15" x14ac:dyDescent="0.25">
      <c r="B49" s="148"/>
      <c r="C49" s="148"/>
      <c r="D49" s="148"/>
      <c r="E49" s="148"/>
      <c r="L49" s="140" t="s">
        <v>48</v>
      </c>
      <c r="M49" s="141"/>
      <c r="N49" s="124">
        <v>0.57999999999999996</v>
      </c>
      <c r="O49" s="124"/>
    </row>
    <row r="50" spans="1:15" x14ac:dyDescent="0.25">
      <c r="B50" s="148"/>
      <c r="C50" s="148"/>
      <c r="D50" s="148"/>
      <c r="E50" s="148"/>
      <c r="L50" s="140" t="s">
        <v>104</v>
      </c>
      <c r="M50" s="141"/>
      <c r="N50" s="149">
        <f>(M40*18+M39*63.01)*24/1000</f>
        <v>1076.6528333168546</v>
      </c>
      <c r="O50" s="149"/>
    </row>
    <row r="51" spans="1:15" x14ac:dyDescent="0.25">
      <c r="A51" s="50"/>
      <c r="B51" s="50"/>
      <c r="C51" s="50"/>
      <c r="D51" s="49"/>
      <c r="E51" s="50">
        <f>IF(D22=100%,100000000000000,2*D22/(1-D22))</f>
        <v>2</v>
      </c>
      <c r="F51" s="49"/>
    </row>
    <row r="52" spans="1:15" x14ac:dyDescent="0.25">
      <c r="A52" s="49"/>
      <c r="B52" s="49"/>
      <c r="C52" s="49"/>
      <c r="D52" s="49"/>
      <c r="E52" s="49"/>
      <c r="F52" s="49"/>
    </row>
    <row r="53" spans="1:15" x14ac:dyDescent="0.25">
      <c r="C53"/>
      <c r="D53"/>
    </row>
    <row r="54" spans="1:15" x14ac:dyDescent="0.25">
      <c r="C54"/>
      <c r="D54"/>
    </row>
    <row r="55" spans="1:15" x14ac:dyDescent="0.25">
      <c r="C55"/>
      <c r="D55"/>
    </row>
    <row r="56" spans="1:15" x14ac:dyDescent="0.25">
      <c r="B56" s="43"/>
      <c r="C56" s="43"/>
      <c r="D56" s="43"/>
      <c r="E56" s="43"/>
    </row>
    <row r="57" spans="1:15" x14ac:dyDescent="0.25">
      <c r="B57" s="43"/>
      <c r="C57" s="43"/>
      <c r="D57" s="43"/>
      <c r="E57" s="43"/>
    </row>
    <row r="58" spans="1:15" x14ac:dyDescent="0.25">
      <c r="B58" s="43"/>
      <c r="C58" s="43"/>
      <c r="D58" s="43"/>
      <c r="E58" s="43"/>
    </row>
    <row r="59" spans="1:15" x14ac:dyDescent="0.25">
      <c r="B59" s="43"/>
      <c r="C59" s="43"/>
      <c r="D59" s="43"/>
      <c r="E59" s="43"/>
    </row>
    <row r="60" spans="1:15" x14ac:dyDescent="0.25">
      <c r="B60" s="43"/>
      <c r="C60" s="43"/>
      <c r="D60" s="43"/>
      <c r="E60" s="43"/>
    </row>
    <row r="61" spans="1:15" x14ac:dyDescent="0.25">
      <c r="B61" s="43"/>
      <c r="C61" s="43"/>
      <c r="D61" s="43"/>
      <c r="E61" s="43"/>
    </row>
    <row r="62" spans="1:15" x14ac:dyDescent="0.25">
      <c r="B62" s="43"/>
      <c r="C62" s="43"/>
      <c r="D62" s="43"/>
      <c r="E62" s="43"/>
    </row>
    <row r="63" spans="1:15" x14ac:dyDescent="0.25">
      <c r="B63" s="43"/>
      <c r="C63" s="43"/>
      <c r="D63" s="43"/>
      <c r="E63" s="43"/>
    </row>
    <row r="64" spans="1:15" x14ac:dyDescent="0.25">
      <c r="B64" s="43"/>
      <c r="C64" s="43"/>
      <c r="D64" s="43"/>
      <c r="E64" s="43"/>
    </row>
    <row r="65" spans="2:5" x14ac:dyDescent="0.25">
      <c r="B65" s="43"/>
      <c r="C65" s="43"/>
      <c r="D65" s="43"/>
      <c r="E65" s="43"/>
    </row>
    <row r="66" spans="2:5" x14ac:dyDescent="0.25">
      <c r="B66" s="43"/>
      <c r="C66" s="43"/>
      <c r="D66" s="43"/>
      <c r="E66" s="43"/>
    </row>
    <row r="67" spans="2:5" x14ac:dyDescent="0.25">
      <c r="B67" s="43"/>
      <c r="C67" s="43"/>
      <c r="D67" s="43"/>
      <c r="E67" s="43"/>
    </row>
    <row r="68" spans="2:5" x14ac:dyDescent="0.25">
      <c r="B68" s="43"/>
      <c r="C68" s="43"/>
      <c r="D68" s="43"/>
      <c r="E68" s="43"/>
    </row>
  </sheetData>
  <dataConsolidate/>
  <mergeCells count="39">
    <mergeCell ref="B22:C22"/>
    <mergeCell ref="D22:E22"/>
    <mergeCell ref="L36:P36"/>
    <mergeCell ref="C38:D38"/>
    <mergeCell ref="C37:D37"/>
    <mergeCell ref="D35:E35"/>
    <mergeCell ref="B25:E25"/>
    <mergeCell ref="G33:I33"/>
    <mergeCell ref="G34:I34"/>
    <mergeCell ref="B23:C23"/>
    <mergeCell ref="B33:C33"/>
    <mergeCell ref="L49:M49"/>
    <mergeCell ref="L26:O26"/>
    <mergeCell ref="G24:J24"/>
    <mergeCell ref="D23:E23"/>
    <mergeCell ref="N49:O49"/>
    <mergeCell ref="D33:E33"/>
    <mergeCell ref="D34:E34"/>
    <mergeCell ref="L48:M48"/>
    <mergeCell ref="N48:O48"/>
    <mergeCell ref="L32:O32"/>
    <mergeCell ref="L47:M47"/>
    <mergeCell ref="N47:O47"/>
    <mergeCell ref="B40:E50"/>
    <mergeCell ref="C36:D36"/>
    <mergeCell ref="N50:O50"/>
    <mergeCell ref="L50:M50"/>
    <mergeCell ref="D21:E21"/>
    <mergeCell ref="B21:C21"/>
    <mergeCell ref="L11:O14"/>
    <mergeCell ref="B1:E10"/>
    <mergeCell ref="G1:J10"/>
    <mergeCell ref="L1:O10"/>
    <mergeCell ref="B15:E15"/>
    <mergeCell ref="G15:J15"/>
    <mergeCell ref="L15:O15"/>
    <mergeCell ref="B11:E12"/>
    <mergeCell ref="B13:E14"/>
    <mergeCell ref="G11:J14"/>
  </mergeCells>
  <conditionalFormatting sqref="G33:I34">
    <cfRule type="colorScale" priority="7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C26">
    <cfRule type="cellIs" dxfId="36" priority="63" operator="lessThan">
      <formula>0</formula>
    </cfRule>
  </conditionalFormatting>
  <conditionalFormatting sqref="H17:H23">
    <cfRule type="cellIs" dxfId="35" priority="52" operator="lessThan">
      <formula>0</formula>
    </cfRule>
  </conditionalFormatting>
  <conditionalFormatting sqref="E17:E20">
    <cfRule type="cellIs" dxfId="34" priority="45" operator="lessThan">
      <formula>0</formula>
    </cfRule>
  </conditionalFormatting>
  <conditionalFormatting sqref="J23">
    <cfRule type="cellIs" dxfId="33" priority="43" operator="lessThan">
      <formula>0</formula>
    </cfRule>
  </conditionalFormatting>
  <conditionalFormatting sqref="I23">
    <cfRule type="cellIs" dxfId="32" priority="42" operator="lessThan">
      <formula>0</formula>
    </cfRule>
  </conditionalFormatting>
  <conditionalFormatting sqref="O28">
    <cfRule type="cellIs" dxfId="31" priority="40" operator="lessThan">
      <formula>0</formula>
    </cfRule>
  </conditionalFormatting>
  <conditionalFormatting sqref="O34">
    <cfRule type="cellIs" dxfId="30" priority="39" operator="lessThan">
      <formula>0</formula>
    </cfRule>
  </conditionalFormatting>
  <conditionalFormatting sqref="O38:O46">
    <cfRule type="cellIs" dxfId="29" priority="38" operator="lessThan">
      <formula>0</formula>
    </cfRule>
  </conditionalFormatting>
  <conditionalFormatting sqref="B33:C33">
    <cfRule type="colorScale" priority="34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H17:H22">
    <cfRule type="cellIs" dxfId="28" priority="31" operator="lessThan">
      <formula>0</formula>
    </cfRule>
  </conditionalFormatting>
  <conditionalFormatting sqref="H26:H32">
    <cfRule type="cellIs" dxfId="27" priority="30" operator="lessThan">
      <formula>0</formula>
    </cfRule>
  </conditionalFormatting>
  <conditionalFormatting sqref="H26:H32">
    <cfRule type="cellIs" dxfId="26" priority="29" operator="lessThan">
      <formula>0</formula>
    </cfRule>
  </conditionalFormatting>
  <conditionalFormatting sqref="C19:C20">
    <cfRule type="cellIs" dxfId="25" priority="28" operator="lessThan">
      <formula>0</formula>
    </cfRule>
  </conditionalFormatting>
  <conditionalFormatting sqref="C19:C20">
    <cfRule type="cellIs" dxfId="24" priority="27" operator="lessThan">
      <formula>0</formula>
    </cfRule>
  </conditionalFormatting>
  <conditionalFormatting sqref="C27:C32">
    <cfRule type="cellIs" dxfId="23" priority="26" operator="lessThan">
      <formula>0</formula>
    </cfRule>
  </conditionalFormatting>
  <conditionalFormatting sqref="C27:C32">
    <cfRule type="cellIs" dxfId="22" priority="25" operator="lessThan">
      <formula>0</formula>
    </cfRule>
  </conditionalFormatting>
  <conditionalFormatting sqref="M17:M23">
    <cfRule type="cellIs" dxfId="21" priority="24" operator="lessThan">
      <formula>0</formula>
    </cfRule>
  </conditionalFormatting>
  <conditionalFormatting sqref="M17:M23">
    <cfRule type="cellIs" dxfId="20" priority="23" operator="lessThan">
      <formula>0</formula>
    </cfRule>
  </conditionalFormatting>
  <conditionalFormatting sqref="M29:M30">
    <cfRule type="cellIs" dxfId="19" priority="22" operator="lessThan">
      <formula>0</formula>
    </cfRule>
  </conditionalFormatting>
  <conditionalFormatting sqref="M29:M30">
    <cfRule type="cellIs" dxfId="18" priority="21" operator="lessThan">
      <formula>0</formula>
    </cfRule>
  </conditionalFormatting>
  <conditionalFormatting sqref="M38:M46">
    <cfRule type="cellIs" dxfId="17" priority="20" operator="lessThan">
      <formula>0</formula>
    </cfRule>
  </conditionalFormatting>
  <conditionalFormatting sqref="M38:M46">
    <cfRule type="cellIs" dxfId="16" priority="19" operator="lessThan">
      <formula>0</formula>
    </cfRule>
  </conditionalFormatting>
  <conditionalFormatting sqref="O38">
    <cfRule type="cellIs" dxfId="15" priority="18" operator="lessThan">
      <formula>0</formula>
    </cfRule>
  </conditionalFormatting>
  <conditionalFormatting sqref="O39:O46">
    <cfRule type="cellIs" dxfId="14" priority="17" operator="lessThan">
      <formula>0</formula>
    </cfRule>
  </conditionalFormatting>
  <conditionalFormatting sqref="O29:O30">
    <cfRule type="cellIs" dxfId="13" priority="16" operator="lessThan">
      <formula>0</formula>
    </cfRule>
  </conditionalFormatting>
  <conditionalFormatting sqref="O29:O30">
    <cfRule type="cellIs" dxfId="12" priority="15" operator="lessThan">
      <formula>0</formula>
    </cfRule>
  </conditionalFormatting>
  <conditionalFormatting sqref="O17:O23">
    <cfRule type="cellIs" dxfId="11" priority="14" operator="lessThan">
      <formula>0</formula>
    </cfRule>
  </conditionalFormatting>
  <conditionalFormatting sqref="O17:O23">
    <cfRule type="cellIs" dxfId="10" priority="13" operator="lessThan">
      <formula>0</formula>
    </cfRule>
  </conditionalFormatting>
  <conditionalFormatting sqref="J17:J22">
    <cfRule type="cellIs" dxfId="9" priority="12" operator="lessThan">
      <formula>0</formula>
    </cfRule>
  </conditionalFormatting>
  <conditionalFormatting sqref="J17:J22">
    <cfRule type="cellIs" dxfId="8" priority="11" operator="lessThan">
      <formula>0</formula>
    </cfRule>
  </conditionalFormatting>
  <conditionalFormatting sqref="J26:J32">
    <cfRule type="cellIs" dxfId="7" priority="10" operator="lessThan">
      <formula>0</formula>
    </cfRule>
  </conditionalFormatting>
  <conditionalFormatting sqref="J26:J32">
    <cfRule type="cellIs" dxfId="6" priority="9" operator="lessThan">
      <formula>0</formula>
    </cfRule>
  </conditionalFormatting>
  <conditionalFormatting sqref="E27:E32">
    <cfRule type="cellIs" dxfId="5" priority="8" operator="lessThan">
      <formula>0</formula>
    </cfRule>
  </conditionalFormatting>
  <conditionalFormatting sqref="E27:E32">
    <cfRule type="cellIs" dxfId="4" priority="7" operator="lessThan">
      <formula>0</formula>
    </cfRule>
  </conditionalFormatting>
  <conditionalFormatting sqref="M24">
    <cfRule type="beginsWith" dxfId="3" priority="3" operator="beginsWith" text="Não">
      <formula>LEFT(M24,LEN("Não"))="Não"</formula>
    </cfRule>
    <cfRule type="containsText" dxfId="2" priority="4" operator="containsText" text="Não há O2">
      <formula>NOT(ISERROR(SEARCH("Não há O2",M24)))</formula>
    </cfRule>
    <cfRule type="containsText" dxfId="1" priority="5" operator="containsText" text="&quot;Não há O2&quot;">
      <formula>NOT(ISERROR(SEARCH("""Não há O2""",M24)))</formula>
    </cfRule>
    <cfRule type="cellIs" dxfId="0" priority="6" operator="lessThan">
      <formula>0</formula>
    </cfRule>
  </conditionalFormatting>
  <conditionalFormatting sqref="B23:C23 B21:C21">
    <cfRule type="colorScale" priority="7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22:C22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dataValidations count="4">
    <dataValidation allowBlank="1" showInputMessage="1" showErrorMessage="1" error="Por favor, insira um número entre 0 e 1" sqref="D24:E24"/>
    <dataValidation type="decimal" operator="greaterThanOrEqual" allowBlank="1" showInputMessage="1" showErrorMessage="1" error="Por favor, insira um número positivo" sqref="D21:E21">
      <formula1>0</formula1>
    </dataValidation>
    <dataValidation type="decimal" operator="greaterThanOrEqual" allowBlank="1" showInputMessage="1" showErrorMessage="1" error="Por favor, insira um excesso maior ou igual ao excesso da corrente C." sqref="M31">
      <formula1>M24</formula1>
    </dataValidation>
    <dataValidation type="decimal" operator="greaterThanOrEqual" allowBlank="1" showInputMessage="1" showErrorMessage="1" error="Por favor, insira um valor igual ou maior que 1." sqref="D23:E23">
      <formula1>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F24"/>
  <sheetViews>
    <sheetView showGridLines="0" workbookViewId="0">
      <selection sqref="A1:P1"/>
    </sheetView>
  </sheetViews>
  <sheetFormatPr defaultRowHeight="15" x14ac:dyDescent="0.25"/>
  <cols>
    <col min="2" max="2" width="11.140625" customWidth="1"/>
    <col min="3" max="3" width="10.5703125" customWidth="1"/>
    <col min="6" max="6" width="10.42578125" customWidth="1"/>
    <col min="10" max="10" width="4.7109375" customWidth="1"/>
    <col min="11" max="11" width="11.7109375" customWidth="1"/>
    <col min="14" max="14" width="8.7109375" customWidth="1"/>
    <col min="15" max="15" width="14.85546875" customWidth="1"/>
    <col min="18" max="18" width="12.42578125" customWidth="1"/>
  </cols>
  <sheetData>
    <row r="1" spans="1:32" ht="15.75" x14ac:dyDescent="0.25">
      <c r="A1" s="94" t="s">
        <v>99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</row>
    <row r="2" spans="1:32" x14ac:dyDescent="0.25">
      <c r="B2" s="140" t="s">
        <v>89</v>
      </c>
      <c r="C2" s="142"/>
      <c r="D2" s="142"/>
      <c r="E2" s="142"/>
      <c r="F2" s="142"/>
      <c r="G2" s="141"/>
      <c r="I2" s="140" t="s">
        <v>85</v>
      </c>
      <c r="J2" s="142"/>
      <c r="K2" s="142"/>
      <c r="L2" s="142"/>
      <c r="M2" s="142"/>
      <c r="O2" s="140" t="s">
        <v>38</v>
      </c>
      <c r="P2" s="142"/>
    </row>
    <row r="3" spans="1:32" x14ac:dyDescent="0.25">
      <c r="B3" s="4" t="s">
        <v>12</v>
      </c>
      <c r="C3" s="10">
        <f>'Balanco Material'!$C$17</f>
        <v>1000</v>
      </c>
      <c r="D3" s="31"/>
      <c r="E3" s="31" t="s">
        <v>13</v>
      </c>
      <c r="F3" s="31" t="s">
        <v>14</v>
      </c>
      <c r="G3" s="31" t="s">
        <v>15</v>
      </c>
      <c r="H3" s="13"/>
      <c r="I3" s="4" t="s">
        <v>16</v>
      </c>
      <c r="J3" s="31"/>
      <c r="K3" s="31" t="s">
        <v>13</v>
      </c>
      <c r="L3" s="31" t="s">
        <v>14</v>
      </c>
      <c r="M3" s="31" t="s">
        <v>15</v>
      </c>
      <c r="N3" s="13"/>
      <c r="O3" s="13"/>
      <c r="P3" s="34"/>
      <c r="Q3" s="23"/>
      <c r="R3" s="24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x14ac:dyDescent="0.25">
      <c r="B4" s="31">
        <v>1</v>
      </c>
      <c r="C4" s="31" t="s">
        <v>4</v>
      </c>
      <c r="D4" s="31"/>
      <c r="E4" s="31">
        <v>0</v>
      </c>
      <c r="F4" s="31">
        <v>1</v>
      </c>
      <c r="G4" s="31">
        <v>3</v>
      </c>
      <c r="H4" s="13"/>
      <c r="I4" s="4" t="s">
        <v>17</v>
      </c>
      <c r="J4" s="31"/>
      <c r="K4" s="31">
        <v>1</v>
      </c>
      <c r="L4" s="31">
        <v>0</v>
      </c>
      <c r="M4" s="31">
        <v>2</v>
      </c>
      <c r="N4" s="13"/>
      <c r="O4" s="31" t="s">
        <v>88</v>
      </c>
      <c r="P4" s="33">
        <f>'Balanco Material'!$D$33</f>
        <v>0.98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spans="1:32" x14ac:dyDescent="0.25">
      <c r="B5" s="31"/>
      <c r="C5" s="31"/>
      <c r="D5" s="31"/>
      <c r="E5" s="31"/>
      <c r="F5" s="31"/>
      <c r="G5" s="31"/>
      <c r="H5" s="13"/>
      <c r="I5" s="4" t="s">
        <v>18</v>
      </c>
      <c r="J5" s="31"/>
      <c r="K5" s="31">
        <v>1</v>
      </c>
      <c r="L5" s="31">
        <v>1</v>
      </c>
      <c r="M5" s="31">
        <v>0</v>
      </c>
      <c r="N5" s="13"/>
      <c r="O5" s="31" t="s">
        <v>94</v>
      </c>
      <c r="P5" s="32">
        <f>'Balanco Material'!D23</f>
        <v>2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spans="1:32" x14ac:dyDescent="0.25">
      <c r="B6" s="31"/>
      <c r="C6" s="31"/>
      <c r="D6" s="31"/>
      <c r="E6" s="31"/>
      <c r="F6" s="31"/>
      <c r="G6" s="31"/>
      <c r="H6" s="13"/>
      <c r="I6" s="4" t="s">
        <v>19</v>
      </c>
      <c r="J6" s="31"/>
      <c r="K6" s="31">
        <v>0</v>
      </c>
      <c r="L6" s="31">
        <v>2</v>
      </c>
      <c r="M6" s="31">
        <v>0</v>
      </c>
      <c r="N6" s="13"/>
      <c r="O6" s="13"/>
      <c r="P6" s="34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2" x14ac:dyDescent="0.25">
      <c r="B7" s="31"/>
      <c r="C7" s="31"/>
      <c r="D7" s="31"/>
      <c r="E7" s="31"/>
      <c r="F7" s="31"/>
      <c r="G7" s="31"/>
      <c r="H7" s="13"/>
      <c r="I7" s="4" t="s">
        <v>20</v>
      </c>
      <c r="J7" s="31"/>
      <c r="K7" s="31">
        <v>2</v>
      </c>
      <c r="L7" s="31">
        <v>0</v>
      </c>
      <c r="M7" s="31">
        <v>0</v>
      </c>
      <c r="N7" s="13"/>
      <c r="O7" s="13"/>
      <c r="P7" s="34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2" x14ac:dyDescent="0.25">
      <c r="B8" s="4" t="s">
        <v>21</v>
      </c>
      <c r="C8" s="10">
        <f>'Balanco Material'!$C$18</f>
        <v>7142.8571428571431</v>
      </c>
      <c r="D8" s="35"/>
      <c r="E8" s="31"/>
      <c r="F8" s="31"/>
      <c r="G8" s="31"/>
      <c r="H8" s="13"/>
      <c r="I8" s="4" t="s">
        <v>22</v>
      </c>
      <c r="J8" s="31"/>
      <c r="K8" s="31">
        <v>0</v>
      </c>
      <c r="L8" s="31">
        <v>1</v>
      </c>
      <c r="M8" s="31">
        <v>3</v>
      </c>
      <c r="N8" s="13"/>
      <c r="O8" s="13"/>
      <c r="P8" s="34"/>
      <c r="Q8" s="23"/>
      <c r="R8" s="24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spans="1:32" x14ac:dyDescent="0.25">
      <c r="B9" s="36">
        <f>'Balanco Material'!$E$19</f>
        <v>0.21</v>
      </c>
      <c r="C9" s="31" t="s">
        <v>5</v>
      </c>
      <c r="D9" s="31"/>
      <c r="E9" s="31">
        <v>2</v>
      </c>
      <c r="F9" s="31">
        <v>0</v>
      </c>
      <c r="G9" s="31">
        <v>0</v>
      </c>
      <c r="H9" s="13"/>
      <c r="I9" s="13"/>
      <c r="J9" s="13"/>
      <c r="K9" s="13"/>
      <c r="L9" s="13"/>
      <c r="M9" s="13"/>
      <c r="N9" s="13"/>
      <c r="O9" s="13"/>
      <c r="P9" s="34"/>
      <c r="Q9" s="25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2" x14ac:dyDescent="0.25">
      <c r="B10" s="36">
        <f>'Balanco Material'!$E$20</f>
        <v>0.79</v>
      </c>
      <c r="C10" s="31" t="s">
        <v>6</v>
      </c>
      <c r="D10" s="31"/>
      <c r="E10" s="31">
        <v>0</v>
      </c>
      <c r="F10" s="31">
        <v>2</v>
      </c>
      <c r="G10" s="31">
        <v>0</v>
      </c>
      <c r="H10" s="13"/>
      <c r="I10" s="13"/>
      <c r="J10" s="13"/>
      <c r="K10" s="13"/>
      <c r="L10" s="13"/>
      <c r="M10" s="13"/>
      <c r="N10" s="13"/>
      <c r="O10" s="13"/>
      <c r="P10" s="34"/>
      <c r="Q10" s="2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spans="1:32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4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2" x14ac:dyDescent="0.25">
      <c r="B12" s="140" t="s">
        <v>87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3"/>
      <c r="N12" s="13"/>
      <c r="O12" s="13"/>
      <c r="P12" s="1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2" x14ac:dyDescent="0.25">
      <c r="B13" s="31"/>
      <c r="C13" s="4" t="s">
        <v>86</v>
      </c>
      <c r="D13" s="4" t="s">
        <v>18</v>
      </c>
      <c r="E13" s="4" t="s">
        <v>19</v>
      </c>
      <c r="F13" s="4" t="s">
        <v>20</v>
      </c>
      <c r="G13" s="4" t="s">
        <v>22</v>
      </c>
      <c r="H13" s="4" t="s">
        <v>16</v>
      </c>
      <c r="I13" s="31"/>
      <c r="J13" s="31"/>
      <c r="K13" s="37"/>
      <c r="L13" s="31"/>
      <c r="M13" s="13"/>
      <c r="N13" s="13"/>
      <c r="O13" s="13"/>
      <c r="P13" s="13"/>
      <c r="S13" s="23"/>
      <c r="T13" s="23"/>
      <c r="U13" s="23"/>
      <c r="V13" s="23"/>
      <c r="W13" s="23"/>
      <c r="X13" s="23"/>
      <c r="Y13" s="23"/>
      <c r="Z13" s="26"/>
      <c r="AA13" s="23"/>
      <c r="AB13" s="23"/>
      <c r="AC13" s="23"/>
      <c r="AD13" s="23"/>
      <c r="AE13" s="23"/>
      <c r="AF13" s="23"/>
    </row>
    <row r="14" spans="1:32" x14ac:dyDescent="0.25">
      <c r="B14" s="9" t="s">
        <v>13</v>
      </c>
      <c r="C14" s="31">
        <f>K4</f>
        <v>1</v>
      </c>
      <c r="D14" s="31">
        <f>K5</f>
        <v>1</v>
      </c>
      <c r="E14" s="31">
        <f>K6</f>
        <v>0</v>
      </c>
      <c r="F14" s="31">
        <f>K7</f>
        <v>2</v>
      </c>
      <c r="G14" s="31">
        <f>K8</f>
        <v>0</v>
      </c>
      <c r="H14" s="31">
        <v>0</v>
      </c>
      <c r="I14" s="31">
        <f>C8*B9*E9</f>
        <v>3000</v>
      </c>
      <c r="J14" s="31"/>
      <c r="K14" s="37" t="s">
        <v>17</v>
      </c>
      <c r="L14" s="31">
        <f t="array" ref="L14:L19">MMULT(MINVERSE(C14:H19),I14:I19)</f>
        <v>1470</v>
      </c>
      <c r="M14" s="13"/>
      <c r="N14" s="13"/>
      <c r="O14" s="13"/>
      <c r="P14" s="13"/>
      <c r="S14" s="23"/>
      <c r="T14" s="23"/>
      <c r="U14" s="23"/>
      <c r="V14" s="23"/>
      <c r="W14" s="23"/>
      <c r="X14" s="23"/>
      <c r="Y14" s="23"/>
      <c r="Z14" s="26"/>
      <c r="AA14" s="23"/>
      <c r="AB14" s="23"/>
      <c r="AC14" s="23"/>
      <c r="AD14" s="23"/>
      <c r="AE14" s="23"/>
      <c r="AF14" s="23"/>
    </row>
    <row r="15" spans="1:32" x14ac:dyDescent="0.25">
      <c r="B15" s="9" t="s">
        <v>14</v>
      </c>
      <c r="C15" s="31">
        <f>L4</f>
        <v>0</v>
      </c>
      <c r="D15" s="31">
        <f>L5</f>
        <v>1</v>
      </c>
      <c r="E15" s="31">
        <f>L6</f>
        <v>2</v>
      </c>
      <c r="F15" s="31">
        <f>L7</f>
        <v>0</v>
      </c>
      <c r="G15" s="31">
        <f>L8</f>
        <v>1</v>
      </c>
      <c r="H15" s="31">
        <v>0</v>
      </c>
      <c r="I15" s="31">
        <f xml:space="preserve"> C3*B4*F4+C8*B10*F10</f>
        <v>12285.714285714286</v>
      </c>
      <c r="J15" s="31"/>
      <c r="K15" s="37" t="s">
        <v>18</v>
      </c>
      <c r="L15" s="31">
        <v>490</v>
      </c>
      <c r="M15" s="13"/>
      <c r="N15" s="13"/>
      <c r="O15" s="13"/>
      <c r="P15" s="13"/>
      <c r="S15" s="23"/>
      <c r="T15" s="23"/>
      <c r="U15" s="23"/>
      <c r="V15" s="23"/>
      <c r="W15" s="23"/>
      <c r="X15" s="23"/>
      <c r="Y15" s="23"/>
      <c r="Z15" s="26"/>
      <c r="AA15" s="23"/>
      <c r="AB15" s="23"/>
      <c r="AC15" s="23"/>
      <c r="AD15" s="23"/>
      <c r="AE15" s="23"/>
      <c r="AF15" s="23"/>
    </row>
    <row r="16" spans="1:32" x14ac:dyDescent="0.25">
      <c r="B16" s="9" t="s">
        <v>15</v>
      </c>
      <c r="C16" s="31">
        <f>M4</f>
        <v>2</v>
      </c>
      <c r="D16" s="31">
        <f>M5</f>
        <v>0</v>
      </c>
      <c r="E16" s="31">
        <f>M6</f>
        <v>0</v>
      </c>
      <c r="F16" s="31">
        <f>M7</f>
        <v>0</v>
      </c>
      <c r="G16" s="31">
        <f>M8</f>
        <v>3</v>
      </c>
      <c r="H16" s="31">
        <v>0</v>
      </c>
      <c r="I16" s="31">
        <f>C3*B4*G4</f>
        <v>3000</v>
      </c>
      <c r="J16" s="31"/>
      <c r="K16" s="37" t="s">
        <v>19</v>
      </c>
      <c r="L16" s="31">
        <v>5887.8571428571431</v>
      </c>
      <c r="M16" s="13"/>
      <c r="N16" s="13"/>
      <c r="O16" s="13"/>
      <c r="P16" s="13"/>
      <c r="S16" s="23"/>
      <c r="T16" s="23"/>
      <c r="U16" s="23"/>
      <c r="V16" s="23"/>
      <c r="W16" s="23"/>
      <c r="X16" s="23"/>
      <c r="Y16" s="23"/>
      <c r="Z16" s="26"/>
      <c r="AA16" s="23"/>
      <c r="AB16" s="23"/>
      <c r="AC16" s="23"/>
      <c r="AD16" s="23"/>
      <c r="AE16" s="23"/>
      <c r="AF16" s="23"/>
    </row>
    <row r="17" spans="2:32" x14ac:dyDescent="0.25">
      <c r="B17" s="9" t="s">
        <v>84</v>
      </c>
      <c r="C17" s="31">
        <v>1</v>
      </c>
      <c r="D17" s="31">
        <v>1</v>
      </c>
      <c r="E17" s="31">
        <v>1</v>
      </c>
      <c r="F17" s="31">
        <v>1</v>
      </c>
      <c r="G17" s="31">
        <v>1</v>
      </c>
      <c r="H17" s="31">
        <v>-1</v>
      </c>
      <c r="I17" s="31">
        <v>0</v>
      </c>
      <c r="J17" s="31"/>
      <c r="K17" s="37" t="s">
        <v>20</v>
      </c>
      <c r="L17" s="31">
        <v>520</v>
      </c>
      <c r="M17" s="13"/>
      <c r="N17" s="13"/>
      <c r="O17" s="13"/>
      <c r="P17" s="13"/>
      <c r="S17" s="23"/>
      <c r="T17" s="23"/>
      <c r="U17" s="23"/>
      <c r="V17" s="23"/>
      <c r="W17" s="23"/>
      <c r="X17" s="23"/>
      <c r="Y17" s="23"/>
      <c r="Z17" s="26"/>
      <c r="AA17" s="23"/>
      <c r="AB17" s="23"/>
      <c r="AC17" s="23"/>
      <c r="AD17" s="23"/>
      <c r="AE17" s="23"/>
      <c r="AF17" s="23"/>
    </row>
    <row r="18" spans="2:32" x14ac:dyDescent="0.25">
      <c r="B18" s="9" t="s">
        <v>24</v>
      </c>
      <c r="C18" s="31">
        <v>0</v>
      </c>
      <c r="D18" s="31">
        <v>0</v>
      </c>
      <c r="E18" s="31">
        <v>0</v>
      </c>
      <c r="F18" s="31">
        <v>0</v>
      </c>
      <c r="G18" s="31">
        <v>1</v>
      </c>
      <c r="H18" s="31">
        <v>0</v>
      </c>
      <c r="I18" s="11">
        <f>(1-P4)*C3</f>
        <v>20.000000000000018</v>
      </c>
      <c r="J18" s="31"/>
      <c r="K18" s="37" t="s">
        <v>22</v>
      </c>
      <c r="L18" s="31">
        <v>20.000000000000018</v>
      </c>
      <c r="M18" s="13"/>
      <c r="N18" s="13"/>
      <c r="O18" s="13"/>
      <c r="P18" s="13"/>
      <c r="S18" s="23"/>
      <c r="T18" s="23"/>
      <c r="U18" s="23"/>
      <c r="V18" s="23"/>
      <c r="W18" s="23"/>
      <c r="X18" s="23"/>
      <c r="Y18" s="23"/>
      <c r="Z18" s="26"/>
      <c r="AA18" s="23"/>
      <c r="AB18" s="23"/>
      <c r="AC18" s="23"/>
      <c r="AD18" s="23"/>
      <c r="AE18" s="23"/>
      <c r="AF18" s="23"/>
    </row>
    <row r="19" spans="2:32" x14ac:dyDescent="0.25">
      <c r="B19" s="9" t="s">
        <v>94</v>
      </c>
      <c r="C19" s="31">
        <v>0</v>
      </c>
      <c r="D19" s="31">
        <v>1</v>
      </c>
      <c r="E19" s="31">
        <v>0</v>
      </c>
      <c r="F19" s="31">
        <v>0</v>
      </c>
      <c r="G19" s="31">
        <v>0</v>
      </c>
      <c r="H19" s="14">
        <v>0</v>
      </c>
      <c r="I19" s="31">
        <f>(P4*C3*P5/2)/((P5/2)+1)</f>
        <v>490</v>
      </c>
      <c r="J19" s="31"/>
      <c r="K19" s="37" t="s">
        <v>16</v>
      </c>
      <c r="L19" s="31">
        <v>8387.8571428571431</v>
      </c>
      <c r="M19" s="13"/>
      <c r="N19" s="13"/>
      <c r="O19" s="13"/>
      <c r="P19" s="34"/>
      <c r="Q19" s="23"/>
      <c r="R19" s="23"/>
      <c r="S19" s="23"/>
      <c r="T19" s="23"/>
      <c r="U19" s="23"/>
      <c r="V19" s="23"/>
      <c r="W19" s="27"/>
      <c r="X19" s="23"/>
      <c r="Y19" s="23"/>
      <c r="Z19" s="26"/>
      <c r="AA19" s="23"/>
      <c r="AB19" s="23"/>
      <c r="AC19" s="23"/>
      <c r="AD19" s="23"/>
      <c r="AE19" s="23"/>
      <c r="AF19" s="23"/>
    </row>
    <row r="20" spans="2:32" x14ac:dyDescent="0.25"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2:32" x14ac:dyDescent="0.25">
      <c r="P21" s="23"/>
      <c r="Q21" s="23"/>
      <c r="R21" s="23"/>
      <c r="S21" s="25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2:32" x14ac:dyDescent="0.25"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2:32" x14ac:dyDescent="0.25"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2:32" x14ac:dyDescent="0.25"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</sheetData>
  <mergeCells count="5">
    <mergeCell ref="O2:P2"/>
    <mergeCell ref="B2:G2"/>
    <mergeCell ref="B12:L12"/>
    <mergeCell ref="I2:M2"/>
    <mergeCell ref="A1:P1"/>
  </mergeCells>
  <conditionalFormatting sqref="B2">
    <cfRule type="colorScale" priority="4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12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I2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O2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Análise G.L</vt:lpstr>
      <vt:lpstr>Balanco Material</vt:lpstr>
      <vt:lpstr>Matriz Reator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2015-05-04T13:42:00Z</dcterms:modified>
</cp:coreProperties>
</file>