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palof\Documents\Current projects\Tanner\2021-2022\CSA estimates\"/>
    </mc:Choice>
  </mc:AlternateContent>
  <xr:revisionPtr revIDLastSave="0" documentId="13_ncr:1_{56A57C6B-8347-4BA2-8514-F7D930F106C7}" xr6:coauthVersionLast="47" xr6:coauthVersionMax="47" xr10:uidLastSave="{00000000-0000-0000-0000-000000000000}"/>
  <bookViews>
    <workbookView xWindow="28680" yWindow="-120" windowWidth="29040" windowHeight="15840" tabRatio="601" xr2:uid="{00000000-000D-0000-FFFF-FFFF00000000}"/>
  </bookViews>
  <sheets>
    <sheet name="Estimates 3 Stage" sheetId="12" r:id="rId1"/>
    <sheet name="parameter history" sheetId="20" r:id="rId2"/>
    <sheet name="Estimates 3 S_original old catc" sheetId="21" r:id="rId3"/>
    <sheet name="legal biomass_SigPl_OLD" sheetId="22" r:id="rId4"/>
  </sheets>
  <definedNames>
    <definedName name="solver_adj" localSheetId="2" hidden="1">'Estimates 3 S_original old catc'!$P$9:$P$28,'Estimates 3 S_original old catc'!$P$2:$P$3</definedName>
    <definedName name="solver_adj" localSheetId="0" hidden="1">'Estimates 3 Stage'!$P$2:$P$3,'Estimates 3 Stage'!$P$8:$P$34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100</definedName>
    <definedName name="solver_itr" localSheetId="0" hidden="1">100</definedName>
    <definedName name="solver_lhs1" localSheetId="2" hidden="1">'Estimates 3 S_original old catc'!$P$10:$P$28</definedName>
    <definedName name="solver_lhs1" localSheetId="0" hidden="1">'Estimates 3 Stage'!$P$8:$P$34</definedName>
    <definedName name="solver_lhs2" localSheetId="2" hidden="1">'Estimates 3 S_original old catc'!$P$10:$P$26</definedName>
    <definedName name="solver_lhs2" localSheetId="0" hidden="1">'Estimates 3 Stage'!$P$8:$P$24</definedName>
    <definedName name="solver_lin" localSheetId="2" hidden="1">2</definedName>
    <definedName name="solver_lin" localSheetId="0" hidden="1">2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1</definedName>
    <definedName name="solver_num" localSheetId="0" hidden="1">1</definedName>
    <definedName name="solver_nwt" localSheetId="2" hidden="1">1</definedName>
    <definedName name="solver_nwt" localSheetId="0" hidden="1">1</definedName>
    <definedName name="solver_opt" localSheetId="2" hidden="1">'Estimates 3 S_original old catc'!$S$2</definedName>
    <definedName name="solver_opt" localSheetId="0" hidden="1">'Estimates 3 Stage'!$S$2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3</definedName>
    <definedName name="solver_rel1" localSheetId="0" hidden="1">3</definedName>
    <definedName name="solver_rel2" localSheetId="2" hidden="1">3</definedName>
    <definedName name="solver_rel2" localSheetId="0" hidden="1">3</definedName>
    <definedName name="solver_rhs1" localSheetId="2" hidden="1">0.1</definedName>
    <definedName name="solver_rhs1" localSheetId="0" hidden="1">0.1</definedName>
    <definedName name="solver_rhs2" localSheetId="2" hidden="1">0.1</definedName>
    <definedName name="solver_rhs2" localSheetId="0" hidden="1">0.1</definedName>
    <definedName name="solver_rlx" localSheetId="2" hidden="1">1</definedName>
    <definedName name="solver_rlx" localSheetId="0" hidden="1">1</definedName>
    <definedName name="solver_rsd" localSheetId="2" hidden="1">0</definedName>
    <definedName name="solver_rsd" localSheetId="0" hidden="1">0</definedName>
    <definedName name="solver_scl" localSheetId="2" hidden="1">2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100</definedName>
    <definedName name="solver_tim" localSheetId="0" hidden="1">100</definedName>
    <definedName name="solver_tol" localSheetId="2" hidden="1">0.05</definedName>
    <definedName name="solver_tol" localSheetId="0" hidden="1">0.05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2" l="1"/>
  <c r="N34" i="12"/>
  <c r="O34" i="12"/>
  <c r="Q34" i="12" s="1"/>
  <c r="AA34" i="12"/>
  <c r="O2" i="12"/>
  <c r="O3" i="12"/>
  <c r="M33" i="12"/>
  <c r="N33" i="12"/>
  <c r="O33" i="12"/>
  <c r="Q33" i="12" s="1"/>
  <c r="AA33" i="12"/>
  <c r="AB34" i="12" l="1"/>
  <c r="R34" i="12"/>
  <c r="V34" i="12" s="1"/>
  <c r="U34" i="12"/>
  <c r="AB33" i="12"/>
  <c r="U33" i="12"/>
  <c r="F12" i="20"/>
  <c r="G12" i="20"/>
  <c r="M12" i="20"/>
  <c r="M32" i="12"/>
  <c r="N32" i="12"/>
  <c r="O32" i="12"/>
  <c r="Q32" i="12" s="1"/>
  <c r="R33" i="12" s="1"/>
  <c r="AA32" i="12"/>
  <c r="V33" i="12" l="1"/>
  <c r="U32" i="12"/>
  <c r="F11" i="20"/>
  <c r="G11" i="20"/>
  <c r="M11" i="20"/>
  <c r="M31" i="12"/>
  <c r="N31" i="12"/>
  <c r="O31" i="12"/>
  <c r="Q31" i="12" s="1"/>
  <c r="M10" i="20"/>
  <c r="AA31" i="12"/>
  <c r="U31" i="12" l="1"/>
  <c r="F10" i="20"/>
  <c r="G10" i="20"/>
  <c r="M30" i="12" l="1"/>
  <c r="N30" i="12"/>
  <c r="O30" i="12"/>
  <c r="Q30" i="12" s="1"/>
  <c r="AA30" i="12"/>
  <c r="U30" i="12" l="1"/>
  <c r="M7" i="20" l="1"/>
  <c r="M8" i="20"/>
  <c r="M9" i="20"/>
  <c r="M6" i="20"/>
  <c r="F8" i="20"/>
  <c r="G8" i="20"/>
  <c r="F9" i="20"/>
  <c r="G9" i="20"/>
  <c r="O29" i="12" l="1"/>
  <c r="Q29" i="12" s="1"/>
  <c r="M29" i="12"/>
  <c r="N29" i="12"/>
  <c r="AA29" i="12"/>
  <c r="U29" i="12" l="1"/>
  <c r="M28" i="12"/>
  <c r="N28" i="12"/>
  <c r="O28" i="12"/>
  <c r="Q28" i="12" s="1"/>
  <c r="AA28" i="12"/>
  <c r="U28" i="12" l="1"/>
  <c r="M27" i="12"/>
  <c r="N27" i="12"/>
  <c r="O27" i="12"/>
  <c r="Q27" i="12" s="1"/>
  <c r="AA27" i="12"/>
  <c r="U27" i="12" l="1"/>
  <c r="C6" i="12"/>
  <c r="E6" i="12"/>
  <c r="D6" i="12"/>
  <c r="O28" i="21"/>
  <c r="Q26" i="21" s="1"/>
  <c r="O27" i="21"/>
  <c r="Q25" i="21" s="1"/>
  <c r="AI26" i="21"/>
  <c r="AA26" i="21"/>
  <c r="O26" i="21"/>
  <c r="Q24" i="21" s="1"/>
  <c r="N26" i="21"/>
  <c r="M26" i="21"/>
  <c r="AI25" i="21"/>
  <c r="AA25" i="21"/>
  <c r="O25" i="21"/>
  <c r="Q23" i="21" s="1"/>
  <c r="N25" i="21"/>
  <c r="M25" i="21"/>
  <c r="AI24" i="21"/>
  <c r="AA24" i="21"/>
  <c r="U24" i="21"/>
  <c r="O24" i="21"/>
  <c r="Q22" i="21" s="1"/>
  <c r="N24" i="21"/>
  <c r="M24" i="21"/>
  <c r="AI23" i="21"/>
  <c r="AA23" i="21"/>
  <c r="O23" i="21"/>
  <c r="N23" i="21"/>
  <c r="M23" i="21"/>
  <c r="AI22" i="21"/>
  <c r="AA22" i="21"/>
  <c r="O22" i="21"/>
  <c r="Q20" i="21" s="1"/>
  <c r="N22" i="21"/>
  <c r="M22" i="21"/>
  <c r="AI21" i="21"/>
  <c r="AA21" i="21"/>
  <c r="Q21" i="21"/>
  <c r="U21" i="21" s="1"/>
  <c r="O21" i="21"/>
  <c r="Q19" i="21" s="1"/>
  <c r="N21" i="21"/>
  <c r="M21" i="21"/>
  <c r="AI20" i="21"/>
  <c r="AA20" i="21"/>
  <c r="O20" i="21"/>
  <c r="N20" i="21"/>
  <c r="M20" i="21"/>
  <c r="AI19" i="21"/>
  <c r="AA19" i="21"/>
  <c r="O19" i="21"/>
  <c r="Q17" i="21" s="1"/>
  <c r="N19" i="21"/>
  <c r="M19" i="21"/>
  <c r="AL18" i="21"/>
  <c r="AI18" i="21"/>
  <c r="AA18" i="21"/>
  <c r="Q18" i="21"/>
  <c r="O18" i="21"/>
  <c r="Q16" i="21" s="1"/>
  <c r="U16" i="21" s="1"/>
  <c r="N18" i="21"/>
  <c r="M18" i="21"/>
  <c r="AL17" i="21"/>
  <c r="AI17" i="21"/>
  <c r="AA17" i="21"/>
  <c r="O17" i="21"/>
  <c r="Q15" i="21" s="1"/>
  <c r="N17" i="21"/>
  <c r="M17" i="21"/>
  <c r="AL16" i="21"/>
  <c r="AI16" i="21"/>
  <c r="AA16" i="21"/>
  <c r="O16" i="21"/>
  <c r="Q14" i="21" s="1"/>
  <c r="N16" i="21"/>
  <c r="M16" i="21"/>
  <c r="AL15" i="21"/>
  <c r="AI15" i="21"/>
  <c r="AA15" i="21"/>
  <c r="O15" i="21"/>
  <c r="Q13" i="21" s="1"/>
  <c r="N15" i="21"/>
  <c r="M15" i="21"/>
  <c r="AL14" i="21"/>
  <c r="AI14" i="21"/>
  <c r="AA14" i="21"/>
  <c r="U14" i="21"/>
  <c r="O14" i="21"/>
  <c r="Q12" i="21" s="1"/>
  <c r="N14" i="21"/>
  <c r="M14" i="21"/>
  <c r="AL13" i="21"/>
  <c r="AI13" i="21"/>
  <c r="AA13" i="21"/>
  <c r="O13" i="21"/>
  <c r="Q11" i="21" s="1"/>
  <c r="N13" i="21"/>
  <c r="M13" i="21"/>
  <c r="AL12" i="21"/>
  <c r="AI12" i="21"/>
  <c r="AA12" i="21"/>
  <c r="O12" i="21"/>
  <c r="N12" i="21"/>
  <c r="M12" i="21"/>
  <c r="AL11" i="21"/>
  <c r="AI11" i="21"/>
  <c r="AA11" i="21"/>
  <c r="O11" i="21"/>
  <c r="R10" i="21" s="1"/>
  <c r="N11" i="21"/>
  <c r="M11" i="21"/>
  <c r="AL10" i="21"/>
  <c r="AI10" i="21"/>
  <c r="AA10" i="21"/>
  <c r="Q10" i="21"/>
  <c r="O10" i="21"/>
  <c r="S10" i="21" s="1"/>
  <c r="N10" i="21"/>
  <c r="M10" i="21"/>
  <c r="AL9" i="21"/>
  <c r="AK9" i="21"/>
  <c r="AA9" i="21"/>
  <c r="O9" i="21"/>
  <c r="Q7" i="21"/>
  <c r="O3" i="21"/>
  <c r="R25" i="21" s="1"/>
  <c r="O2" i="21"/>
  <c r="AB9" i="21" s="1"/>
  <c r="AB14" i="21" l="1"/>
  <c r="R19" i="21"/>
  <c r="AB12" i="21"/>
  <c r="AB10" i="21"/>
  <c r="R21" i="21"/>
  <c r="V21" i="21" s="1"/>
  <c r="U12" i="21"/>
  <c r="AC9" i="21"/>
  <c r="AD9" i="21" s="1"/>
  <c r="AE9" i="21" s="1"/>
  <c r="R13" i="21"/>
  <c r="V13" i="21" s="1"/>
  <c r="R17" i="21"/>
  <c r="V17" i="21" s="1"/>
  <c r="AB24" i="21"/>
  <c r="S11" i="21"/>
  <c r="V10" i="21"/>
  <c r="R20" i="21"/>
  <c r="U19" i="21"/>
  <c r="AB19" i="21"/>
  <c r="U23" i="21"/>
  <c r="AB23" i="21"/>
  <c r="R24" i="21"/>
  <c r="U11" i="21"/>
  <c r="R12" i="21"/>
  <c r="AB11" i="21"/>
  <c r="U26" i="21"/>
  <c r="AB26" i="21"/>
  <c r="AC10" i="21"/>
  <c r="AD10" i="21" s="1"/>
  <c r="AE10" i="21" s="1"/>
  <c r="U13" i="21"/>
  <c r="R14" i="21"/>
  <c r="AB13" i="21"/>
  <c r="U10" i="21"/>
  <c r="T10" i="21"/>
  <c r="R11" i="21"/>
  <c r="AB17" i="21"/>
  <c r="R18" i="21"/>
  <c r="U17" i="21"/>
  <c r="V25" i="21"/>
  <c r="U25" i="21"/>
  <c r="R26" i="21"/>
  <c r="AB25" i="21"/>
  <c r="V19" i="21"/>
  <c r="U20" i="21"/>
  <c r="AB20" i="21"/>
  <c r="AK10" i="21"/>
  <c r="W10" i="21"/>
  <c r="U15" i="21"/>
  <c r="AB15" i="21"/>
  <c r="U22" i="21"/>
  <c r="R23" i="21"/>
  <c r="AB22" i="21"/>
  <c r="AB16" i="21"/>
  <c r="U18" i="21"/>
  <c r="AB18" i="21"/>
  <c r="AB21" i="21"/>
  <c r="R15" i="21"/>
  <c r="R16" i="21"/>
  <c r="R22" i="21"/>
  <c r="AI25" i="12"/>
  <c r="AI26" i="12"/>
  <c r="O26" i="12"/>
  <c r="Q26" i="12" s="1"/>
  <c r="M26" i="12"/>
  <c r="N26" i="12"/>
  <c r="V24" i="21" l="1"/>
  <c r="V15" i="21"/>
  <c r="Y10" i="21"/>
  <c r="V23" i="21"/>
  <c r="V12" i="21"/>
  <c r="V18" i="21"/>
  <c r="W11" i="21"/>
  <c r="AK11" i="21"/>
  <c r="V16" i="21"/>
  <c r="AC11" i="21"/>
  <c r="V11" i="21"/>
  <c r="S12" i="21"/>
  <c r="AC12" i="21" s="1"/>
  <c r="V14" i="21"/>
  <c r="V26" i="21"/>
  <c r="T11" i="21"/>
  <c r="V22" i="21"/>
  <c r="V20" i="21"/>
  <c r="U26" i="12"/>
  <c r="AA26" i="12"/>
  <c r="T12" i="21" l="1"/>
  <c r="Y11" i="21"/>
  <c r="AD12" i="21"/>
  <c r="AE12" i="21" s="1"/>
  <c r="AH12" i="21"/>
  <c r="AK12" i="21"/>
  <c r="W12" i="21"/>
  <c r="Y12" i="21" s="1"/>
  <c r="S13" i="21"/>
  <c r="AD11" i="21"/>
  <c r="AE11" i="21" s="1"/>
  <c r="AH11" i="21"/>
  <c r="D6" i="20"/>
  <c r="C6" i="20"/>
  <c r="F7" i="20" s="1"/>
  <c r="D5" i="20"/>
  <c r="G5" i="20" s="1"/>
  <c r="C5" i="20"/>
  <c r="F6" i="20" s="1"/>
  <c r="O25" i="12"/>
  <c r="Q25" i="12" s="1"/>
  <c r="M25" i="12"/>
  <c r="N25" i="12"/>
  <c r="AI23" i="12"/>
  <c r="AI24" i="12"/>
  <c r="R31" i="12" l="1"/>
  <c r="V31" i="12" s="1"/>
  <c r="R32" i="12"/>
  <c r="AB31" i="12"/>
  <c r="AB32" i="12"/>
  <c r="G6" i="20"/>
  <c r="G7" i="20"/>
  <c r="F5" i="20"/>
  <c r="R29" i="12"/>
  <c r="V29" i="12" s="1"/>
  <c r="R30" i="12"/>
  <c r="AB29" i="12"/>
  <c r="AB30" i="12"/>
  <c r="R28" i="12"/>
  <c r="R27" i="12"/>
  <c r="V27" i="12" s="1"/>
  <c r="AB27" i="12"/>
  <c r="AB28" i="12"/>
  <c r="R26" i="12"/>
  <c r="W13" i="21"/>
  <c r="Y13" i="21" s="1"/>
  <c r="AK13" i="21"/>
  <c r="AC13" i="21"/>
  <c r="S14" i="21"/>
  <c r="T13" i="21"/>
  <c r="AC9" i="12"/>
  <c r="AB26" i="12"/>
  <c r="AB9" i="12"/>
  <c r="AA25" i="12"/>
  <c r="O23" i="12"/>
  <c r="Q23" i="12" s="1"/>
  <c r="R24" i="12" s="1"/>
  <c r="M24" i="12"/>
  <c r="N24" i="12"/>
  <c r="AA24" i="12"/>
  <c r="AI22" i="12"/>
  <c r="M23" i="12"/>
  <c r="N23" i="12"/>
  <c r="O21" i="12"/>
  <c r="Q21" i="12" s="1"/>
  <c r="R22" i="12" s="1"/>
  <c r="AA23" i="12"/>
  <c r="AI21" i="12"/>
  <c r="M22" i="12"/>
  <c r="N22" i="12"/>
  <c r="O20" i="12"/>
  <c r="Q20" i="12" s="1"/>
  <c r="R21" i="12" s="1"/>
  <c r="AA22" i="12"/>
  <c r="AI11" i="12"/>
  <c r="AI12" i="12"/>
  <c r="AI13" i="12"/>
  <c r="AI14" i="12"/>
  <c r="AI15" i="12"/>
  <c r="AI16" i="12"/>
  <c r="AI17" i="12"/>
  <c r="AI18" i="12"/>
  <c r="AI19" i="12"/>
  <c r="AI20" i="12"/>
  <c r="AI10" i="12"/>
  <c r="O10" i="12"/>
  <c r="Q10" i="12" s="1"/>
  <c r="O9" i="12"/>
  <c r="R10" i="12" s="1"/>
  <c r="O8" i="12"/>
  <c r="S10" i="12" s="1"/>
  <c r="W10" i="12" s="1"/>
  <c r="O11" i="12"/>
  <c r="Q11" i="12" s="1"/>
  <c r="R12" i="12" s="1"/>
  <c r="O12" i="12"/>
  <c r="Q12" i="12" s="1"/>
  <c r="R13" i="12" s="1"/>
  <c r="O13" i="12"/>
  <c r="Q13" i="12" s="1"/>
  <c r="R14" i="12" s="1"/>
  <c r="O14" i="12"/>
  <c r="Q14" i="12" s="1"/>
  <c r="R15" i="12" s="1"/>
  <c r="O15" i="12"/>
  <c r="Q15" i="12" s="1"/>
  <c r="R16" i="12" s="1"/>
  <c r="O16" i="12"/>
  <c r="Q16" i="12" s="1"/>
  <c r="R17" i="12" s="1"/>
  <c r="O17" i="12"/>
  <c r="Q17" i="12" s="1"/>
  <c r="R18" i="12" s="1"/>
  <c r="O18" i="12"/>
  <c r="Q18" i="12" s="1"/>
  <c r="R19" i="12" s="1"/>
  <c r="O19" i="12"/>
  <c r="Q19" i="12" s="1"/>
  <c r="R20" i="12" s="1"/>
  <c r="O22" i="12"/>
  <c r="Q22" i="12" s="1"/>
  <c r="R23" i="12" s="1"/>
  <c r="O24" i="12"/>
  <c r="Q24" i="12" s="1"/>
  <c r="R25" i="12" s="1"/>
  <c r="N21" i="12"/>
  <c r="M21" i="12"/>
  <c r="AA21" i="12"/>
  <c r="N11" i="12"/>
  <c r="M11" i="12"/>
  <c r="N12" i="12"/>
  <c r="M12" i="12"/>
  <c r="N13" i="12"/>
  <c r="M13" i="12"/>
  <c r="N14" i="12"/>
  <c r="M14" i="12"/>
  <c r="N15" i="12"/>
  <c r="M15" i="12"/>
  <c r="N16" i="12"/>
  <c r="M16" i="12"/>
  <c r="N17" i="12"/>
  <c r="M17" i="12"/>
  <c r="N18" i="12"/>
  <c r="M18" i="12"/>
  <c r="N19" i="12"/>
  <c r="M19" i="12"/>
  <c r="N20" i="12"/>
  <c r="M20" i="12"/>
  <c r="AA20" i="12"/>
  <c r="N10" i="12"/>
  <c r="M10" i="12"/>
  <c r="AA19" i="12"/>
  <c r="AK9" i="12"/>
  <c r="AA18" i="12"/>
  <c r="AA17" i="12"/>
  <c r="AA16" i="12"/>
  <c r="AA15" i="12"/>
  <c r="AA14" i="12"/>
  <c r="AA13" i="12"/>
  <c r="AA12" i="12"/>
  <c r="AA11" i="12"/>
  <c r="AA10" i="12"/>
  <c r="AA9" i="12"/>
  <c r="Q6" i="12"/>
  <c r="AL18" i="12"/>
  <c r="AL17" i="12"/>
  <c r="AL16" i="12"/>
  <c r="AL15" i="12"/>
  <c r="AL14" i="12"/>
  <c r="AL13" i="12"/>
  <c r="AL12" i="12"/>
  <c r="AL11" i="12"/>
  <c r="AL10" i="12"/>
  <c r="AL9" i="12"/>
  <c r="V32" i="12" l="1"/>
  <c r="V30" i="12"/>
  <c r="V28" i="12"/>
  <c r="AD9" i="12"/>
  <c r="AE9" i="12" s="1"/>
  <c r="AD13" i="21"/>
  <c r="AE13" i="21" s="1"/>
  <c r="AH13" i="21"/>
  <c r="AK14" i="21"/>
  <c r="W14" i="21"/>
  <c r="Y14" i="21" s="1"/>
  <c r="S15" i="21"/>
  <c r="AC14" i="21"/>
  <c r="T14" i="21"/>
  <c r="V26" i="12"/>
  <c r="U13" i="12"/>
  <c r="V10" i="12"/>
  <c r="U15" i="12"/>
  <c r="AB11" i="12"/>
  <c r="AB18" i="12"/>
  <c r="AB14" i="12"/>
  <c r="AB21" i="12"/>
  <c r="V24" i="12"/>
  <c r="AB23" i="12"/>
  <c r="U23" i="12"/>
  <c r="U24" i="12"/>
  <c r="V25" i="12"/>
  <c r="AB24" i="12"/>
  <c r="AB13" i="12"/>
  <c r="S11" i="12"/>
  <c r="AC10" i="12"/>
  <c r="U20" i="12"/>
  <c r="AB20" i="12"/>
  <c r="AB22" i="12"/>
  <c r="V23" i="12"/>
  <c r="U12" i="12"/>
  <c r="AB12" i="12"/>
  <c r="U22" i="12"/>
  <c r="R11" i="12"/>
  <c r="AB10" i="12"/>
  <c r="AK10" i="12"/>
  <c r="AB19" i="12"/>
  <c r="V16" i="12"/>
  <c r="AB15" i="12"/>
  <c r="AB25" i="12"/>
  <c r="U25" i="12"/>
  <c r="U19" i="12"/>
  <c r="AB17" i="12"/>
  <c r="AB16" i="12"/>
  <c r="U21" i="12"/>
  <c r="U18" i="12"/>
  <c r="U17" i="12"/>
  <c r="U10" i="12"/>
  <c r="T10" i="12"/>
  <c r="U14" i="12"/>
  <c r="U16" i="12"/>
  <c r="U11" i="12"/>
  <c r="AB3" i="12" l="1"/>
  <c r="S12" i="12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AH14" i="21"/>
  <c r="AD14" i="21"/>
  <c r="AE14" i="21" s="1"/>
  <c r="W15" i="21"/>
  <c r="Y15" i="21" s="1"/>
  <c r="AK15" i="21"/>
  <c r="T15" i="21"/>
  <c r="AC15" i="21"/>
  <c r="S16" i="21"/>
  <c r="Y10" i="12"/>
  <c r="V17" i="12"/>
  <c r="T11" i="12"/>
  <c r="AD10" i="12"/>
  <c r="W11" i="12"/>
  <c r="AK11" i="12"/>
  <c r="AC11" i="12"/>
  <c r="AD11" i="12" s="1"/>
  <c r="V18" i="12"/>
  <c r="V12" i="12"/>
  <c r="V11" i="12"/>
  <c r="V13" i="12"/>
  <c r="V14" i="12"/>
  <c r="V19" i="12"/>
  <c r="V20" i="12"/>
  <c r="V22" i="12"/>
  <c r="V21" i="12"/>
  <c r="V15" i="12"/>
  <c r="AE10" i="12" l="1"/>
  <c r="AC29" i="12"/>
  <c r="AD29" i="12" s="1"/>
  <c r="AE29" i="12" s="1"/>
  <c r="S30" i="12"/>
  <c r="S31" i="12" s="1"/>
  <c r="S32" i="12" s="1"/>
  <c r="S33" i="12" s="1"/>
  <c r="S34" i="12" s="1"/>
  <c r="W29" i="12"/>
  <c r="Y29" i="12" s="1"/>
  <c r="T29" i="12"/>
  <c r="AC28" i="12"/>
  <c r="AD28" i="12" s="1"/>
  <c r="AE28" i="12" s="1"/>
  <c r="W28" i="12"/>
  <c r="Y28" i="12" s="1"/>
  <c r="T28" i="12"/>
  <c r="W27" i="12"/>
  <c r="Y27" i="12" s="1"/>
  <c r="AC27" i="12"/>
  <c r="AD27" i="12" s="1"/>
  <c r="AE27" i="12" s="1"/>
  <c r="T27" i="12"/>
  <c r="W16" i="21"/>
  <c r="Y16" i="21" s="1"/>
  <c r="AK16" i="21"/>
  <c r="T16" i="21"/>
  <c r="S17" i="21"/>
  <c r="AC16" i="21"/>
  <c r="AD15" i="21"/>
  <c r="AE15" i="21" s="1"/>
  <c r="AH15" i="21"/>
  <c r="W26" i="12"/>
  <c r="Y26" i="12" s="1"/>
  <c r="T26" i="12"/>
  <c r="AC26" i="12"/>
  <c r="T12" i="12"/>
  <c r="Y11" i="12"/>
  <c r="AC12" i="12"/>
  <c r="AD12" i="12" s="1"/>
  <c r="AE12" i="12" s="1"/>
  <c r="AK12" i="12"/>
  <c r="W12" i="12"/>
  <c r="Y12" i="12" s="1"/>
  <c r="AH11" i="12"/>
  <c r="AE11" i="12"/>
  <c r="W34" i="12" l="1"/>
  <c r="Y34" i="12" s="1"/>
  <c r="AC34" i="12"/>
  <c r="AD34" i="12" s="1"/>
  <c r="AE34" i="12" s="1"/>
  <c r="T34" i="12"/>
  <c r="W33" i="12"/>
  <c r="Y33" i="12" s="1"/>
  <c r="T33" i="12"/>
  <c r="AC33" i="12"/>
  <c r="AD33" i="12" s="1"/>
  <c r="AE33" i="12" s="1"/>
  <c r="W32" i="12"/>
  <c r="Y32" i="12" s="1"/>
  <c r="AC32" i="12"/>
  <c r="AD32" i="12" s="1"/>
  <c r="AE32" i="12" s="1"/>
  <c r="T32" i="12"/>
  <c r="W31" i="12"/>
  <c r="Y31" i="12" s="1"/>
  <c r="T31" i="12"/>
  <c r="AC31" i="12"/>
  <c r="AD31" i="12" s="1"/>
  <c r="AE31" i="12" s="1"/>
  <c r="W30" i="12"/>
  <c r="Y30" i="12" s="1"/>
  <c r="AC30" i="12"/>
  <c r="AD30" i="12" s="1"/>
  <c r="AE30" i="12" s="1"/>
  <c r="T30" i="12"/>
  <c r="AD26" i="12"/>
  <c r="AE26" i="12" s="1"/>
  <c r="AH16" i="21"/>
  <c r="AF16" i="21"/>
  <c r="AG16" i="21" s="1"/>
  <c r="AD16" i="21"/>
  <c r="AE16" i="21" s="1"/>
  <c r="AK17" i="21"/>
  <c r="W17" i="21"/>
  <c r="Y17" i="21" s="1"/>
  <c r="S18" i="21"/>
  <c r="T17" i="21"/>
  <c r="AC17" i="21"/>
  <c r="AH12" i="12"/>
  <c r="AC13" i="12"/>
  <c r="W13" i="12"/>
  <c r="Y13" i="12" s="1"/>
  <c r="AK13" i="12"/>
  <c r="T13" i="12"/>
  <c r="AD13" i="12" l="1"/>
  <c r="AE13" i="12" s="1"/>
  <c r="AK18" i="21"/>
  <c r="W18" i="21"/>
  <c r="Y18" i="21" s="1"/>
  <c r="T18" i="21"/>
  <c r="S19" i="21"/>
  <c r="AC18" i="21"/>
  <c r="AH17" i="21"/>
  <c r="AF17" i="21"/>
  <c r="AG17" i="21" s="1"/>
  <c r="AD17" i="21"/>
  <c r="AE17" i="21" s="1"/>
  <c r="AC14" i="12"/>
  <c r="AD14" i="12" s="1"/>
  <c r="AH13" i="12"/>
  <c r="W14" i="12"/>
  <c r="Y14" i="12" s="1"/>
  <c r="AK14" i="12"/>
  <c r="T14" i="12"/>
  <c r="W19" i="21" l="1"/>
  <c r="Y19" i="21" s="1"/>
  <c r="S20" i="21"/>
  <c r="T19" i="21"/>
  <c r="AC19" i="21"/>
  <c r="AD18" i="21"/>
  <c r="AE18" i="21" s="1"/>
  <c r="AH18" i="21"/>
  <c r="AF18" i="21"/>
  <c r="AG18" i="21" s="1"/>
  <c r="AC15" i="12"/>
  <c r="AD15" i="12" s="1"/>
  <c r="W15" i="12"/>
  <c r="Y15" i="12" s="1"/>
  <c r="AK15" i="12"/>
  <c r="T15" i="12"/>
  <c r="AH14" i="12"/>
  <c r="AE14" i="12"/>
  <c r="AF19" i="21" l="1"/>
  <c r="AG19" i="21" s="1"/>
  <c r="AD19" i="21"/>
  <c r="AE19" i="21" s="1"/>
  <c r="AH19" i="21"/>
  <c r="W20" i="21"/>
  <c r="Y20" i="21" s="1"/>
  <c r="T20" i="21"/>
  <c r="AC20" i="21"/>
  <c r="S21" i="21"/>
  <c r="AC16" i="12"/>
  <c r="AD16" i="12" s="1"/>
  <c r="AK16" i="12"/>
  <c r="W16" i="12"/>
  <c r="Y16" i="12" s="1"/>
  <c r="T16" i="12"/>
  <c r="AH15" i="12"/>
  <c r="AE15" i="12"/>
  <c r="AH20" i="21" l="1"/>
  <c r="AF20" i="21"/>
  <c r="AG20" i="21" s="1"/>
  <c r="AD20" i="21"/>
  <c r="AE20" i="21" s="1"/>
  <c r="W21" i="21"/>
  <c r="Y21" i="21" s="1"/>
  <c r="AC21" i="21"/>
  <c r="T21" i="21"/>
  <c r="S22" i="21"/>
  <c r="AC17" i="12"/>
  <c r="AD17" i="12" s="1"/>
  <c r="W17" i="12"/>
  <c r="Y17" i="12" s="1"/>
  <c r="T17" i="12"/>
  <c r="AK17" i="12"/>
  <c r="AE16" i="12"/>
  <c r="AF16" i="12"/>
  <c r="AG16" i="12" s="1"/>
  <c r="AH16" i="12"/>
  <c r="AH21" i="21" l="1"/>
  <c r="AD21" i="21"/>
  <c r="AE21" i="21" s="1"/>
  <c r="W22" i="21"/>
  <c r="Y22" i="21" s="1"/>
  <c r="T22" i="21"/>
  <c r="S23" i="21"/>
  <c r="AC22" i="21"/>
  <c r="AC18" i="12"/>
  <c r="AD18" i="12" s="1"/>
  <c r="AE17" i="12"/>
  <c r="AF17" i="12"/>
  <c r="AG17" i="12" s="1"/>
  <c r="AH17" i="12"/>
  <c r="AK18" i="12"/>
  <c r="W18" i="12"/>
  <c r="Y18" i="12" s="1"/>
  <c r="T18" i="12"/>
  <c r="W23" i="21" l="1"/>
  <c r="Y23" i="21" s="1"/>
  <c r="T23" i="21"/>
  <c r="AC23" i="21"/>
  <c r="S24" i="21"/>
  <c r="AD22" i="21"/>
  <c r="AE22" i="21" s="1"/>
  <c r="AH22" i="21"/>
  <c r="AC19" i="12"/>
  <c r="AF18" i="12"/>
  <c r="AG18" i="12" s="1"/>
  <c r="AE18" i="12"/>
  <c r="AH18" i="12"/>
  <c r="W19" i="12"/>
  <c r="Y19" i="12" s="1"/>
  <c r="T19" i="12"/>
  <c r="AD19" i="12" l="1"/>
  <c r="AD3" i="12" s="1"/>
  <c r="AC3" i="12"/>
  <c r="W24" i="21"/>
  <c r="Y24" i="21" s="1"/>
  <c r="T24" i="21"/>
  <c r="AC24" i="21"/>
  <c r="S25" i="21"/>
  <c r="AH23" i="21"/>
  <c r="AD23" i="21"/>
  <c r="AE23" i="21" s="1"/>
  <c r="AC20" i="12"/>
  <c r="AD20" i="12" s="1"/>
  <c r="W20" i="12"/>
  <c r="Y20" i="12" s="1"/>
  <c r="T20" i="12"/>
  <c r="AF19" i="12"/>
  <c r="AG19" i="12" s="1"/>
  <c r="AH19" i="12"/>
  <c r="AE19" i="12" l="1"/>
  <c r="W25" i="21"/>
  <c r="Y25" i="21" s="1"/>
  <c r="AC25" i="21"/>
  <c r="T25" i="21"/>
  <c r="S26" i="21"/>
  <c r="AH24" i="21"/>
  <c r="AD24" i="21"/>
  <c r="AE24" i="21" s="1"/>
  <c r="AC21" i="12"/>
  <c r="W21" i="12"/>
  <c r="Y21" i="12" s="1"/>
  <c r="T21" i="12"/>
  <c r="AF20" i="12"/>
  <c r="AG20" i="12" s="1"/>
  <c r="AH20" i="12"/>
  <c r="AE20" i="12"/>
  <c r="AD21" i="12" l="1"/>
  <c r="AE21" i="12" s="1"/>
  <c r="AH21" i="12"/>
  <c r="W26" i="21"/>
  <c r="Y26" i="21" s="1"/>
  <c r="S2" i="21" s="1"/>
  <c r="T26" i="21"/>
  <c r="AC26" i="21"/>
  <c r="AH25" i="21"/>
  <c r="AD25" i="21"/>
  <c r="AE25" i="21" s="1"/>
  <c r="AC22" i="12"/>
  <c r="W22" i="12"/>
  <c r="Y22" i="12" s="1"/>
  <c r="T22" i="12"/>
  <c r="AD22" i="12" l="1"/>
  <c r="AE22" i="12" s="1"/>
  <c r="AH22" i="12"/>
  <c r="AD26" i="21"/>
  <c r="AE26" i="21" s="1"/>
  <c r="AH26" i="21"/>
  <c r="AC23" i="12"/>
  <c r="W23" i="12"/>
  <c r="Y23" i="12" s="1"/>
  <c r="T23" i="12"/>
  <c r="AD23" i="12" l="1"/>
  <c r="AE23" i="12" s="1"/>
  <c r="AH23" i="12"/>
  <c r="AC24" i="12"/>
  <c r="W24" i="12"/>
  <c r="Y24" i="12" s="1"/>
  <c r="T24" i="12"/>
  <c r="AD24" i="12" l="1"/>
  <c r="AE24" i="12" s="1"/>
  <c r="AH24" i="12"/>
  <c r="AC25" i="12"/>
  <c r="W25" i="12"/>
  <c r="Y25" i="12" s="1"/>
  <c r="S2" i="12" s="1"/>
  <c r="T25" i="12"/>
  <c r="AD25" i="12" l="1"/>
  <c r="AE25" i="12" s="1"/>
  <c r="AH25" i="12"/>
  <c r="AH2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J Palof</author>
  </authors>
  <commentList>
    <comment ref="G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New catch calculated from fish tickets, refer to 97-2013 Tanner fish tickets.xlsx</t>
        </r>
      </text>
    </comment>
  </commentList>
</comments>
</file>

<file path=xl/sharedStrings.xml><?xml version="1.0" encoding="utf-8"?>
<sst xmlns="http://schemas.openxmlformats.org/spreadsheetml/2006/main" count="148" uniqueCount="84">
  <si>
    <t>Recruit</t>
  </si>
  <si>
    <t>Year</t>
  </si>
  <si>
    <t>Survey Year</t>
  </si>
  <si>
    <t>Catch Year</t>
  </si>
  <si>
    <t>Pre-recruit</t>
  </si>
  <si>
    <t>Post-recruit</t>
  </si>
  <si>
    <t>Catch (Number)</t>
  </si>
  <si>
    <t>Catch Mid-Date</t>
  </si>
  <si>
    <t>Survey Mid-Date</t>
  </si>
  <si>
    <t>Mature Weight</t>
  </si>
  <si>
    <t>Legal Weight</t>
  </si>
  <si>
    <t>Prerecruit Weight</t>
  </si>
  <si>
    <t>Catch=&gt;Survey Tau</t>
  </si>
  <si>
    <t>Survey Tau</t>
  </si>
  <si>
    <t>Survival</t>
  </si>
  <si>
    <t>Prerecruit Abundance</t>
  </si>
  <si>
    <t>Legal Abundance</t>
  </si>
  <si>
    <t>Mature Abundance</t>
  </si>
  <si>
    <t>GHL (Pounds)</t>
  </si>
  <si>
    <t>Parameters</t>
  </si>
  <si>
    <t>2004/05</t>
  </si>
  <si>
    <t>2003/04</t>
  </si>
  <si>
    <t>1996/97</t>
  </si>
  <si>
    <t>1997/98</t>
  </si>
  <si>
    <t>1998/99</t>
  </si>
  <si>
    <t>1999/00</t>
  </si>
  <si>
    <t>2000/01</t>
  </si>
  <si>
    <t>2001/02</t>
  </si>
  <si>
    <t>2002/03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</si>
  <si>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</si>
  <si>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</si>
  <si>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</si>
  <si>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</si>
  <si>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</si>
  <si>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</si>
  <si>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</si>
  <si>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</si>
  <si>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Title</t>
  </si>
  <si>
    <t>Objective Function</t>
  </si>
  <si>
    <t>Area</t>
  </si>
  <si>
    <t>q</t>
  </si>
  <si>
    <t>nat mort of pre-recruits</t>
  </si>
  <si>
    <t>Location#</t>
  </si>
  <si>
    <t>Survival/Nat Mort</t>
  </si>
  <si>
    <t>pre-recruits</t>
  </si>
  <si>
    <t>recruits</t>
  </si>
  <si>
    <t>post recruits</t>
  </si>
  <si>
    <t>Gambier Bay</t>
  </si>
  <si>
    <t>fishery season</t>
  </si>
  <si>
    <t xml:space="preserve">stat area </t>
  </si>
  <si>
    <t>110-23</t>
  </si>
  <si>
    <t>Proj 7</t>
  </si>
  <si>
    <t>Catch (in lbs)</t>
  </si>
  <si>
    <t>sum of estimated</t>
  </si>
  <si>
    <t>log diff bn estimate and actual -squared</t>
  </si>
  <si>
    <t>Estimated relative abundance</t>
  </si>
  <si>
    <t>CSA model parmeters</t>
  </si>
  <si>
    <t>Location</t>
  </si>
  <si>
    <t>survival</t>
  </si>
  <si>
    <t>difference from previous year</t>
  </si>
  <si>
    <t>GB</t>
  </si>
  <si>
    <t>from 2011 spreadsheets</t>
  </si>
  <si>
    <t>2013/14</t>
  </si>
  <si>
    <t>13/14</t>
  </si>
  <si>
    <t xml:space="preserve">CPUE </t>
  </si>
  <si>
    <t>longterm baseline calc from (93-02) but these are not used in model</t>
  </si>
  <si>
    <t>where would they have been calculated???</t>
  </si>
  <si>
    <t>old location # 2</t>
  </si>
  <si>
    <t>2014/15</t>
  </si>
  <si>
    <t>2015/16</t>
  </si>
  <si>
    <t>2016/17</t>
  </si>
  <si>
    <t>legal biomass</t>
  </si>
  <si>
    <t>estimated in THAT model year</t>
  </si>
  <si>
    <t>mature biomass</t>
  </si>
  <si>
    <t>%</t>
  </si>
  <si>
    <t>baseline average</t>
  </si>
  <si>
    <t>fishery years</t>
  </si>
  <si>
    <t>1997-2006</t>
  </si>
  <si>
    <t>2017/18</t>
  </si>
  <si>
    <t>2018/19</t>
  </si>
  <si>
    <t>updated</t>
  </si>
  <si>
    <t>2019/20</t>
  </si>
  <si>
    <t>2020/21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</si>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</sst>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%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3" tint="0.399975585192419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7">
    <xf numFmtId="0" fontId="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8" fillId="0" borderId="0"/>
    <xf numFmtId="43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1" fillId="0" borderId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20" fillId="0" borderId="0" applyNumberFormat="0" applyFill="0" applyBorder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0" applyNumberFormat="0" applyBorder="0" applyAlignment="0" applyProtection="0"/>
    <xf numFmtId="0" fontId="25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6" borderId="5" applyNumberFormat="0" applyAlignment="0" applyProtection="0"/>
    <xf numFmtId="0" fontId="28" fillId="17" borderId="6" applyNumberFormat="0" applyAlignment="0" applyProtection="0"/>
    <xf numFmtId="0" fontId="29" fillId="17" borderId="5" applyNumberFormat="0" applyAlignment="0" applyProtection="0"/>
    <xf numFmtId="0" fontId="30" fillId="0" borderId="7" applyNumberFormat="0" applyFill="0" applyAlignment="0" applyProtection="0"/>
    <xf numFmtId="0" fontId="31" fillId="18" borderId="8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3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34" fillId="4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9" applyNumberFormat="0" applyFont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19" borderId="9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3" fillId="0" borderId="0"/>
    <xf numFmtId="0" fontId="3" fillId="19" borderId="9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2" fillId="0" borderId="0"/>
    <xf numFmtId="0" fontId="2" fillId="19" borderId="9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</cellStyleXfs>
  <cellXfs count="8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5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/>
    <xf numFmtId="15" fontId="0" fillId="0" borderId="0" xfId="0" applyNumberFormat="1" applyFill="1"/>
    <xf numFmtId="0" fontId="0" fillId="0" borderId="0" xfId="0" applyBorder="1"/>
    <xf numFmtId="9" fontId="0" fillId="0" borderId="0" xfId="0" applyNumberFormat="1"/>
    <xf numFmtId="3" fontId="0" fillId="2" borderId="0" xfId="0" applyNumberFormat="1" applyFill="1"/>
    <xf numFmtId="15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 applyFill="1" applyBorder="1"/>
    <xf numFmtId="2" fontId="0" fillId="2" borderId="0" xfId="0" applyNumberFormat="1" applyFill="1"/>
    <xf numFmtId="2" fontId="0" fillId="3" borderId="0" xfId="0" applyNumberFormat="1" applyFill="1"/>
    <xf numFmtId="2" fontId="11" fillId="3" borderId="0" xfId="0" applyNumberFormat="1" applyFont="1" applyFill="1"/>
    <xf numFmtId="3" fontId="0" fillId="0" borderId="0" xfId="0" applyNumberFormat="1" applyAlignment="1"/>
    <xf numFmtId="0" fontId="12" fillId="0" borderId="0" xfId="0" applyFont="1"/>
    <xf numFmtId="2" fontId="0" fillId="4" borderId="0" xfId="0" applyNumberFormat="1" applyFill="1"/>
    <xf numFmtId="0" fontId="0" fillId="0" borderId="0" xfId="0" applyAlignment="1">
      <alignment horizontal="center"/>
    </xf>
    <xf numFmtId="0" fontId="12" fillId="0" borderId="0" xfId="0" applyFont="1" applyBorder="1"/>
    <xf numFmtId="2" fontId="0" fillId="5" borderId="0" xfId="0" applyNumberFormat="1" applyFill="1"/>
    <xf numFmtId="0" fontId="10" fillId="0" borderId="0" xfId="1"/>
    <xf numFmtId="0" fontId="11" fillId="0" borderId="0" xfId="2" applyFill="1"/>
    <xf numFmtId="0" fontId="10" fillId="6" borderId="0" xfId="1" applyFill="1"/>
    <xf numFmtId="0" fontId="10" fillId="0" borderId="0" xfId="1" applyAlignment="1">
      <alignment horizontal="right"/>
    </xf>
    <xf numFmtId="0" fontId="11" fillId="7" borderId="0" xfId="2" applyFill="1"/>
    <xf numFmtId="0" fontId="13" fillId="7" borderId="1" xfId="1" applyFont="1" applyFill="1" applyBorder="1"/>
    <xf numFmtId="0" fontId="15" fillId="0" borderId="1" xfId="1" applyFont="1" applyBorder="1" applyAlignment="1">
      <alignment horizontal="center"/>
    </xf>
    <xf numFmtId="0" fontId="16" fillId="0" borderId="0" xfId="5" applyFont="1"/>
    <xf numFmtId="0" fontId="10" fillId="0" borderId="0" xfId="6" applyFill="1"/>
    <xf numFmtId="0" fontId="11" fillId="0" borderId="0" xfId="0" applyFont="1"/>
    <xf numFmtId="15" fontId="0" fillId="5" borderId="0" xfId="0" applyNumberFormat="1" applyFill="1"/>
    <xf numFmtId="0" fontId="0" fillId="0" borderId="0" xfId="0" applyFill="1"/>
    <xf numFmtId="0" fontId="0" fillId="7" borderId="0" xfId="0" applyFill="1"/>
    <xf numFmtId="0" fontId="11" fillId="0" borderId="0" xfId="2"/>
    <xf numFmtId="0" fontId="14" fillId="0" borderId="0" xfId="2" applyFont="1"/>
    <xf numFmtId="3" fontId="0" fillId="5" borderId="0" xfId="0" applyNumberFormat="1" applyFill="1"/>
    <xf numFmtId="0" fontId="11" fillId="0" borderId="0" xfId="2"/>
    <xf numFmtId="0" fontId="11" fillId="0" borderId="0" xfId="2" applyFont="1"/>
    <xf numFmtId="0" fontId="11" fillId="7" borderId="0" xfId="2" applyFill="1"/>
    <xf numFmtId="0" fontId="11" fillId="0" borderId="0" xfId="0" applyFont="1" applyFill="1" applyBorder="1"/>
    <xf numFmtId="0" fontId="0" fillId="10" borderId="0" xfId="0" applyFill="1"/>
    <xf numFmtId="15" fontId="0" fillId="10" borderId="0" xfId="0" applyNumberFormat="1" applyFill="1"/>
    <xf numFmtId="0" fontId="9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10" borderId="0" xfId="0" applyNumberFormat="1" applyFill="1"/>
    <xf numFmtId="0" fontId="8" fillId="11" borderId="0" xfId="8" applyFill="1"/>
    <xf numFmtId="2" fontId="10" fillId="0" borderId="0" xfId="1" applyNumberFormat="1"/>
    <xf numFmtId="0" fontId="7" fillId="0" borderId="0" xfId="1" applyFont="1"/>
    <xf numFmtId="0" fontId="0" fillId="5" borderId="0" xfId="0" applyFill="1"/>
    <xf numFmtId="0" fontId="11" fillId="0" borderId="0" xfId="2" applyFont="1" applyFill="1"/>
    <xf numFmtId="165" fontId="11" fillId="0" borderId="0" xfId="24" applyNumberFormat="1" applyFont="1"/>
    <xf numFmtId="0" fontId="7" fillId="0" borderId="0" xfId="25"/>
    <xf numFmtId="0" fontId="6" fillId="12" borderId="0" xfId="39" applyFill="1"/>
    <xf numFmtId="0" fontId="11" fillId="0" borderId="0" xfId="0" applyFont="1" applyFill="1"/>
    <xf numFmtId="0" fontId="5" fillId="0" borderId="0" xfId="92"/>
    <xf numFmtId="0" fontId="5" fillId="0" borderId="0" xfId="92"/>
    <xf numFmtId="0" fontId="11" fillId="0" borderId="0" xfId="2" applyFill="1"/>
    <xf numFmtId="3" fontId="11" fillId="5" borderId="0" xfId="2" applyNumberFormat="1" applyFill="1"/>
    <xf numFmtId="0" fontId="4" fillId="0" borderId="0" xfId="135"/>
    <xf numFmtId="0" fontId="4" fillId="0" borderId="0" xfId="135"/>
    <xf numFmtId="0" fontId="4" fillId="0" borderId="0" xfId="135"/>
    <xf numFmtId="0" fontId="3" fillId="0" borderId="0" xfId="149"/>
    <xf numFmtId="0" fontId="2" fillId="0" borderId="0" xfId="163"/>
    <xf numFmtId="0" fontId="4" fillId="0" borderId="0" xfId="135" applyFill="1"/>
    <xf numFmtId="0" fontId="1" fillId="0" borderId="0" xfId="1" applyFont="1"/>
    <xf numFmtId="14" fontId="10" fillId="0" borderId="0" xfId="1" applyNumberFormat="1"/>
    <xf numFmtId="0" fontId="35" fillId="0" borderId="0" xfId="0" applyFont="1"/>
    <xf numFmtId="13" fontId="1" fillId="0" borderId="0" xfId="1" applyNumberFormat="1" applyFont="1"/>
    <xf numFmtId="15" fontId="11" fillId="0" borderId="0" xfId="0" applyNumberFormat="1" applyFont="1"/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11" fillId="8" borderId="0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</cellXfs>
  <cellStyles count="177">
    <cellStyle name="20% - Accent1" xfId="69" builtinId="30" customBuiltin="1"/>
    <cellStyle name="20% - Accent1 2" xfId="137" xr:uid="{00000000-0005-0000-0000-000001000000}"/>
    <cellStyle name="20% - Accent1 3" xfId="151" xr:uid="{00000000-0005-0000-0000-000002000000}"/>
    <cellStyle name="20% - Accent1 4" xfId="165" xr:uid="{00000000-0005-0000-0000-000003000000}"/>
    <cellStyle name="20% - Accent2" xfId="73" builtinId="34" customBuiltin="1"/>
    <cellStyle name="20% - Accent2 2" xfId="139" xr:uid="{00000000-0005-0000-0000-000005000000}"/>
    <cellStyle name="20% - Accent2 3" xfId="153" xr:uid="{00000000-0005-0000-0000-000006000000}"/>
    <cellStyle name="20% - Accent2 4" xfId="167" xr:uid="{00000000-0005-0000-0000-000007000000}"/>
    <cellStyle name="20% - Accent3" xfId="77" builtinId="38" customBuiltin="1"/>
    <cellStyle name="20% - Accent3 2" xfId="141" xr:uid="{00000000-0005-0000-0000-000009000000}"/>
    <cellStyle name="20% - Accent3 3" xfId="155" xr:uid="{00000000-0005-0000-0000-00000A000000}"/>
    <cellStyle name="20% - Accent3 4" xfId="169" xr:uid="{00000000-0005-0000-0000-00000B000000}"/>
    <cellStyle name="20% - Accent4" xfId="81" builtinId="42" customBuiltin="1"/>
    <cellStyle name="20% - Accent4 2" xfId="143" xr:uid="{00000000-0005-0000-0000-00000D000000}"/>
    <cellStyle name="20% - Accent4 3" xfId="157" xr:uid="{00000000-0005-0000-0000-00000E000000}"/>
    <cellStyle name="20% - Accent4 4" xfId="171" xr:uid="{00000000-0005-0000-0000-00000F000000}"/>
    <cellStyle name="20% - Accent5" xfId="85" builtinId="46" customBuiltin="1"/>
    <cellStyle name="20% - Accent5 2" xfId="145" xr:uid="{00000000-0005-0000-0000-000011000000}"/>
    <cellStyle name="20% - Accent5 3" xfId="159" xr:uid="{00000000-0005-0000-0000-000012000000}"/>
    <cellStyle name="20% - Accent5 4" xfId="173" xr:uid="{00000000-0005-0000-0000-000013000000}"/>
    <cellStyle name="20% - Accent6" xfId="89" builtinId="50" customBuiltin="1"/>
    <cellStyle name="20% - Accent6 2" xfId="147" xr:uid="{00000000-0005-0000-0000-000015000000}"/>
    <cellStyle name="20% - Accent6 3" xfId="161" xr:uid="{00000000-0005-0000-0000-000016000000}"/>
    <cellStyle name="20% - Accent6 4" xfId="175" xr:uid="{00000000-0005-0000-0000-000017000000}"/>
    <cellStyle name="40% - Accent1" xfId="70" builtinId="31" customBuiltin="1"/>
    <cellStyle name="40% - Accent1 2" xfId="138" xr:uid="{00000000-0005-0000-0000-000019000000}"/>
    <cellStyle name="40% - Accent1 3" xfId="152" xr:uid="{00000000-0005-0000-0000-00001A000000}"/>
    <cellStyle name="40% - Accent1 4" xfId="166" xr:uid="{00000000-0005-0000-0000-00001B000000}"/>
    <cellStyle name="40% - Accent2" xfId="74" builtinId="35" customBuiltin="1"/>
    <cellStyle name="40% - Accent2 2" xfId="140" xr:uid="{00000000-0005-0000-0000-00001D000000}"/>
    <cellStyle name="40% - Accent2 3" xfId="154" xr:uid="{00000000-0005-0000-0000-00001E000000}"/>
    <cellStyle name="40% - Accent2 4" xfId="168" xr:uid="{00000000-0005-0000-0000-00001F000000}"/>
    <cellStyle name="40% - Accent3" xfId="78" builtinId="39" customBuiltin="1"/>
    <cellStyle name="40% - Accent3 2" xfId="142" xr:uid="{00000000-0005-0000-0000-000021000000}"/>
    <cellStyle name="40% - Accent3 3" xfId="156" xr:uid="{00000000-0005-0000-0000-000022000000}"/>
    <cellStyle name="40% - Accent3 4" xfId="170" xr:uid="{00000000-0005-0000-0000-000023000000}"/>
    <cellStyle name="40% - Accent4" xfId="82" builtinId="43" customBuiltin="1"/>
    <cellStyle name="40% - Accent4 2" xfId="144" xr:uid="{00000000-0005-0000-0000-000025000000}"/>
    <cellStyle name="40% - Accent4 3" xfId="158" xr:uid="{00000000-0005-0000-0000-000026000000}"/>
    <cellStyle name="40% - Accent4 4" xfId="172" xr:uid="{00000000-0005-0000-0000-000027000000}"/>
    <cellStyle name="40% - Accent5" xfId="86" builtinId="47" customBuiltin="1"/>
    <cellStyle name="40% - Accent5 2" xfId="146" xr:uid="{00000000-0005-0000-0000-000029000000}"/>
    <cellStyle name="40% - Accent5 3" xfId="160" xr:uid="{00000000-0005-0000-0000-00002A000000}"/>
    <cellStyle name="40% - Accent5 4" xfId="174" xr:uid="{00000000-0005-0000-0000-00002B000000}"/>
    <cellStyle name="40% - Accent6" xfId="90" builtinId="51" customBuiltin="1"/>
    <cellStyle name="40% - Accent6 2" xfId="148" xr:uid="{00000000-0005-0000-0000-00002D000000}"/>
    <cellStyle name="40% - Accent6 3" xfId="162" xr:uid="{00000000-0005-0000-0000-00002E000000}"/>
    <cellStyle name="40% - Accent6 4" xfId="176" xr:uid="{00000000-0005-0000-0000-00002F000000}"/>
    <cellStyle name="60% - Accent1" xfId="71" builtinId="32" customBuiltin="1"/>
    <cellStyle name="60% - Accent2" xfId="75" builtinId="36" customBuiltin="1"/>
    <cellStyle name="60% - Accent3" xfId="79" builtinId="40" customBuiltin="1"/>
    <cellStyle name="60% - Accent4" xfId="83" builtinId="44" customBuiltin="1"/>
    <cellStyle name="60% - Accent5" xfId="87" builtinId="48" customBuiltin="1"/>
    <cellStyle name="60% - Accent6" xfId="91" builtinId="52" customBuiltin="1"/>
    <cellStyle name="Accent1" xfId="68" builtinId="29" customBuiltin="1"/>
    <cellStyle name="Accent2" xfId="72" builtinId="33" customBuiltin="1"/>
    <cellStyle name="Accent3" xfId="76" builtinId="37" customBuiltin="1"/>
    <cellStyle name="Accent4" xfId="80" builtinId="41" customBuiltin="1"/>
    <cellStyle name="Accent5" xfId="84" builtinId="45" customBuiltin="1"/>
    <cellStyle name="Accent6" xfId="88" builtinId="49" customBuiltin="1"/>
    <cellStyle name="Bad" xfId="58" builtinId="27" customBuiltin="1"/>
    <cellStyle name="Calculation" xfId="62" builtinId="22" customBuiltin="1"/>
    <cellStyle name="Check Cell" xfId="64" builtinId="23" customBuiltin="1"/>
    <cellStyle name="Comma 2" xfId="23" xr:uid="{00000000-0005-0000-0000-00003F000000}"/>
    <cellStyle name="Comma 3" xfId="9" xr:uid="{00000000-0005-0000-0000-000040000000}"/>
    <cellStyle name="Comma 3 2" xfId="97" xr:uid="{00000000-0005-0000-0000-000041000000}"/>
    <cellStyle name="Comma 4" xfId="26" xr:uid="{00000000-0005-0000-0000-000042000000}"/>
    <cellStyle name="Comma 4 2" xfId="118" xr:uid="{00000000-0005-0000-0000-000043000000}"/>
    <cellStyle name="Comma 5" xfId="40" xr:uid="{00000000-0005-0000-0000-000044000000}"/>
    <cellStyle name="Comma 5 2" xfId="112" xr:uid="{00000000-0005-0000-0000-000045000000}"/>
    <cellStyle name="Explanatory Text" xfId="66" builtinId="53" customBuiltin="1"/>
    <cellStyle name="Good" xfId="57" builtinId="26" customBuiltin="1"/>
    <cellStyle name="Heading 1" xfId="53" builtinId="16" customBuiltin="1"/>
    <cellStyle name="Heading 2" xfId="54" builtinId="17" customBuiltin="1"/>
    <cellStyle name="Heading 3" xfId="55" builtinId="18" customBuiltin="1"/>
    <cellStyle name="Heading 4" xfId="56" builtinId="19" customBuiltin="1"/>
    <cellStyle name="Input" xfId="60" builtinId="20" customBuiltin="1"/>
    <cellStyle name="Linked Cell" xfId="63" builtinId="24" customBuiltin="1"/>
    <cellStyle name="Neutral" xfId="59" builtinId="28" customBuiltin="1"/>
    <cellStyle name="Normal" xfId="0" builtinId="0"/>
    <cellStyle name="Normal 10" xfId="8" xr:uid="{00000000-0005-0000-0000-000050000000}"/>
    <cellStyle name="Normal 10 2" xfId="99" xr:uid="{00000000-0005-0000-0000-000051000000}"/>
    <cellStyle name="Normal 11" xfId="25" xr:uid="{00000000-0005-0000-0000-000052000000}"/>
    <cellStyle name="Normal 11 2" xfId="107" xr:uid="{00000000-0005-0000-0000-000053000000}"/>
    <cellStyle name="Normal 12" xfId="39" xr:uid="{00000000-0005-0000-0000-000054000000}"/>
    <cellStyle name="Normal 12 2" xfId="119" xr:uid="{00000000-0005-0000-0000-000055000000}"/>
    <cellStyle name="Normal 13" xfId="92" xr:uid="{00000000-0005-0000-0000-000056000000}"/>
    <cellStyle name="Normal 14" xfId="135" xr:uid="{00000000-0005-0000-0000-000057000000}"/>
    <cellStyle name="Normal 15" xfId="149" xr:uid="{00000000-0005-0000-0000-000058000000}"/>
    <cellStyle name="Normal 16" xfId="163" xr:uid="{00000000-0005-0000-0000-000059000000}"/>
    <cellStyle name="Normal 2" xfId="2" xr:uid="{00000000-0005-0000-0000-00005A000000}"/>
    <cellStyle name="Normal 2 2" xfId="5" xr:uid="{00000000-0005-0000-0000-00005B000000}"/>
    <cellStyle name="Normal 2 2 2" xfId="37" xr:uid="{00000000-0005-0000-0000-00005C000000}"/>
    <cellStyle name="Normal 2 3" xfId="10" xr:uid="{00000000-0005-0000-0000-00005D000000}"/>
    <cellStyle name="Normal 3" xfId="3" xr:uid="{00000000-0005-0000-0000-00005E000000}"/>
    <cellStyle name="Normal 3 2" xfId="19" xr:uid="{00000000-0005-0000-0000-00005F000000}"/>
    <cellStyle name="Normal 3 2 2" xfId="32" xr:uid="{00000000-0005-0000-0000-000060000000}"/>
    <cellStyle name="Normal 3 2 2 2" xfId="121" xr:uid="{00000000-0005-0000-0000-000061000000}"/>
    <cellStyle name="Normal 3 2 3" xfId="46" xr:uid="{00000000-0005-0000-0000-000062000000}"/>
    <cellStyle name="Normal 3 2 3 2" xfId="129" xr:uid="{00000000-0005-0000-0000-000063000000}"/>
    <cellStyle name="Normal 3 2 4" xfId="115" xr:uid="{00000000-0005-0000-0000-000064000000}"/>
    <cellStyle name="Normal 3 3" xfId="11" xr:uid="{00000000-0005-0000-0000-000065000000}"/>
    <cellStyle name="Normal 3 3 2" xfId="93" xr:uid="{00000000-0005-0000-0000-000066000000}"/>
    <cellStyle name="Normal 3 4" xfId="27" xr:uid="{00000000-0005-0000-0000-000067000000}"/>
    <cellStyle name="Normal 3 4 2" xfId="113" xr:uid="{00000000-0005-0000-0000-000068000000}"/>
    <cellStyle name="Normal 3 5" xfId="41" xr:uid="{00000000-0005-0000-0000-000069000000}"/>
    <cellStyle name="Normal 3 5 2" xfId="124" xr:uid="{00000000-0005-0000-0000-00006A000000}"/>
    <cellStyle name="Normal 3 6" xfId="96" xr:uid="{00000000-0005-0000-0000-00006B000000}"/>
    <cellStyle name="Normal 4" xfId="4" xr:uid="{00000000-0005-0000-0000-00006C000000}"/>
    <cellStyle name="Normal 4 2" xfId="20" xr:uid="{00000000-0005-0000-0000-00006D000000}"/>
    <cellStyle name="Normal 4 2 2" xfId="33" xr:uid="{00000000-0005-0000-0000-00006E000000}"/>
    <cellStyle name="Normal 4 2 2 2" xfId="116" xr:uid="{00000000-0005-0000-0000-00006F000000}"/>
    <cellStyle name="Normal 4 2 3" xfId="47" xr:uid="{00000000-0005-0000-0000-000070000000}"/>
    <cellStyle name="Normal 4 2 3 2" xfId="130" xr:uid="{00000000-0005-0000-0000-000071000000}"/>
    <cellStyle name="Normal 4 2 4" xfId="111" xr:uid="{00000000-0005-0000-0000-000072000000}"/>
    <cellStyle name="Normal 4 3" xfId="12" xr:uid="{00000000-0005-0000-0000-000073000000}"/>
    <cellStyle name="Normal 4 3 2" xfId="98" xr:uid="{00000000-0005-0000-0000-000074000000}"/>
    <cellStyle name="Normal 4 4" xfId="28" xr:uid="{00000000-0005-0000-0000-000075000000}"/>
    <cellStyle name="Normal 4 4 2" xfId="105" xr:uid="{00000000-0005-0000-0000-000076000000}"/>
    <cellStyle name="Normal 4 5" xfId="42" xr:uid="{00000000-0005-0000-0000-000077000000}"/>
    <cellStyle name="Normal 4 5 2" xfId="125" xr:uid="{00000000-0005-0000-0000-000078000000}"/>
    <cellStyle name="Normal 4 6" xfId="101" xr:uid="{00000000-0005-0000-0000-000079000000}"/>
    <cellStyle name="Normal 5" xfId="6" xr:uid="{00000000-0005-0000-0000-00007A000000}"/>
    <cellStyle name="Normal 5 2" xfId="21" xr:uid="{00000000-0005-0000-0000-00007B000000}"/>
    <cellStyle name="Normal 5 2 2" xfId="34" xr:uid="{00000000-0005-0000-0000-00007C000000}"/>
    <cellStyle name="Normal 5 2 2 2" xfId="109" xr:uid="{00000000-0005-0000-0000-00007D000000}"/>
    <cellStyle name="Normal 5 2 3" xfId="48" xr:uid="{00000000-0005-0000-0000-00007E000000}"/>
    <cellStyle name="Normal 5 2 3 2" xfId="131" xr:uid="{00000000-0005-0000-0000-00007F000000}"/>
    <cellStyle name="Normal 5 2 4" xfId="122" xr:uid="{00000000-0005-0000-0000-000080000000}"/>
    <cellStyle name="Normal 5 3" xfId="13" xr:uid="{00000000-0005-0000-0000-000081000000}"/>
    <cellStyle name="Normal 5 3 2" xfId="120" xr:uid="{00000000-0005-0000-0000-000082000000}"/>
    <cellStyle name="Normal 5 4" xfId="29" xr:uid="{00000000-0005-0000-0000-000083000000}"/>
    <cellStyle name="Normal 5 4 2" xfId="123" xr:uid="{00000000-0005-0000-0000-000084000000}"/>
    <cellStyle name="Normal 5 5" xfId="43" xr:uid="{00000000-0005-0000-0000-000085000000}"/>
    <cellStyle name="Normal 5 5 2" xfId="126" xr:uid="{00000000-0005-0000-0000-000086000000}"/>
    <cellStyle name="Normal 5 6" xfId="103" xr:uid="{00000000-0005-0000-0000-000087000000}"/>
    <cellStyle name="Normal 6" xfId="7" xr:uid="{00000000-0005-0000-0000-000088000000}"/>
    <cellStyle name="Normal 6 2" xfId="14" xr:uid="{00000000-0005-0000-0000-000089000000}"/>
    <cellStyle name="Normal 6 2 2" xfId="38" xr:uid="{00000000-0005-0000-0000-00008A000000}"/>
    <cellStyle name="Normal 6 2 2 2" xfId="108" xr:uid="{00000000-0005-0000-0000-00008B000000}"/>
    <cellStyle name="Normal 6 2 3" xfId="51" xr:uid="{00000000-0005-0000-0000-00008C000000}"/>
    <cellStyle name="Normal 6 2 3 2" xfId="134" xr:uid="{00000000-0005-0000-0000-00008D000000}"/>
    <cellStyle name="Normal 6 2 4" xfId="100" xr:uid="{00000000-0005-0000-0000-00008E000000}"/>
    <cellStyle name="Normal 6 3" xfId="30" xr:uid="{00000000-0005-0000-0000-00008F000000}"/>
    <cellStyle name="Normal 6 3 2" xfId="114" xr:uid="{00000000-0005-0000-0000-000090000000}"/>
    <cellStyle name="Normal 6 4" xfId="44" xr:uid="{00000000-0005-0000-0000-000091000000}"/>
    <cellStyle name="Normal 6 4 2" xfId="127" xr:uid="{00000000-0005-0000-0000-000092000000}"/>
    <cellStyle name="Normal 6 5" xfId="94" xr:uid="{00000000-0005-0000-0000-000093000000}"/>
    <cellStyle name="Normal 7" xfId="1" xr:uid="{00000000-0005-0000-0000-000094000000}"/>
    <cellStyle name="Normal 7 2" xfId="18" xr:uid="{00000000-0005-0000-0000-000095000000}"/>
    <cellStyle name="Normal 7 3" xfId="15" xr:uid="{00000000-0005-0000-0000-000096000000}"/>
    <cellStyle name="Normal 7 3 2" xfId="95" xr:uid="{00000000-0005-0000-0000-000097000000}"/>
    <cellStyle name="Normal 7 4" xfId="31" xr:uid="{00000000-0005-0000-0000-000098000000}"/>
    <cellStyle name="Normal 7 4 2" xfId="110" xr:uid="{00000000-0005-0000-0000-000099000000}"/>
    <cellStyle name="Normal 7 5" xfId="45" xr:uid="{00000000-0005-0000-0000-00009A000000}"/>
    <cellStyle name="Normal 7 5 2" xfId="128" xr:uid="{00000000-0005-0000-0000-00009B000000}"/>
    <cellStyle name="Normal 7 6" xfId="104" xr:uid="{00000000-0005-0000-0000-00009C000000}"/>
    <cellStyle name="Normal 8" xfId="16" xr:uid="{00000000-0005-0000-0000-00009D000000}"/>
    <cellStyle name="Normal 9" xfId="17" xr:uid="{00000000-0005-0000-0000-00009E000000}"/>
    <cellStyle name="Normal 9 2" xfId="36" xr:uid="{00000000-0005-0000-0000-00009F000000}"/>
    <cellStyle name="Normal 9 2 2" xfId="50" xr:uid="{00000000-0005-0000-0000-0000A0000000}"/>
    <cellStyle name="Normal 9 2 2 2" xfId="133" xr:uid="{00000000-0005-0000-0000-0000A1000000}"/>
    <cellStyle name="Normal 9 2 3" xfId="117" xr:uid="{00000000-0005-0000-0000-0000A2000000}"/>
    <cellStyle name="Note 2" xfId="102" xr:uid="{00000000-0005-0000-0000-0000A3000000}"/>
    <cellStyle name="Note 3" xfId="136" xr:uid="{00000000-0005-0000-0000-0000A4000000}"/>
    <cellStyle name="Note 4" xfId="150" xr:uid="{00000000-0005-0000-0000-0000A5000000}"/>
    <cellStyle name="Note 5" xfId="164" xr:uid="{00000000-0005-0000-0000-0000A6000000}"/>
    <cellStyle name="Output" xfId="61" builtinId="21" customBuiltin="1"/>
    <cellStyle name="Percent" xfId="24" builtinId="5"/>
    <cellStyle name="Percent 2" xfId="22" xr:uid="{00000000-0005-0000-0000-0000A9000000}"/>
    <cellStyle name="Percent 3" xfId="35" xr:uid="{00000000-0005-0000-0000-0000AA000000}"/>
    <cellStyle name="Percent 3 2" xfId="106" xr:uid="{00000000-0005-0000-0000-0000AB000000}"/>
    <cellStyle name="Percent 4" xfId="49" xr:uid="{00000000-0005-0000-0000-0000AC000000}"/>
    <cellStyle name="Percent 4 2" xfId="132" xr:uid="{00000000-0005-0000-0000-0000AD000000}"/>
    <cellStyle name="Title" xfId="52" builtinId="15" customBuiltin="1"/>
    <cellStyle name="Total" xfId="67" builtinId="25" customBuiltin="1"/>
    <cellStyle name="Warning Text" xfId="6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Legal</c:v>
          </c:tx>
          <c:xVal>
            <c:numRef>
              <c:f>'Estimates 3 Stage'!$AA$10:$AA$26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xVal>
          <c:yVal>
            <c:numRef>
              <c:f>'Estimates 3 Stage'!$AC$10:$AC$26</c:f>
              <c:numCache>
                <c:formatCode>#,##0</c:formatCode>
                <c:ptCount val="17"/>
                <c:pt idx="0">
                  <c:v>141696.17493004011</c:v>
                </c:pt>
                <c:pt idx="1">
                  <c:v>86927.69293638361</c:v>
                </c:pt>
                <c:pt idx="2">
                  <c:v>75400.202398240566</c:v>
                </c:pt>
                <c:pt idx="3">
                  <c:v>62998.460765344935</c:v>
                </c:pt>
                <c:pt idx="4">
                  <c:v>50095.235633956552</c:v>
                </c:pt>
                <c:pt idx="5">
                  <c:v>46754.297453375664</c:v>
                </c:pt>
                <c:pt idx="6">
                  <c:v>59466.645724354144</c:v>
                </c:pt>
                <c:pt idx="7">
                  <c:v>52492.937855548815</c:v>
                </c:pt>
                <c:pt idx="8">
                  <c:v>58377.94114518672</c:v>
                </c:pt>
                <c:pt idx="9">
                  <c:v>53752.74179469396</c:v>
                </c:pt>
                <c:pt idx="10">
                  <c:v>48502.519308953684</c:v>
                </c:pt>
                <c:pt idx="11">
                  <c:v>53765.385460675519</c:v>
                </c:pt>
                <c:pt idx="12">
                  <c:v>69616.668145999574</c:v>
                </c:pt>
                <c:pt idx="13">
                  <c:v>65054.339932937539</c:v>
                </c:pt>
                <c:pt idx="14">
                  <c:v>53055.297254945159</c:v>
                </c:pt>
                <c:pt idx="15">
                  <c:v>40127.941727213183</c:v>
                </c:pt>
                <c:pt idx="16">
                  <c:v>38794.424106981438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1-4DB0-9C8A-AF19605C0056}"/>
            </c:ext>
          </c:extLst>
        </c:ser>
        <c:ser>
          <c:idx val="2"/>
          <c:order val="1"/>
          <c:tx>
            <c:v>Mature</c:v>
          </c:tx>
          <c:xVal>
            <c:numRef>
              <c:f>'Estimates 3 Stage'!$AA$10:$AA$26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xVal>
          <c:yVal>
            <c:numRef>
              <c:f>'Estimates 3 Stage'!$AD$10:$AD$26</c:f>
              <c:numCache>
                <c:formatCode>#,##0</c:formatCode>
                <c:ptCount val="17"/>
                <c:pt idx="0">
                  <c:v>202463.93225983527</c:v>
                </c:pt>
                <c:pt idx="1">
                  <c:v>133084.96183305807</c:v>
                </c:pt>
                <c:pt idx="2">
                  <c:v>119740.41570394266</c:v>
                </c:pt>
                <c:pt idx="3">
                  <c:v>80723.445502912509</c:v>
                </c:pt>
                <c:pt idx="4">
                  <c:v>74891.200646449797</c:v>
                </c:pt>
                <c:pt idx="5">
                  <c:v>78095.354642249687</c:v>
                </c:pt>
                <c:pt idx="6">
                  <c:v>82894.752545805648</c:v>
                </c:pt>
                <c:pt idx="7">
                  <c:v>89969.212721136821</c:v>
                </c:pt>
                <c:pt idx="8">
                  <c:v>86101.046574218606</c:v>
                </c:pt>
                <c:pt idx="9">
                  <c:v>78471.525010505735</c:v>
                </c:pt>
                <c:pt idx="10">
                  <c:v>70841.849930643773</c:v>
                </c:pt>
                <c:pt idx="11">
                  <c:v>92722.260565187695</c:v>
                </c:pt>
                <c:pt idx="12">
                  <c:v>96617.457499506738</c:v>
                </c:pt>
                <c:pt idx="13">
                  <c:v>77696.184583976268</c:v>
                </c:pt>
                <c:pt idx="14">
                  <c:v>68904.512031342543</c:v>
                </c:pt>
                <c:pt idx="15">
                  <c:v>57337.181419583707</c:v>
                </c:pt>
                <c:pt idx="16">
                  <c:v>104946.62238860846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1-4DB0-9C8A-AF19605C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8288"/>
        <c:axId val="54269824"/>
      </c:scatterChart>
      <c:valAx>
        <c:axId val="542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69824"/>
        <c:crosses val="autoZero"/>
        <c:crossBetween val="midCat"/>
      </c:valAx>
      <c:valAx>
        <c:axId val="54269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26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441960</xdr:colOff>
          <xdr:row>2</xdr:row>
          <xdr:rowOff>121920</xdr:rowOff>
        </xdr:from>
        <xdr:to>
          <xdr:col>20</xdr:col>
          <xdr:colOff>137160</xdr:colOff>
          <xdr:row>4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31</xdr:col>
      <xdr:colOff>419100</xdr:colOff>
      <xdr:row>27</xdr:row>
      <xdr:rowOff>114300</xdr:rowOff>
    </xdr:from>
    <xdr:to>
      <xdr:col>39</xdr:col>
      <xdr:colOff>152400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441960</xdr:colOff>
          <xdr:row>2</xdr:row>
          <xdr:rowOff>121920</xdr:rowOff>
        </xdr:from>
        <xdr:to>
          <xdr:col>20</xdr:col>
          <xdr:colOff>137160</xdr:colOff>
          <xdr:row>4</xdr:row>
          <xdr:rowOff>45720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4"/>
  <sheetViews>
    <sheetView tabSelected="1" topLeftCell="K1" workbookViewId="0">
      <selection activeCell="S2" sqref="S2"/>
    </sheetView>
  </sheetViews>
  <sheetFormatPr defaultRowHeight="13.2" x14ac:dyDescent="0.25"/>
  <cols>
    <col min="1" max="1" width="9.55468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7" max="7" width="10.5546875" bestFit="1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8.5546875" customWidth="1"/>
  </cols>
  <sheetData>
    <row r="1" spans="1:38" ht="15" thickBot="1" x14ac:dyDescent="0.35">
      <c r="A1" s="24" t="s">
        <v>37</v>
      </c>
      <c r="B1" s="24"/>
      <c r="C1" s="24"/>
      <c r="D1" s="24"/>
      <c r="E1" s="24"/>
      <c r="F1" s="24"/>
      <c r="G1" s="70">
        <v>44503</v>
      </c>
      <c r="H1" s="69" t="s">
        <v>80</v>
      </c>
      <c r="I1" s="24"/>
      <c r="J1" s="24"/>
      <c r="K1" s="24"/>
      <c r="L1" s="24"/>
      <c r="M1" s="24"/>
      <c r="N1" s="29" t="s">
        <v>19</v>
      </c>
      <c r="O1" s="24"/>
      <c r="P1" s="24"/>
      <c r="Q1" s="24"/>
      <c r="R1" s="24"/>
      <c r="S1" s="30" t="s">
        <v>38</v>
      </c>
    </row>
    <row r="2" spans="1:38" ht="14.4" x14ac:dyDescent="0.3">
      <c r="A2" s="24" t="s">
        <v>39</v>
      </c>
      <c r="B2" s="24" t="s">
        <v>47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7" t="s">
        <v>40</v>
      </c>
      <c r="O2" s="25">
        <f>P2/1000000</f>
        <v>1.6001758620638897E-4</v>
      </c>
      <c r="P2" s="28">
        <v>160.01758620638896</v>
      </c>
      <c r="Q2" s="24"/>
      <c r="R2" s="24"/>
      <c r="S2" s="26">
        <f>SUM(Y10:Y34)</f>
        <v>141.59172845277692</v>
      </c>
      <c r="AA2" s="33" t="s">
        <v>75</v>
      </c>
    </row>
    <row r="3" spans="1:38" ht="14.4" x14ac:dyDescent="0.3">
      <c r="A3" s="24" t="s">
        <v>1</v>
      </c>
      <c r="B3" s="24">
        <v>2021</v>
      </c>
      <c r="D3" s="72">
        <v>0.95454545454545459</v>
      </c>
      <c r="E3" s="24" t="s">
        <v>48</v>
      </c>
      <c r="F3" s="24"/>
      <c r="G3" s="24"/>
      <c r="H3" s="24"/>
      <c r="I3" s="24"/>
      <c r="J3" s="24"/>
      <c r="K3" s="24"/>
      <c r="L3" s="24"/>
      <c r="M3" s="24"/>
      <c r="N3" s="27" t="s">
        <v>41</v>
      </c>
      <c r="O3" s="25">
        <f>P3/100</f>
        <v>0.470804417061224</v>
      </c>
      <c r="P3" s="28">
        <v>47.0804417061224</v>
      </c>
      <c r="Q3" s="24"/>
      <c r="R3" s="24"/>
      <c r="S3" s="24"/>
      <c r="Y3" s="33" t="s">
        <v>76</v>
      </c>
      <c r="AA3" s="33" t="s">
        <v>77</v>
      </c>
      <c r="AB3" s="4">
        <f>AVERAGE(AB10:AB19)</f>
        <v>33847.351680298976</v>
      </c>
      <c r="AC3" s="4">
        <f t="shared" ref="AC3:AD3" si="0">AVERAGE(AC10:AC19)</f>
        <v>68796.233063712512</v>
      </c>
      <c r="AD3" s="4">
        <f t="shared" si="0"/>
        <v>102643.58474401147</v>
      </c>
    </row>
    <row r="4" spans="1:38" ht="14.4" x14ac:dyDescent="0.3">
      <c r="A4" s="32" t="s">
        <v>42</v>
      </c>
      <c r="B4" s="24">
        <v>15</v>
      </c>
      <c r="C4" s="24" t="s">
        <v>51</v>
      </c>
      <c r="D4" s="52" t="s">
        <v>67</v>
      </c>
      <c r="E4" s="24"/>
      <c r="F4" s="24"/>
      <c r="G4" s="24"/>
      <c r="H4" s="24"/>
      <c r="I4" s="24"/>
      <c r="J4" s="24"/>
      <c r="K4" s="24"/>
      <c r="L4" s="24"/>
      <c r="M4" s="24"/>
      <c r="N4" s="27" t="s">
        <v>43</v>
      </c>
      <c r="O4" s="24">
        <v>-0.3</v>
      </c>
      <c r="P4" s="24">
        <v>0.74081822068171788</v>
      </c>
      <c r="Q4" s="24"/>
      <c r="R4" s="24"/>
      <c r="S4" s="24"/>
    </row>
    <row r="5" spans="1:38" ht="14.4" x14ac:dyDescent="0.3">
      <c r="A5" s="32" t="s">
        <v>49</v>
      </c>
      <c r="B5" s="33" t="s">
        <v>50</v>
      </c>
    </row>
    <row r="6" spans="1:38" ht="14.4" x14ac:dyDescent="0.3">
      <c r="A6" s="24"/>
      <c r="B6" s="24"/>
      <c r="C6" s="51">
        <f>AVERAGE(C10:C19)</f>
        <v>4.9113121484999329</v>
      </c>
      <c r="D6" s="51">
        <f>AVERAGE(D10:D19)</f>
        <v>3.3870982990596921</v>
      </c>
      <c r="E6" s="51">
        <f>AVERAGE(E10:E19)</f>
        <v>1.7162738556173658</v>
      </c>
      <c r="F6" s="24"/>
      <c r="G6" s="24"/>
      <c r="H6" s="24"/>
      <c r="I6" s="24"/>
      <c r="J6" s="24"/>
      <c r="K6" s="24"/>
      <c r="L6" s="24"/>
      <c r="M6" s="24"/>
      <c r="N6" s="24"/>
      <c r="O6" t="s">
        <v>14</v>
      </c>
      <c r="P6">
        <v>-0.3</v>
      </c>
      <c r="Q6">
        <f>+EXP(P6)</f>
        <v>0.74081822068171788</v>
      </c>
    </row>
    <row r="7" spans="1:38" ht="12.75" customHeight="1" x14ac:dyDescent="0.25">
      <c r="A7" s="74" t="s">
        <v>2</v>
      </c>
      <c r="B7" s="74" t="s">
        <v>3</v>
      </c>
      <c r="C7" s="74" t="s">
        <v>4</v>
      </c>
      <c r="D7" s="74" t="s">
        <v>0</v>
      </c>
      <c r="E7" s="74" t="s">
        <v>5</v>
      </c>
      <c r="G7" s="74" t="s">
        <v>6</v>
      </c>
      <c r="H7" s="75" t="s">
        <v>7</v>
      </c>
      <c r="I7" s="75" t="s">
        <v>8</v>
      </c>
      <c r="J7" s="74" t="s">
        <v>9</v>
      </c>
      <c r="K7" s="74" t="s">
        <v>10</v>
      </c>
      <c r="L7" s="74" t="s">
        <v>11</v>
      </c>
      <c r="M7" s="74" t="s">
        <v>12</v>
      </c>
      <c r="N7" s="74" t="s">
        <v>13</v>
      </c>
      <c r="O7" t="s">
        <v>19</v>
      </c>
      <c r="Q7" s="33" t="s">
        <v>55</v>
      </c>
      <c r="AB7" s="78" t="s">
        <v>15</v>
      </c>
      <c r="AC7" s="78" t="s">
        <v>16</v>
      </c>
      <c r="AD7" s="78" t="s">
        <v>17</v>
      </c>
      <c r="AE7" s="78" t="s">
        <v>18</v>
      </c>
      <c r="AF7" s="2"/>
      <c r="AI7" s="76" t="s">
        <v>52</v>
      </c>
    </row>
    <row r="8" spans="1:38" ht="12.75" customHeight="1" thickBot="1" x14ac:dyDescent="0.3">
      <c r="A8" s="74"/>
      <c r="B8" s="74"/>
      <c r="C8" s="74"/>
      <c r="D8" s="74"/>
      <c r="E8" s="74"/>
      <c r="G8" s="74"/>
      <c r="H8" s="75"/>
      <c r="I8" s="75"/>
      <c r="J8" s="74"/>
      <c r="K8" s="74"/>
      <c r="L8" s="74"/>
      <c r="M8" s="74"/>
      <c r="N8" s="74"/>
      <c r="O8">
        <f t="shared" ref="O8:O17" si="1">+P8</f>
        <v>1.9082033372999254</v>
      </c>
      <c r="P8" s="36">
        <v>1.9082033372999254</v>
      </c>
      <c r="Q8" s="31" t="s">
        <v>44</v>
      </c>
      <c r="R8" s="31" t="s">
        <v>45</v>
      </c>
      <c r="S8" s="31" t="s">
        <v>46</v>
      </c>
      <c r="T8" s="38" t="s">
        <v>53</v>
      </c>
      <c r="U8" s="38" t="s">
        <v>54</v>
      </c>
      <c r="V8" s="37"/>
      <c r="W8" s="37"/>
      <c r="X8" s="37"/>
      <c r="AB8" s="79"/>
      <c r="AC8" s="79"/>
      <c r="AD8" s="79"/>
      <c r="AE8" s="79"/>
      <c r="AF8" s="2"/>
      <c r="AI8" s="77"/>
    </row>
    <row r="9" spans="1:38" ht="14.4" x14ac:dyDescent="0.3">
      <c r="A9">
        <v>1996</v>
      </c>
      <c r="B9" t="s">
        <v>22</v>
      </c>
      <c r="G9" s="50">
        <v>15638</v>
      </c>
      <c r="H9" s="3">
        <v>35480</v>
      </c>
      <c r="I9" s="3">
        <v>35261.606770833336</v>
      </c>
      <c r="J9" s="5"/>
      <c r="K9" s="5"/>
      <c r="L9" s="5"/>
      <c r="M9" s="1"/>
      <c r="N9" s="1"/>
      <c r="O9">
        <f t="shared" si="1"/>
        <v>6.3221612564351126</v>
      </c>
      <c r="P9" s="36">
        <v>6.3221612564351126</v>
      </c>
      <c r="AA9">
        <f t="shared" ref="AA9:AA34" si="2">+A9</f>
        <v>1996</v>
      </c>
      <c r="AB9" s="4">
        <f>+(Q9/O$2)*L9</f>
        <v>0</v>
      </c>
      <c r="AC9" s="4">
        <f>+((R9+S9)/O$2)*K9</f>
        <v>0</v>
      </c>
      <c r="AD9" s="4">
        <f t="shared" ref="AD9:AD25" si="3">+AC9+AB9</f>
        <v>0</v>
      </c>
      <c r="AE9" s="4">
        <f t="shared" ref="AE9:AE21" si="4">+AD9*0.2</f>
        <v>0</v>
      </c>
      <c r="AK9">
        <f t="shared" ref="AK9:AK18" si="5">+S9</f>
        <v>0</v>
      </c>
      <c r="AL9">
        <f t="shared" ref="AL9:AL18" si="6">+E9</f>
        <v>0</v>
      </c>
    </row>
    <row r="10" spans="1:38" ht="14.4" x14ac:dyDescent="0.3">
      <c r="A10">
        <v>1997</v>
      </c>
      <c r="B10" t="s">
        <v>23</v>
      </c>
      <c r="C10" s="15">
        <v>9.9166666666666696</v>
      </c>
      <c r="D10" s="15">
        <v>9.625</v>
      </c>
      <c r="E10" s="15">
        <v>2.1666666666666701</v>
      </c>
      <c r="G10" s="50">
        <v>23708</v>
      </c>
      <c r="H10" s="3">
        <v>35846</v>
      </c>
      <c r="I10" s="11">
        <v>35621</v>
      </c>
      <c r="J10" s="16">
        <v>2.1174867622222227</v>
      </c>
      <c r="K10" s="16">
        <v>2.7549058888888891</v>
      </c>
      <c r="L10" s="16">
        <v>1.354781047777778</v>
      </c>
      <c r="M10" s="1">
        <f t="shared" ref="M10:M16" si="7">+(I10-H9)/365</f>
        <v>0.38630136986301372</v>
      </c>
      <c r="N10" s="1">
        <f t="shared" ref="N10:N16" si="8">+(I10-I9)/365</f>
        <v>0.98463898401825822</v>
      </c>
      <c r="O10">
        <f t="shared" si="1"/>
        <v>7.1774770270364865</v>
      </c>
      <c r="P10" s="36">
        <v>7.1774770270364865</v>
      </c>
      <c r="Q10">
        <f>+O10</f>
        <v>7.1774770270364865</v>
      </c>
      <c r="R10">
        <f>+O9</f>
        <v>6.3221612564351126</v>
      </c>
      <c r="S10">
        <f>+O8</f>
        <v>1.9082033372999254</v>
      </c>
      <c r="T10">
        <f>SUM(Q10:S10)</f>
        <v>15.407841620771524</v>
      </c>
      <c r="U10">
        <f t="shared" ref="U10:U19" si="9">+(LN(Q10)-LN(C10))^2</f>
        <v>0.10450278882372113</v>
      </c>
      <c r="V10">
        <f t="shared" ref="V10:V19" si="10">+(LN(R10)-LN(D10))^2</f>
        <v>0.17665440965920132</v>
      </c>
      <c r="W10">
        <f t="shared" ref="W10:W19" si="11">+(LN(S10)-LN(E10))^2</f>
        <v>1.6136049263394615E-2</v>
      </c>
      <c r="X10">
        <v>10</v>
      </c>
      <c r="Y10">
        <f t="shared" ref="Y10:Y18" si="12">+SUM(U10:W10)*X10</f>
        <v>2.9729324774631705</v>
      </c>
      <c r="AA10">
        <f t="shared" si="2"/>
        <v>1997</v>
      </c>
      <c r="AB10" s="4">
        <f t="shared" ref="AB10:AB25" si="13">+(Q10/O$2)*L10</f>
        <v>60767.75732979516</v>
      </c>
      <c r="AC10" s="4">
        <f t="shared" ref="AC10:AC25" si="14">+((R10+S10)/O$2)*K10</f>
        <v>141696.17493004011</v>
      </c>
      <c r="AD10" s="4">
        <f t="shared" si="3"/>
        <v>202463.93225983527</v>
      </c>
      <c r="AE10" s="4">
        <f>+AD10*0.2</f>
        <v>40492.786451967055</v>
      </c>
      <c r="AI10">
        <f t="shared" ref="AI10:AI22" si="15">G10*K10</f>
        <v>65313.308813777781</v>
      </c>
      <c r="AK10">
        <f t="shared" si="5"/>
        <v>1.9082033372999254</v>
      </c>
      <c r="AL10">
        <f t="shared" si="6"/>
        <v>2.1666666666666701</v>
      </c>
    </row>
    <row r="11" spans="1:38" ht="14.4" x14ac:dyDescent="0.3">
      <c r="A11">
        <v>1998</v>
      </c>
      <c r="B11" t="s">
        <v>24</v>
      </c>
      <c r="C11" s="15">
        <v>7.5238095238095202</v>
      </c>
      <c r="D11" s="15">
        <v>4.9047619047619104</v>
      </c>
      <c r="E11" s="15">
        <v>3.71428571428571</v>
      </c>
      <c r="G11" s="50">
        <v>20060</v>
      </c>
      <c r="H11" s="3">
        <v>36211</v>
      </c>
      <c r="I11" s="11">
        <v>35988</v>
      </c>
      <c r="J11" s="16">
        <v>1.76308</v>
      </c>
      <c r="K11" s="16">
        <v>2.2838444400000002</v>
      </c>
      <c r="L11" s="16">
        <v>1.4159037000000001</v>
      </c>
      <c r="M11" s="1">
        <f t="shared" si="7"/>
        <v>0.38904109589041097</v>
      </c>
      <c r="N11" s="1">
        <f t="shared" si="8"/>
        <v>1.0054794520547945</v>
      </c>
      <c r="O11">
        <f t="shared" si="1"/>
        <v>5.2164386283651076</v>
      </c>
      <c r="P11" s="36">
        <v>5.2164386283651076</v>
      </c>
      <c r="Q11">
        <f t="shared" ref="Q11:Q26" si="16">+O11</f>
        <v>5.2164386283651076</v>
      </c>
      <c r="R11">
        <f>+Q10*O$3</f>
        <v>3.3791878876842403</v>
      </c>
      <c r="S11">
        <f>+(R10+S10)*EXP(P$6*N11)-O$2*G10*EXP(M11*P$6)</f>
        <v>2.7114018891616247</v>
      </c>
      <c r="T11">
        <f t="shared" ref="T11:T19" si="17">SUM(Q11:S11)</f>
        <v>11.307028405210973</v>
      </c>
      <c r="U11">
        <f t="shared" si="9"/>
        <v>0.13414468915036087</v>
      </c>
      <c r="V11">
        <f t="shared" si="10"/>
        <v>0.13880925420936185</v>
      </c>
      <c r="W11">
        <f>+(LN(S11)-LN(E11))^2</f>
        <v>9.904904697245423E-2</v>
      </c>
      <c r="X11">
        <v>10</v>
      </c>
      <c r="Y11">
        <f t="shared" si="12"/>
        <v>3.7200299033217696</v>
      </c>
      <c r="AA11">
        <f t="shared" si="2"/>
        <v>1998</v>
      </c>
      <c r="AB11" s="4">
        <f t="shared" si="13"/>
        <v>46157.268896674461</v>
      </c>
      <c r="AC11" s="4">
        <f t="shared" si="14"/>
        <v>86927.69293638361</v>
      </c>
      <c r="AD11" s="4">
        <f t="shared" si="3"/>
        <v>133084.96183305807</v>
      </c>
      <c r="AE11" s="4">
        <f t="shared" si="4"/>
        <v>26616.992366611616</v>
      </c>
      <c r="AH11" s="14">
        <f t="shared" ref="AH11:AH26" si="18">(AC11-AC10)/AC10</f>
        <v>-0.38652053960311517</v>
      </c>
      <c r="AI11">
        <f t="shared" si="15"/>
        <v>45813.919466400002</v>
      </c>
      <c r="AK11">
        <f t="shared" si="5"/>
        <v>2.7114018891616247</v>
      </c>
      <c r="AL11">
        <f t="shared" si="6"/>
        <v>3.71428571428571</v>
      </c>
    </row>
    <row r="12" spans="1:38" ht="14.4" x14ac:dyDescent="0.3">
      <c r="A12">
        <v>1999</v>
      </c>
      <c r="B12" t="s">
        <v>25</v>
      </c>
      <c r="C12" s="15">
        <v>6.9</v>
      </c>
      <c r="D12" s="15">
        <v>3.6</v>
      </c>
      <c r="E12" s="15">
        <v>1.8</v>
      </c>
      <c r="G12" s="50">
        <v>10305</v>
      </c>
      <c r="H12" s="3">
        <v>36576</v>
      </c>
      <c r="I12" s="11">
        <v>36321</v>
      </c>
      <c r="J12" s="16">
        <v>2.5147047599999999</v>
      </c>
      <c r="K12" s="16">
        <v>2.9033147499999998</v>
      </c>
      <c r="L12" s="16">
        <v>1.48404348</v>
      </c>
      <c r="M12" s="1">
        <f t="shared" si="7"/>
        <v>0.30136986301369861</v>
      </c>
      <c r="N12" s="1">
        <f t="shared" si="8"/>
        <v>0.9123287671232877</v>
      </c>
      <c r="O12">
        <f t="shared" si="1"/>
        <v>4.7810013659807735</v>
      </c>
      <c r="P12" s="36">
        <v>4.7810013659807735</v>
      </c>
      <c r="Q12">
        <f t="shared" si="16"/>
        <v>4.7810013659807735</v>
      </c>
      <c r="R12">
        <f t="shared" ref="R12:R26" si="19">+Q11*O$3</f>
        <v>2.4559223475630856</v>
      </c>
      <c r="S12">
        <f t="shared" ref="S12:S26" si="20">+(R11+S11)*EXP(P$6*N12)-O$2*G11*EXP(M12*P$6)</f>
        <v>1.6997960041036206</v>
      </c>
      <c r="T12">
        <f t="shared" si="17"/>
        <v>8.9367197176474811</v>
      </c>
      <c r="U12">
        <f t="shared" si="9"/>
        <v>0.13459462138570838</v>
      </c>
      <c r="V12">
        <f t="shared" si="10"/>
        <v>0.14625381633451906</v>
      </c>
      <c r="W12">
        <f t="shared" si="11"/>
        <v>3.2808172403343142E-3</v>
      </c>
      <c r="X12">
        <v>10</v>
      </c>
      <c r="Y12">
        <f t="shared" si="12"/>
        <v>2.8412925496056172</v>
      </c>
      <c r="AA12">
        <f t="shared" si="2"/>
        <v>1999</v>
      </c>
      <c r="AB12" s="4">
        <f t="shared" si="13"/>
        <v>44340.213305702098</v>
      </c>
      <c r="AC12" s="4">
        <f t="shared" si="14"/>
        <v>75400.202398240566</v>
      </c>
      <c r="AD12" s="4">
        <f t="shared" si="3"/>
        <v>119740.41570394266</v>
      </c>
      <c r="AE12" s="4">
        <f t="shared" si="4"/>
        <v>23948.083140788534</v>
      </c>
      <c r="AH12" s="14">
        <f t="shared" si="18"/>
        <v>-0.13261010558026912</v>
      </c>
      <c r="AI12">
        <f t="shared" si="15"/>
        <v>29918.658498749999</v>
      </c>
      <c r="AK12">
        <f t="shared" si="5"/>
        <v>1.6997960041036206</v>
      </c>
      <c r="AL12">
        <f t="shared" si="6"/>
        <v>1.8</v>
      </c>
    </row>
    <row r="13" spans="1:38" ht="14.4" x14ac:dyDescent="0.3">
      <c r="A13">
        <v>2000</v>
      </c>
      <c r="B13" t="s">
        <v>26</v>
      </c>
      <c r="C13" s="15">
        <v>3.1749999999999998</v>
      </c>
      <c r="D13" s="15">
        <v>2.2250000000000001</v>
      </c>
      <c r="E13" s="15">
        <v>1.0249999999999999</v>
      </c>
      <c r="G13" s="50">
        <v>8233</v>
      </c>
      <c r="H13" s="3">
        <v>36942</v>
      </c>
      <c r="I13" s="11">
        <v>36715</v>
      </c>
      <c r="J13" s="16">
        <v>1.7270000000000001</v>
      </c>
      <c r="K13" s="16">
        <v>2.6626111099999998</v>
      </c>
      <c r="L13" s="16">
        <v>1.2007187500000001</v>
      </c>
      <c r="M13" s="1">
        <f t="shared" si="7"/>
        <v>0.38082191780821917</v>
      </c>
      <c r="N13" s="1">
        <f t="shared" si="8"/>
        <v>1.0794520547945206</v>
      </c>
      <c r="O13">
        <f t="shared" si="1"/>
        <v>2.3621762159128834</v>
      </c>
      <c r="P13" s="36">
        <v>2.3621762159128834</v>
      </c>
      <c r="Q13">
        <f t="shared" si="16"/>
        <v>2.3621762159128834</v>
      </c>
      <c r="R13">
        <f t="shared" si="19"/>
        <v>2.2509165610794937</v>
      </c>
      <c r="S13">
        <f t="shared" si="20"/>
        <v>1.5351645487482186</v>
      </c>
      <c r="T13">
        <f t="shared" si="17"/>
        <v>6.1482573257405955</v>
      </c>
      <c r="U13">
        <f t="shared" si="9"/>
        <v>8.7452869190939364E-2</v>
      </c>
      <c r="V13">
        <f t="shared" si="10"/>
        <v>1.3410978980525035E-4</v>
      </c>
      <c r="W13">
        <f t="shared" si="11"/>
        <v>0.16317153118208377</v>
      </c>
      <c r="X13">
        <v>10</v>
      </c>
      <c r="Y13">
        <f t="shared" si="12"/>
        <v>2.5075851016282842</v>
      </c>
      <c r="AA13">
        <f t="shared" si="2"/>
        <v>2000</v>
      </c>
      <c r="AB13" s="4">
        <f t="shared" si="13"/>
        <v>17724.984737567571</v>
      </c>
      <c r="AC13" s="4">
        <f t="shared" si="14"/>
        <v>62998.460765344935</v>
      </c>
      <c r="AD13" s="4">
        <f t="shared" si="3"/>
        <v>80723.445502912509</v>
      </c>
      <c r="AE13" s="4">
        <f t="shared" si="4"/>
        <v>16144.689100582502</v>
      </c>
      <c r="AH13" s="14">
        <f t="shared" si="18"/>
        <v>-0.16447889048617489</v>
      </c>
      <c r="AI13">
        <f t="shared" si="15"/>
        <v>21921.277268629998</v>
      </c>
      <c r="AK13">
        <f t="shared" si="5"/>
        <v>1.5351645487482186</v>
      </c>
      <c r="AL13">
        <f t="shared" si="6"/>
        <v>1.0249999999999999</v>
      </c>
    </row>
    <row r="14" spans="1:38" ht="14.4" x14ac:dyDescent="0.3">
      <c r="A14">
        <v>2001</v>
      </c>
      <c r="B14" t="s">
        <v>27</v>
      </c>
      <c r="C14" s="15">
        <v>3.3250000000000002</v>
      </c>
      <c r="D14" s="15">
        <v>1.0249999999999999</v>
      </c>
      <c r="E14" s="15">
        <v>1.575</v>
      </c>
      <c r="G14" s="50">
        <v>5469</v>
      </c>
      <c r="H14" s="3">
        <v>37307</v>
      </c>
      <c r="I14" s="11">
        <v>37080</v>
      </c>
      <c r="J14" s="16">
        <v>2.1410144899999999</v>
      </c>
      <c r="K14" s="16">
        <v>2.9247777799999999</v>
      </c>
      <c r="L14" s="16">
        <v>1.286</v>
      </c>
      <c r="M14" s="1">
        <f t="shared" si="7"/>
        <v>0.37808219178082192</v>
      </c>
      <c r="N14" s="1">
        <f t="shared" si="8"/>
        <v>1</v>
      </c>
      <c r="O14">
        <f t="shared" si="1"/>
        <v>3.0853736150522875</v>
      </c>
      <c r="P14" s="36">
        <v>3.0853736150522875</v>
      </c>
      <c r="Q14">
        <f t="shared" si="16"/>
        <v>3.0853736150522875</v>
      </c>
      <c r="R14">
        <f t="shared" si="19"/>
        <v>1.1121229963287531</v>
      </c>
      <c r="S14">
        <f t="shared" si="20"/>
        <v>1.6286386237167914</v>
      </c>
      <c r="T14">
        <f t="shared" si="17"/>
        <v>5.8261352350978326</v>
      </c>
      <c r="U14">
        <f t="shared" si="9"/>
        <v>5.5945788072409982E-3</v>
      </c>
      <c r="V14">
        <f t="shared" si="10"/>
        <v>6.6550003218488309E-3</v>
      </c>
      <c r="W14">
        <f t="shared" si="11"/>
        <v>1.1215260741364978E-3</v>
      </c>
      <c r="X14">
        <v>10</v>
      </c>
      <c r="Y14">
        <f t="shared" si="12"/>
        <v>0.13371105203226327</v>
      </c>
      <c r="AA14">
        <f t="shared" si="2"/>
        <v>2001</v>
      </c>
      <c r="AB14" s="4">
        <f t="shared" si="13"/>
        <v>24795.965012493241</v>
      </c>
      <c r="AC14" s="4">
        <f t="shared" si="14"/>
        <v>50095.235633956552</v>
      </c>
      <c r="AD14" s="4">
        <f t="shared" si="3"/>
        <v>74891.200646449797</v>
      </c>
      <c r="AE14" s="4">
        <f t="shared" si="4"/>
        <v>14978.240129289959</v>
      </c>
      <c r="AH14" s="14">
        <f t="shared" si="18"/>
        <v>-0.20481810150013011</v>
      </c>
      <c r="AI14">
        <f t="shared" si="15"/>
        <v>15995.609678819999</v>
      </c>
      <c r="AK14">
        <f t="shared" si="5"/>
        <v>1.6286386237167914</v>
      </c>
      <c r="AL14">
        <f t="shared" si="6"/>
        <v>1.575</v>
      </c>
    </row>
    <row r="15" spans="1:38" ht="14.4" x14ac:dyDescent="0.3">
      <c r="A15">
        <v>2002</v>
      </c>
      <c r="B15" t="s">
        <v>28</v>
      </c>
      <c r="C15" s="15">
        <v>4.3571428571428603</v>
      </c>
      <c r="D15" s="15">
        <v>2.4047619047619002</v>
      </c>
      <c r="E15" s="15">
        <v>1.47619047619048</v>
      </c>
      <c r="G15" s="50">
        <v>3636</v>
      </c>
      <c r="H15" s="3">
        <v>37672</v>
      </c>
      <c r="I15" s="11">
        <v>37450</v>
      </c>
      <c r="J15" s="16">
        <v>2.1016844400000001</v>
      </c>
      <c r="K15" s="16">
        <v>2.7744291699999999</v>
      </c>
      <c r="L15" s="16">
        <v>1.3328333299999999</v>
      </c>
      <c r="M15" s="1">
        <f t="shared" si="7"/>
        <v>0.39178082191780822</v>
      </c>
      <c r="N15" s="1">
        <f t="shared" si="8"/>
        <v>1.0136986301369864</v>
      </c>
      <c r="O15">
        <f t="shared" si="1"/>
        <v>3.7627512815274633</v>
      </c>
      <c r="P15" s="36">
        <v>3.7627512815274633</v>
      </c>
      <c r="Q15">
        <f t="shared" si="16"/>
        <v>3.7627512815274633</v>
      </c>
      <c r="R15">
        <f t="shared" si="19"/>
        <v>1.4526075262507736</v>
      </c>
      <c r="S15">
        <f t="shared" si="20"/>
        <v>1.2439867512901783</v>
      </c>
      <c r="T15">
        <f t="shared" si="17"/>
        <v>6.4593455590684155</v>
      </c>
      <c r="U15">
        <f t="shared" si="9"/>
        <v>2.1510951027216223E-2</v>
      </c>
      <c r="V15">
        <f t="shared" si="10"/>
        <v>0.25410739667912285</v>
      </c>
      <c r="W15">
        <f t="shared" si="11"/>
        <v>2.9290071095727534E-2</v>
      </c>
      <c r="X15">
        <v>10</v>
      </c>
      <c r="Y15">
        <f t="shared" si="12"/>
        <v>3.0490841880206658</v>
      </c>
      <c r="AA15">
        <f t="shared" si="2"/>
        <v>2002</v>
      </c>
      <c r="AB15" s="4">
        <f t="shared" si="13"/>
        <v>31341.057188874023</v>
      </c>
      <c r="AC15" s="4">
        <f t="shared" si="14"/>
        <v>46754.297453375664</v>
      </c>
      <c r="AD15" s="4">
        <f t="shared" si="3"/>
        <v>78095.354642249687</v>
      </c>
      <c r="AE15" s="4">
        <f t="shared" si="4"/>
        <v>15619.070928449939</v>
      </c>
      <c r="AH15" s="14">
        <f t="shared" si="18"/>
        <v>-6.6691735018335085E-2</v>
      </c>
      <c r="AI15">
        <f t="shared" si="15"/>
        <v>10087.824462119999</v>
      </c>
      <c r="AK15">
        <f t="shared" si="5"/>
        <v>1.2439867512901783</v>
      </c>
      <c r="AL15">
        <f t="shared" si="6"/>
        <v>1.47619047619048</v>
      </c>
    </row>
    <row r="16" spans="1:38" ht="14.4" x14ac:dyDescent="0.3">
      <c r="A16">
        <v>2003</v>
      </c>
      <c r="B16" t="s">
        <v>21</v>
      </c>
      <c r="C16" s="15">
        <v>2.8780487804877999</v>
      </c>
      <c r="D16" s="15">
        <v>2.26829268292683</v>
      </c>
      <c r="E16" s="15">
        <v>0.92682926829268297</v>
      </c>
      <c r="G16" s="50">
        <v>6126</v>
      </c>
      <c r="H16" s="3">
        <v>38037</v>
      </c>
      <c r="I16" s="11">
        <v>37816</v>
      </c>
      <c r="J16" s="16">
        <v>1.87486047</v>
      </c>
      <c r="K16" s="16">
        <v>2.92729412</v>
      </c>
      <c r="L16" s="16">
        <v>1.18673077</v>
      </c>
      <c r="M16" s="1">
        <f t="shared" si="7"/>
        <v>0.39452054794520547</v>
      </c>
      <c r="N16" s="1">
        <f t="shared" si="8"/>
        <v>1.0027397260273974</v>
      </c>
      <c r="O16">
        <f t="shared" si="1"/>
        <v>3.159022414961151</v>
      </c>
      <c r="P16" s="36">
        <v>3.159022414961151</v>
      </c>
      <c r="Q16">
        <f t="shared" si="16"/>
        <v>3.159022414961151</v>
      </c>
      <c r="R16">
        <f t="shared" si="19"/>
        <v>1.7715199236459109</v>
      </c>
      <c r="S16">
        <f t="shared" si="20"/>
        <v>1.4791644006889566</v>
      </c>
      <c r="T16">
        <f t="shared" si="17"/>
        <v>6.4097067392960181</v>
      </c>
      <c r="U16">
        <f t="shared" si="9"/>
        <v>8.6769336073948995E-3</v>
      </c>
      <c r="V16">
        <f t="shared" si="10"/>
        <v>6.110266592817841E-2</v>
      </c>
      <c r="W16">
        <f t="shared" si="11"/>
        <v>0.21852188185598834</v>
      </c>
      <c r="X16">
        <v>10</v>
      </c>
      <c r="Y16">
        <f t="shared" si="12"/>
        <v>2.8830148139156164</v>
      </c>
      <c r="AA16">
        <f t="shared" si="2"/>
        <v>2003</v>
      </c>
      <c r="AB16" s="4">
        <f t="shared" si="13"/>
        <v>23428.106821451507</v>
      </c>
      <c r="AC16" s="4">
        <f t="shared" si="14"/>
        <v>59466.645724354144</v>
      </c>
      <c r="AD16" s="4">
        <f t="shared" si="3"/>
        <v>82894.752545805648</v>
      </c>
      <c r="AE16" s="4">
        <f t="shared" si="4"/>
        <v>16578.950509161132</v>
      </c>
      <c r="AF16" s="4">
        <f>AC16*0.5</f>
        <v>29733.322862177072</v>
      </c>
      <c r="AG16" s="4">
        <f>AF16/K16</f>
        <v>10157.272089275768</v>
      </c>
      <c r="AH16" s="14">
        <f t="shared" si="18"/>
        <v>0.27189689426208347</v>
      </c>
      <c r="AI16">
        <f t="shared" si="15"/>
        <v>17932.60377912</v>
      </c>
      <c r="AK16">
        <f t="shared" si="5"/>
        <v>1.4791644006889566</v>
      </c>
      <c r="AL16">
        <f t="shared" si="6"/>
        <v>0.92682926829268297</v>
      </c>
    </row>
    <row r="17" spans="1:38" ht="14.4" x14ac:dyDescent="0.3">
      <c r="A17">
        <v>2004</v>
      </c>
      <c r="B17" t="s">
        <v>20</v>
      </c>
      <c r="C17" s="15">
        <v>5.0465116279069804</v>
      </c>
      <c r="D17" s="15">
        <v>2.7674418604651199</v>
      </c>
      <c r="E17" s="15">
        <v>1.67441860465116</v>
      </c>
      <c r="G17" s="50">
        <v>7524</v>
      </c>
      <c r="H17" s="3">
        <v>38403</v>
      </c>
      <c r="I17" s="11">
        <v>38180</v>
      </c>
      <c r="J17" s="16">
        <v>2.1764285700000001</v>
      </c>
      <c r="K17" s="16">
        <v>2.7759999999999998</v>
      </c>
      <c r="L17" s="16">
        <v>1.3161739100000001</v>
      </c>
      <c r="M17" s="1">
        <f t="shared" ref="M17:M22" si="21">+(I17-H16)/365</f>
        <v>0.39178082191780822</v>
      </c>
      <c r="N17" s="1">
        <f t="shared" ref="N17:N22" si="22">+(I17-I16)/365</f>
        <v>0.99726027397260275</v>
      </c>
      <c r="O17">
        <f t="shared" si="1"/>
        <v>4.5562846964490866</v>
      </c>
      <c r="P17" s="36">
        <v>4.5562846964490866</v>
      </c>
      <c r="Q17">
        <f t="shared" si="16"/>
        <v>4.5562846964490866</v>
      </c>
      <c r="R17">
        <f t="shared" si="19"/>
        <v>1.4872817065591248</v>
      </c>
      <c r="S17">
        <f t="shared" si="20"/>
        <v>1.5385804002589234</v>
      </c>
      <c r="T17">
        <f t="shared" si="17"/>
        <v>7.5821468032671353</v>
      </c>
      <c r="U17">
        <f t="shared" si="9"/>
        <v>1.0442736005867802E-2</v>
      </c>
      <c r="V17">
        <f t="shared" si="10"/>
        <v>0.38560781651380416</v>
      </c>
      <c r="W17">
        <f t="shared" si="11"/>
        <v>7.1581464777980032E-3</v>
      </c>
      <c r="X17">
        <v>10</v>
      </c>
      <c r="Y17">
        <f t="shared" si="12"/>
        <v>4.0320869899747001</v>
      </c>
      <c r="AA17">
        <f t="shared" si="2"/>
        <v>2004</v>
      </c>
      <c r="AB17" s="4">
        <f t="shared" si="13"/>
        <v>37476.274865588006</v>
      </c>
      <c r="AC17" s="4">
        <f t="shared" si="14"/>
        <v>52492.937855548815</v>
      </c>
      <c r="AD17" s="4">
        <f t="shared" si="3"/>
        <v>89969.212721136821</v>
      </c>
      <c r="AE17" s="4">
        <f t="shared" si="4"/>
        <v>17993.842544227366</v>
      </c>
      <c r="AF17" s="4">
        <f>AC17*0.5</f>
        <v>26246.468927774407</v>
      </c>
      <c r="AG17" s="4">
        <f>AF17/K17</f>
        <v>9454.7798731175826</v>
      </c>
      <c r="AH17" s="14">
        <f t="shared" si="18"/>
        <v>-0.11727091353244593</v>
      </c>
      <c r="AI17">
        <f t="shared" si="15"/>
        <v>20886.624</v>
      </c>
      <c r="AK17">
        <f t="shared" si="5"/>
        <v>1.5385804002589234</v>
      </c>
      <c r="AL17">
        <f t="shared" si="6"/>
        <v>1.67441860465116</v>
      </c>
    </row>
    <row r="18" spans="1:38" ht="14.4" x14ac:dyDescent="0.3">
      <c r="A18">
        <v>2005</v>
      </c>
      <c r="B18" t="s">
        <v>29</v>
      </c>
      <c r="C18" s="15">
        <v>2.7826086956521698</v>
      </c>
      <c r="D18" s="15">
        <v>2.7173913043478302</v>
      </c>
      <c r="E18" s="15">
        <v>0.80434782608695699</v>
      </c>
      <c r="G18" s="50">
        <v>5017</v>
      </c>
      <c r="H18" s="7">
        <v>38768</v>
      </c>
      <c r="I18" s="11">
        <v>38544</v>
      </c>
      <c r="J18" s="16">
        <v>2.4992916699999999</v>
      </c>
      <c r="K18" s="16">
        <v>2.8168000000000002</v>
      </c>
      <c r="L18" s="16">
        <v>1.47205882</v>
      </c>
      <c r="M18" s="1">
        <f t="shared" si="21"/>
        <v>0.38630136986301372</v>
      </c>
      <c r="N18" s="1">
        <f t="shared" si="22"/>
        <v>0.99726027397260275</v>
      </c>
      <c r="O18">
        <f t="shared" ref="O18:O24" si="23">+P18</f>
        <v>3.0135918161876973</v>
      </c>
      <c r="P18" s="36">
        <v>3.0135918161876973</v>
      </c>
      <c r="Q18">
        <f t="shared" si="16"/>
        <v>3.0135918161876973</v>
      </c>
      <c r="R18">
        <f t="shared" si="19"/>
        <v>2.145118960476688</v>
      </c>
      <c r="S18">
        <f t="shared" si="20"/>
        <v>1.1712319447176518</v>
      </c>
      <c r="T18">
        <f t="shared" si="17"/>
        <v>6.3299427213820376</v>
      </c>
      <c r="U18">
        <f t="shared" si="9"/>
        <v>6.3590727349256571E-3</v>
      </c>
      <c r="V18">
        <f t="shared" si="10"/>
        <v>5.592152785996448E-2</v>
      </c>
      <c r="W18">
        <f t="shared" si="11"/>
        <v>0.14121032498741598</v>
      </c>
      <c r="X18">
        <v>10</v>
      </c>
      <c r="Y18">
        <f t="shared" si="12"/>
        <v>2.0349092558230613</v>
      </c>
      <c r="AA18">
        <f t="shared" si="2"/>
        <v>2005</v>
      </c>
      <c r="AB18" s="4">
        <f t="shared" si="13"/>
        <v>27723.105429031879</v>
      </c>
      <c r="AC18" s="4">
        <f t="shared" si="14"/>
        <v>58377.94114518672</v>
      </c>
      <c r="AD18" s="4">
        <f t="shared" si="3"/>
        <v>86101.046574218606</v>
      </c>
      <c r="AE18" s="4">
        <f t="shared" si="4"/>
        <v>17220.209314843723</v>
      </c>
      <c r="AF18" s="4">
        <f>AC18*0.5</f>
        <v>29188.97057259336</v>
      </c>
      <c r="AG18" s="4">
        <f>AF18/K18</f>
        <v>10362.457601744305</v>
      </c>
      <c r="AH18" s="14">
        <f t="shared" si="18"/>
        <v>0.11211038151136411</v>
      </c>
      <c r="AI18">
        <f t="shared" si="15"/>
        <v>14131.885600000001</v>
      </c>
      <c r="AK18">
        <f t="shared" si="5"/>
        <v>1.1712319447176518</v>
      </c>
      <c r="AL18">
        <f t="shared" si="6"/>
        <v>0.80434782608695699</v>
      </c>
    </row>
    <row r="19" spans="1:38" ht="14.4" x14ac:dyDescent="0.3">
      <c r="A19">
        <v>2006</v>
      </c>
      <c r="B19" t="s">
        <v>30</v>
      </c>
      <c r="C19" s="15">
        <v>3.2083333333333299</v>
      </c>
      <c r="D19" s="15">
        <v>2.3333333333333299</v>
      </c>
      <c r="E19" s="15">
        <v>2</v>
      </c>
      <c r="G19" s="50">
        <v>2035</v>
      </c>
      <c r="H19" s="3">
        <v>39125</v>
      </c>
      <c r="I19" s="11">
        <v>38912</v>
      </c>
      <c r="J19" s="16">
        <v>2.25931646</v>
      </c>
      <c r="K19" s="16">
        <v>2.72508163</v>
      </c>
      <c r="L19" s="16">
        <v>1.49856667</v>
      </c>
      <c r="M19" s="1">
        <f t="shared" si="21"/>
        <v>0.39452054794520547</v>
      </c>
      <c r="N19" s="1">
        <f t="shared" si="22"/>
        <v>1.0082191780821919</v>
      </c>
      <c r="O19">
        <f t="shared" si="23"/>
        <v>2.6394821820995138</v>
      </c>
      <c r="P19" s="36">
        <v>2.6394821820995138</v>
      </c>
      <c r="Q19">
        <f t="shared" si="16"/>
        <v>2.6394821820995138</v>
      </c>
      <c r="R19">
        <f t="shared" si="19"/>
        <v>1.4188123382807241</v>
      </c>
      <c r="S19">
        <f t="shared" si="20"/>
        <v>1.7375642998613809</v>
      </c>
      <c r="T19">
        <f t="shared" si="17"/>
        <v>5.7958588202416186</v>
      </c>
      <c r="U19">
        <f t="shared" si="9"/>
        <v>3.8090874830626578E-2</v>
      </c>
      <c r="V19">
        <f t="shared" si="10"/>
        <v>0.24748408212387429</v>
      </c>
      <c r="W19">
        <f t="shared" si="11"/>
        <v>1.9786044592715341E-2</v>
      </c>
      <c r="X19">
        <v>10</v>
      </c>
      <c r="Y19">
        <f t="shared" ref="Y19:Y24" si="24">+SUM(U19:W19)*X19</f>
        <v>3.0536100154721617</v>
      </c>
      <c r="AA19">
        <f t="shared" si="2"/>
        <v>2006</v>
      </c>
      <c r="AB19" s="4">
        <f t="shared" si="13"/>
        <v>24718.783215811778</v>
      </c>
      <c r="AC19" s="4">
        <f t="shared" si="14"/>
        <v>53752.74179469396</v>
      </c>
      <c r="AD19" s="4">
        <f t="shared" si="3"/>
        <v>78471.525010505735</v>
      </c>
      <c r="AE19" s="4">
        <f t="shared" si="4"/>
        <v>15694.305002101148</v>
      </c>
      <c r="AF19" s="4">
        <f>AC19*0.5</f>
        <v>26876.37089734698</v>
      </c>
      <c r="AG19" s="4">
        <f>AF19/K19</f>
        <v>9862.5929592233824</v>
      </c>
      <c r="AH19" s="14">
        <f t="shared" si="18"/>
        <v>-7.9228545230634759E-2</v>
      </c>
      <c r="AI19">
        <f t="shared" si="15"/>
        <v>5545.5411170500001</v>
      </c>
    </row>
    <row r="20" spans="1:38" ht="14.4" x14ac:dyDescent="0.3">
      <c r="A20">
        <v>2007</v>
      </c>
      <c r="B20" t="s">
        <v>31</v>
      </c>
      <c r="C20" s="15">
        <v>2.64</v>
      </c>
      <c r="D20" s="15">
        <v>1.55</v>
      </c>
      <c r="E20" s="15">
        <v>1.86</v>
      </c>
      <c r="G20" s="50">
        <v>2237</v>
      </c>
      <c r="H20" s="3">
        <v>39496</v>
      </c>
      <c r="I20" s="11">
        <v>39255</v>
      </c>
      <c r="J20" s="17">
        <v>1.889</v>
      </c>
      <c r="K20" s="17">
        <v>2.33</v>
      </c>
      <c r="L20" s="17">
        <v>1.33</v>
      </c>
      <c r="M20" s="1">
        <f t="shared" si="21"/>
        <v>0.35616438356164382</v>
      </c>
      <c r="N20" s="1">
        <f t="shared" si="22"/>
        <v>0.9397260273972603</v>
      </c>
      <c r="O20">
        <f t="shared" si="23"/>
        <v>2.6877336568039989</v>
      </c>
      <c r="P20" s="36">
        <v>2.6877336568039989</v>
      </c>
      <c r="Q20">
        <f t="shared" si="16"/>
        <v>2.6877336568039989</v>
      </c>
      <c r="R20">
        <f t="shared" si="19"/>
        <v>1.2426798700868491</v>
      </c>
      <c r="S20">
        <f t="shared" si="20"/>
        <v>2.0883313165000783</v>
      </c>
      <c r="T20">
        <f t="shared" ref="T20:T25" si="25">SUM(Q20:S20)</f>
        <v>6.0187448433909267</v>
      </c>
      <c r="U20">
        <f t="shared" ref="U20:W22" si="26">+(LN(Q20)-LN(C20))^2</f>
        <v>3.2110541899449879E-4</v>
      </c>
      <c r="V20">
        <f t="shared" si="26"/>
        <v>4.8834236645173126E-2</v>
      </c>
      <c r="W20">
        <f t="shared" si="26"/>
        <v>1.3407056902523798E-2</v>
      </c>
      <c r="X20">
        <v>10</v>
      </c>
      <c r="Y20">
        <f t="shared" si="24"/>
        <v>0.62562398966691424</v>
      </c>
      <c r="AA20">
        <f t="shared" si="2"/>
        <v>2007</v>
      </c>
      <c r="AB20" s="4">
        <f t="shared" si="13"/>
        <v>22339.330621690089</v>
      </c>
      <c r="AC20" s="4">
        <f t="shared" si="14"/>
        <v>48502.519308953684</v>
      </c>
      <c r="AD20" s="4">
        <f t="shared" si="3"/>
        <v>70841.849930643773</v>
      </c>
      <c r="AE20" s="4">
        <f t="shared" si="4"/>
        <v>14168.369986128755</v>
      </c>
      <c r="AF20" s="4">
        <f>AC20*0.5</f>
        <v>24251.259654476842</v>
      </c>
      <c r="AG20" s="4">
        <f>AF20/K20</f>
        <v>10408.2659461274</v>
      </c>
      <c r="AH20" s="14">
        <f t="shared" si="18"/>
        <v>-9.7673575532077062E-2</v>
      </c>
      <c r="AI20">
        <f t="shared" si="15"/>
        <v>5212.21</v>
      </c>
    </row>
    <row r="21" spans="1:38" ht="14.4" x14ac:dyDescent="0.3">
      <c r="A21">
        <v>2008</v>
      </c>
      <c r="B21" t="s">
        <v>32</v>
      </c>
      <c r="C21" s="15">
        <v>7.22</v>
      </c>
      <c r="D21" s="15">
        <v>2.13</v>
      </c>
      <c r="E21" s="15">
        <v>1.91</v>
      </c>
      <c r="G21" s="50">
        <v>2367</v>
      </c>
      <c r="H21" s="3">
        <v>39863</v>
      </c>
      <c r="I21" s="11">
        <v>39619</v>
      </c>
      <c r="J21" s="16">
        <v>1.77353753</v>
      </c>
      <c r="K21" s="16">
        <v>2.52184002</v>
      </c>
      <c r="L21" s="16">
        <v>1.35430783</v>
      </c>
      <c r="M21" s="1">
        <f t="shared" si="21"/>
        <v>0.33698630136986302</v>
      </c>
      <c r="N21" s="1">
        <f t="shared" si="22"/>
        <v>0.99726027397260275</v>
      </c>
      <c r="O21">
        <f t="shared" si="23"/>
        <v>4.6029307239313564</v>
      </c>
      <c r="P21" s="36">
        <v>4.6029307239313564</v>
      </c>
      <c r="Q21">
        <f t="shared" si="16"/>
        <v>4.6029307239313564</v>
      </c>
      <c r="R21">
        <f t="shared" si="19"/>
        <v>1.2653968775074387</v>
      </c>
      <c r="S21">
        <f t="shared" si="20"/>
        <v>2.146162592816685</v>
      </c>
      <c r="T21">
        <f t="shared" si="25"/>
        <v>8.0144901942554796</v>
      </c>
      <c r="U21">
        <f t="shared" si="26"/>
        <v>0.20264559070351904</v>
      </c>
      <c r="V21">
        <f t="shared" si="26"/>
        <v>0.27116615831617308</v>
      </c>
      <c r="W21">
        <f t="shared" si="26"/>
        <v>1.3590468509283606E-2</v>
      </c>
      <c r="X21">
        <v>10</v>
      </c>
      <c r="Y21">
        <f t="shared" si="24"/>
        <v>4.874022175289757</v>
      </c>
      <c r="AA21">
        <f t="shared" si="2"/>
        <v>2008</v>
      </c>
      <c r="AB21" s="4">
        <f t="shared" si="13"/>
        <v>38956.875104512168</v>
      </c>
      <c r="AC21" s="4">
        <f t="shared" si="14"/>
        <v>53765.385460675519</v>
      </c>
      <c r="AD21" s="4">
        <f t="shared" si="3"/>
        <v>92722.260565187695</v>
      </c>
      <c r="AE21" s="4">
        <f t="shared" si="4"/>
        <v>18544.45211303754</v>
      </c>
      <c r="AF21" s="4"/>
      <c r="AG21" s="4"/>
      <c r="AH21" s="14">
        <f t="shared" si="18"/>
        <v>0.1085070678122548</v>
      </c>
      <c r="AI21">
        <f t="shared" si="15"/>
        <v>5969.1953273399995</v>
      </c>
    </row>
    <row r="22" spans="1:38" ht="14.4" x14ac:dyDescent="0.3">
      <c r="A22">
        <v>2009</v>
      </c>
      <c r="B22" s="19" t="s">
        <v>33</v>
      </c>
      <c r="C22" s="15">
        <v>4.625</v>
      </c>
      <c r="D22" s="15">
        <v>2.875</v>
      </c>
      <c r="E22" s="15">
        <v>1.4167000000000001</v>
      </c>
      <c r="G22" s="50">
        <v>3580</v>
      </c>
      <c r="H22" s="3">
        <v>40227</v>
      </c>
      <c r="I22" s="11">
        <v>39984</v>
      </c>
      <c r="J22" s="16">
        <v>1.96</v>
      </c>
      <c r="K22" s="16">
        <v>2.56</v>
      </c>
      <c r="L22" s="16">
        <v>1.37</v>
      </c>
      <c r="M22" s="1">
        <f t="shared" si="21"/>
        <v>0.33150684931506852</v>
      </c>
      <c r="N22" s="1">
        <f t="shared" si="22"/>
        <v>1</v>
      </c>
      <c r="O22">
        <f>+P22</f>
        <v>3.1537234584053873</v>
      </c>
      <c r="P22" s="36">
        <v>3.1537234584053873</v>
      </c>
      <c r="Q22">
        <f t="shared" si="16"/>
        <v>3.1537234584053873</v>
      </c>
      <c r="R22">
        <f t="shared" si="19"/>
        <v>2.1670801162536999</v>
      </c>
      <c r="S22">
        <f t="shared" si="20"/>
        <v>2.1844398823611666</v>
      </c>
      <c r="T22">
        <f t="shared" si="25"/>
        <v>7.5052434570202538</v>
      </c>
      <c r="U22">
        <f t="shared" si="26"/>
        <v>0.14660671702976688</v>
      </c>
      <c r="V22">
        <f t="shared" si="26"/>
        <v>7.990344903122143E-2</v>
      </c>
      <c r="W22">
        <f t="shared" si="26"/>
        <v>0.18751431016872414</v>
      </c>
      <c r="X22">
        <v>10</v>
      </c>
      <c r="Y22">
        <f t="shared" si="24"/>
        <v>4.1402447622971241</v>
      </c>
      <c r="AA22">
        <f t="shared" si="2"/>
        <v>2009</v>
      </c>
      <c r="AB22" s="4">
        <f t="shared" si="13"/>
        <v>27000.789353507156</v>
      </c>
      <c r="AC22" s="4">
        <f t="shared" si="14"/>
        <v>69616.668145999574</v>
      </c>
      <c r="AD22" s="4">
        <f t="shared" si="3"/>
        <v>96617.457499506738</v>
      </c>
      <c r="AE22" s="4">
        <f t="shared" ref="AE22:AE28" si="27">+AD22*0.2</f>
        <v>19323.491499901349</v>
      </c>
      <c r="AF22" s="4"/>
      <c r="AG22" s="4"/>
      <c r="AH22" s="14">
        <f t="shared" si="18"/>
        <v>0.29482319431928605</v>
      </c>
      <c r="AI22">
        <f t="shared" si="15"/>
        <v>9164.8000000000011</v>
      </c>
    </row>
    <row r="23" spans="1:38" ht="14.4" x14ac:dyDescent="0.3">
      <c r="A23">
        <v>2010</v>
      </c>
      <c r="B23" s="19" t="s">
        <v>34</v>
      </c>
      <c r="C23" s="15">
        <v>2.3437999999999999</v>
      </c>
      <c r="D23" s="15">
        <v>1.4375</v>
      </c>
      <c r="E23" s="15">
        <v>1.4375</v>
      </c>
      <c r="G23" s="50">
        <v>3976</v>
      </c>
      <c r="H23" s="3">
        <v>40596</v>
      </c>
      <c r="I23" s="11">
        <v>40376</v>
      </c>
      <c r="J23" s="16">
        <v>1.97</v>
      </c>
      <c r="K23" s="16">
        <v>2.52</v>
      </c>
      <c r="L23" s="16">
        <v>1.3</v>
      </c>
      <c r="M23" s="1">
        <f t="shared" ref="M23:M28" si="28">+(I23-H22)/365</f>
        <v>0.40821917808219177</v>
      </c>
      <c r="N23" s="1">
        <f t="shared" ref="N23:N28" si="29">+(I23-I22)/365</f>
        <v>1.0739726027397261</v>
      </c>
      <c r="O23">
        <f>+P23</f>
        <v>1.5560903586579753</v>
      </c>
      <c r="P23" s="36">
        <v>1.5560903586579753</v>
      </c>
      <c r="Q23">
        <f t="shared" si="16"/>
        <v>1.5560903586579753</v>
      </c>
      <c r="R23">
        <f t="shared" si="19"/>
        <v>1.4847869344068556</v>
      </c>
      <c r="S23">
        <f t="shared" si="20"/>
        <v>2.6461013387354324</v>
      </c>
      <c r="T23">
        <f t="shared" si="25"/>
        <v>5.6869786318002635</v>
      </c>
      <c r="U23">
        <f t="shared" ref="U23:W24" si="30">+(LN(Q23)-LN(C23))^2</f>
        <v>0.16776974226711278</v>
      </c>
      <c r="V23">
        <f t="shared" si="30"/>
        <v>1.0475443466180095E-3</v>
      </c>
      <c r="W23">
        <f t="shared" si="30"/>
        <v>0.37232191461316366</v>
      </c>
      <c r="X23">
        <v>10</v>
      </c>
      <c r="Y23">
        <f t="shared" si="24"/>
        <v>5.4113920122689452</v>
      </c>
      <c r="AA23">
        <f t="shared" si="2"/>
        <v>2010</v>
      </c>
      <c r="AB23" s="4">
        <f t="shared" si="13"/>
        <v>12641.844651038735</v>
      </c>
      <c r="AC23" s="4">
        <f t="shared" si="14"/>
        <v>65054.339932937539</v>
      </c>
      <c r="AD23" s="4">
        <f t="shared" si="3"/>
        <v>77696.184583976268</v>
      </c>
      <c r="AE23" s="4">
        <f t="shared" si="27"/>
        <v>15539.236916795255</v>
      </c>
      <c r="AF23" s="4"/>
      <c r="AG23" s="4"/>
      <c r="AH23" s="14">
        <f t="shared" si="18"/>
        <v>-6.5534998076810486E-2</v>
      </c>
      <c r="AI23">
        <f t="shared" ref="AI23:AI26" si="31">G23*K23</f>
        <v>10019.52</v>
      </c>
    </row>
    <row r="24" spans="1:38" ht="14.4" x14ac:dyDescent="0.3">
      <c r="A24">
        <v>2011</v>
      </c>
      <c r="B24" s="19" t="s">
        <v>35</v>
      </c>
      <c r="C24" s="15">
        <v>0.875</v>
      </c>
      <c r="D24" s="15">
        <v>0.45833333329999998</v>
      </c>
      <c r="E24" s="15">
        <v>0.91666666669999997</v>
      </c>
      <c r="G24" s="50">
        <v>4754</v>
      </c>
      <c r="H24" s="34">
        <v>40958</v>
      </c>
      <c r="I24" s="11">
        <v>40747</v>
      </c>
      <c r="J24" s="20">
        <v>2.16</v>
      </c>
      <c r="K24" s="20">
        <v>2.64</v>
      </c>
      <c r="L24" s="20">
        <v>1.41</v>
      </c>
      <c r="M24" s="1">
        <f t="shared" si="28"/>
        <v>0.41369863013698632</v>
      </c>
      <c r="N24" s="1">
        <f t="shared" si="29"/>
        <v>1.0164383561643835</v>
      </c>
      <c r="O24">
        <f t="shared" si="23"/>
        <v>1.7986901360182563</v>
      </c>
      <c r="P24" s="36">
        <v>1.7986901360182563</v>
      </c>
      <c r="Q24">
        <f t="shared" si="16"/>
        <v>1.7986901360182563</v>
      </c>
      <c r="R24">
        <f t="shared" si="19"/>
        <v>0.73261421420255901</v>
      </c>
      <c r="S24">
        <f t="shared" si="20"/>
        <v>2.4832117714787962</v>
      </c>
      <c r="T24">
        <f t="shared" si="25"/>
        <v>5.0145161216996117</v>
      </c>
      <c r="U24">
        <f t="shared" si="30"/>
        <v>0.51925007839822368</v>
      </c>
      <c r="V24">
        <f t="shared" si="30"/>
        <v>0.21998213477564746</v>
      </c>
      <c r="W24">
        <f t="shared" si="30"/>
        <v>0.99314014173104481</v>
      </c>
      <c r="X24">
        <v>10</v>
      </c>
      <c r="Y24">
        <f t="shared" si="24"/>
        <v>17.323723549049159</v>
      </c>
      <c r="AA24">
        <f t="shared" si="2"/>
        <v>2011</v>
      </c>
      <c r="AB24" s="4">
        <f t="shared" si="13"/>
        <v>15849.214776397377</v>
      </c>
      <c r="AC24" s="4">
        <f t="shared" si="14"/>
        <v>53055.297254945159</v>
      </c>
      <c r="AD24" s="4">
        <f t="shared" si="3"/>
        <v>68904.512031342543</v>
      </c>
      <c r="AE24" s="4">
        <f t="shared" si="27"/>
        <v>13780.902406268509</v>
      </c>
      <c r="AF24" s="4"/>
      <c r="AG24" s="4"/>
      <c r="AH24" s="14">
        <f t="shared" si="18"/>
        <v>-0.18444645953462618</v>
      </c>
      <c r="AI24">
        <f t="shared" si="31"/>
        <v>12550.560000000001</v>
      </c>
    </row>
    <row r="25" spans="1:38" ht="14.4" x14ac:dyDescent="0.3">
      <c r="A25">
        <v>2012</v>
      </c>
      <c r="B25" s="22" t="s">
        <v>36</v>
      </c>
      <c r="C25" s="23">
        <v>1.4935064935</v>
      </c>
      <c r="D25" s="23">
        <v>1.2857142856999999</v>
      </c>
      <c r="E25" s="23">
        <v>1.1168831169</v>
      </c>
      <c r="G25" s="50">
        <v>3552</v>
      </c>
      <c r="H25" s="45">
        <v>41325</v>
      </c>
      <c r="I25" s="34">
        <v>41118</v>
      </c>
      <c r="J25" s="23">
        <v>2.0551256131</v>
      </c>
      <c r="K25" s="23">
        <v>2.5176423652</v>
      </c>
      <c r="L25" s="23">
        <v>1.3110769248</v>
      </c>
      <c r="M25" s="1">
        <f t="shared" si="28"/>
        <v>0.43835616438356162</v>
      </c>
      <c r="N25" s="1">
        <f t="shared" si="29"/>
        <v>1.0164383561643835</v>
      </c>
      <c r="O25">
        <f>+P25</f>
        <v>2.1003962040140318</v>
      </c>
      <c r="P25" s="36">
        <v>2.1003962040140318</v>
      </c>
      <c r="Q25">
        <f t="shared" si="16"/>
        <v>2.1003962040140318</v>
      </c>
      <c r="R25">
        <f t="shared" si="19"/>
        <v>0.84683126096184891</v>
      </c>
      <c r="S25">
        <f t="shared" si="20"/>
        <v>1.703640745458012</v>
      </c>
      <c r="T25">
        <f t="shared" si="25"/>
        <v>4.6508682104338925</v>
      </c>
      <c r="U25">
        <f t="shared" ref="U25" si="32">+(LN(Q25)-LN(C25))^2</f>
        <v>0.11628051510300087</v>
      </c>
      <c r="V25">
        <f t="shared" ref="V25" si="33">+(LN(R25)-LN(D25))^2</f>
        <v>0.17436324515380894</v>
      </c>
      <c r="W25">
        <f t="shared" ref="W25" si="34">+(LN(S25)-LN(E25))^2</f>
        <v>0.1782745431204191</v>
      </c>
      <c r="X25">
        <v>10</v>
      </c>
      <c r="Y25">
        <f t="shared" ref="Y25" si="35">+SUM(U25:W25)*X25</f>
        <v>4.6891830337722897</v>
      </c>
      <c r="AA25">
        <f t="shared" si="2"/>
        <v>2012</v>
      </c>
      <c r="AB25" s="4">
        <f t="shared" si="13"/>
        <v>17209.23969237052</v>
      </c>
      <c r="AC25" s="39">
        <f t="shared" si="14"/>
        <v>40127.941727213183</v>
      </c>
      <c r="AD25" s="39">
        <f t="shared" si="3"/>
        <v>57337.181419583707</v>
      </c>
      <c r="AE25" s="4">
        <f t="shared" si="27"/>
        <v>11467.436283916742</v>
      </c>
      <c r="AF25" s="21"/>
      <c r="AH25" s="14">
        <f t="shared" si="18"/>
        <v>-0.24365814907439892</v>
      </c>
      <c r="AI25">
        <f t="shared" si="31"/>
        <v>8942.6656811903995</v>
      </c>
    </row>
    <row r="26" spans="1:38" ht="14.4" x14ac:dyDescent="0.3">
      <c r="A26">
        <v>2013</v>
      </c>
      <c r="B26" s="43" t="s">
        <v>62</v>
      </c>
      <c r="C26" s="49">
        <v>4.3580246913999998</v>
      </c>
      <c r="D26" s="49">
        <v>0.95061728400000001</v>
      </c>
      <c r="E26" s="49">
        <v>1.5925925926</v>
      </c>
      <c r="G26" s="56">
        <v>5507</v>
      </c>
      <c r="H26" s="34">
        <v>41683</v>
      </c>
      <c r="I26" s="45">
        <v>41485</v>
      </c>
      <c r="J26" s="44">
        <v>1.7032644519</v>
      </c>
      <c r="K26" s="44">
        <v>2.6117543237</v>
      </c>
      <c r="L26" s="49">
        <v>1.1730975578</v>
      </c>
      <c r="M26" s="1">
        <f t="shared" si="28"/>
        <v>0.43835616438356162</v>
      </c>
      <c r="N26" s="1">
        <f t="shared" si="29"/>
        <v>1.0054794520547945</v>
      </c>
      <c r="O26">
        <f>+P26</f>
        <v>9.0235590560125427</v>
      </c>
      <c r="P26" s="36">
        <v>9.0235590560125427</v>
      </c>
      <c r="Q26">
        <f t="shared" si="16"/>
        <v>9.0235590560125427</v>
      </c>
      <c r="R26">
        <f t="shared" si="19"/>
        <v>0.98887581042843398</v>
      </c>
      <c r="S26">
        <f t="shared" si="20"/>
        <v>1.3879902092941685</v>
      </c>
      <c r="T26">
        <f t="shared" ref="T26" si="36">SUM(Q26:S26)</f>
        <v>11.400425075735145</v>
      </c>
      <c r="U26">
        <f t="shared" ref="U26" si="37">+(LN(Q26)-LN(C26))^2</f>
        <v>0.52972184732836902</v>
      </c>
      <c r="V26">
        <f t="shared" ref="V26" si="38">+(LN(R26)-LN(D26))^2</f>
        <v>1.5568711583392716E-3</v>
      </c>
      <c r="W26">
        <f t="shared" ref="W26" si="39">+(LN(S26)-LN(E26))^2</f>
        <v>1.890802144211106E-2</v>
      </c>
      <c r="X26">
        <v>10</v>
      </c>
      <c r="Y26">
        <f t="shared" ref="Y26" si="40">+SUM(U26:W26)*X26</f>
        <v>5.5018673992881926</v>
      </c>
      <c r="AA26">
        <f t="shared" si="2"/>
        <v>2013</v>
      </c>
      <c r="AB26" s="4">
        <f t="shared" ref="AB26" si="41">+(Q26/O$2)*L26</f>
        <v>66152.198281627017</v>
      </c>
      <c r="AC26" s="39">
        <f t="shared" ref="AC26" si="42">+((R26+S26)/O$2)*K26</f>
        <v>38794.424106981438</v>
      </c>
      <c r="AD26" s="39">
        <f t="shared" ref="AD26" si="43">+AC26+AB26</f>
        <v>104946.62238860846</v>
      </c>
      <c r="AE26" s="4">
        <f t="shared" si="27"/>
        <v>20989.324477721693</v>
      </c>
      <c r="AH26" s="14">
        <f t="shared" si="18"/>
        <v>-3.3231647645844901E-2</v>
      </c>
      <c r="AI26">
        <f t="shared" si="31"/>
        <v>14382.9310606159</v>
      </c>
    </row>
    <row r="27" spans="1:38" ht="14.4" x14ac:dyDescent="0.3">
      <c r="A27">
        <v>2014</v>
      </c>
      <c r="B27" s="43" t="s">
        <v>68</v>
      </c>
      <c r="C27" s="53">
        <v>4.9876543209999999</v>
      </c>
      <c r="D27" s="53">
        <v>5.3086419752999996</v>
      </c>
      <c r="E27" s="53">
        <v>1.4814814814999999</v>
      </c>
      <c r="G27" s="57">
        <v>7846</v>
      </c>
      <c r="H27" s="3">
        <v>42052</v>
      </c>
      <c r="I27" s="34">
        <v>41846</v>
      </c>
      <c r="J27" s="53">
        <v>1.8481824032</v>
      </c>
      <c r="K27" s="53">
        <v>2.3344275862999999</v>
      </c>
      <c r="L27" s="53">
        <v>1.2745650389000001</v>
      </c>
      <c r="M27" s="1">
        <f t="shared" si="28"/>
        <v>0.44657534246575342</v>
      </c>
      <c r="N27" s="1">
        <f t="shared" si="29"/>
        <v>0.989041095890411</v>
      </c>
      <c r="O27">
        <f>+P27</f>
        <v>8.7551864473794776</v>
      </c>
      <c r="P27" s="36">
        <v>8.7551864473794776</v>
      </c>
      <c r="Q27">
        <f t="shared" ref="Q27" si="44">+O27</f>
        <v>8.7551864473794776</v>
      </c>
      <c r="R27">
        <f>+Q26*O$3</f>
        <v>4.2483314611835139</v>
      </c>
      <c r="S27">
        <f t="shared" ref="S27" si="45">+(R26+S26)*EXP(P$6*N27)-O$2*G26*EXP(M27*P$6)</f>
        <v>0.99589958320169825</v>
      </c>
      <c r="T27">
        <f t="shared" ref="T27" si="46">SUM(Q27:S27)</f>
        <v>13.999417491764689</v>
      </c>
      <c r="U27">
        <f t="shared" ref="U27" si="47">+(LN(Q27)-LN(C27))^2</f>
        <v>0.31660938820702084</v>
      </c>
      <c r="V27">
        <f t="shared" ref="V27" si="48">+(LN(R27)-LN(D27))^2</f>
        <v>4.9644182704179134E-2</v>
      </c>
      <c r="W27">
        <f t="shared" ref="W27" si="49">+(LN(S27)-LN(E27))^2</f>
        <v>0.15772926206913529</v>
      </c>
      <c r="X27">
        <v>10</v>
      </c>
      <c r="Y27">
        <f t="shared" ref="Y27" si="50">+SUM(U27:W27)*X27</f>
        <v>5.2398283298033537</v>
      </c>
      <c r="AA27">
        <f t="shared" si="2"/>
        <v>2014</v>
      </c>
      <c r="AB27" s="4">
        <f t="shared" ref="AB27" si="51">+(Q27/O$2)*L27</f>
        <v>69736.425973131147</v>
      </c>
      <c r="AC27" s="39">
        <f t="shared" ref="AC27" si="52">+((R27+S27)/O$2)*K27</f>
        <v>76505.826073102609</v>
      </c>
      <c r="AD27" s="39">
        <f t="shared" ref="AD27" si="53">+AC27+AB27</f>
        <v>146242.25204623374</v>
      </c>
      <c r="AE27" s="4">
        <f t="shared" si="27"/>
        <v>29248.45040924675</v>
      </c>
      <c r="AF27" s="9"/>
    </row>
    <row r="28" spans="1:38" ht="14.4" x14ac:dyDescent="0.3">
      <c r="A28">
        <v>2015</v>
      </c>
      <c r="B28" s="43" t="s">
        <v>69</v>
      </c>
      <c r="C28">
        <v>6.6862745097999996</v>
      </c>
      <c r="D28">
        <v>2.1568627451000002</v>
      </c>
      <c r="E28">
        <v>1.9215686274999999</v>
      </c>
      <c r="G28" s="50">
        <v>25282</v>
      </c>
      <c r="H28" s="3">
        <v>42424</v>
      </c>
      <c r="I28" s="3">
        <v>42209</v>
      </c>
      <c r="J28" s="53">
        <v>1.6179237145000001</v>
      </c>
      <c r="K28" s="53">
        <v>2.3011560359000001</v>
      </c>
      <c r="L28" s="53">
        <v>1.2011720346000001</v>
      </c>
      <c r="M28" s="1">
        <f t="shared" si="28"/>
        <v>0.43013698630136987</v>
      </c>
      <c r="N28" s="1">
        <f t="shared" si="29"/>
        <v>0.9945205479452055</v>
      </c>
      <c r="O28">
        <f>+P28</f>
        <v>13.391066808424982</v>
      </c>
      <c r="P28" s="36">
        <v>13.391066808424982</v>
      </c>
      <c r="Q28">
        <f t="shared" ref="Q28" si="54">+O28</f>
        <v>13.391066808424982</v>
      </c>
      <c r="R28">
        <f>+Q27*O$3</f>
        <v>4.121980451620824</v>
      </c>
      <c r="S28">
        <f t="shared" ref="S28" si="55">+(R27+S27)*EXP(P$6*N28)-O$2*G27*EXP(M28*P$6)</f>
        <v>2.7879088114709356</v>
      </c>
      <c r="T28">
        <f t="shared" ref="T28" si="56">SUM(Q28:S28)</f>
        <v>20.30095607151674</v>
      </c>
      <c r="U28">
        <f>+(LN(Q28)-LN(C28))^2</f>
        <v>0.48237328773127658</v>
      </c>
      <c r="V28">
        <f t="shared" ref="V28" si="57">+(LN(R28)-LN(D28))^2</f>
        <v>0.41948809602813586</v>
      </c>
      <c r="W28">
        <f t="shared" ref="W28" si="58">+(LN(S28)-LN(E28))^2</f>
        <v>0.13849557701194623</v>
      </c>
      <c r="X28">
        <v>10</v>
      </c>
      <c r="Y28">
        <f t="shared" ref="Y28" si="59">+SUM(U28:W28)*X28</f>
        <v>10.403569607713587</v>
      </c>
      <c r="AA28">
        <f t="shared" si="2"/>
        <v>2015</v>
      </c>
      <c r="AB28" s="4">
        <f t="shared" ref="AB28" si="60">+(Q28/O$2)*L28</f>
        <v>100520.04498426903</v>
      </c>
      <c r="AC28" s="39">
        <f t="shared" ref="AC28" si="61">+((R28+S28)/O$2)*K28</f>
        <v>99368.661671071648</v>
      </c>
      <c r="AD28" s="39">
        <f t="shared" ref="AD28" si="62">+AC28+AB28</f>
        <v>199888.70665534068</v>
      </c>
      <c r="AE28" s="4">
        <f t="shared" si="27"/>
        <v>39977.741331068137</v>
      </c>
      <c r="AF28" s="9"/>
    </row>
    <row r="29" spans="1:38" ht="14.4" x14ac:dyDescent="0.3">
      <c r="A29">
        <v>2016</v>
      </c>
      <c r="B29" s="43" t="s">
        <v>70</v>
      </c>
      <c r="C29" s="59">
        <v>6.4705882352941204</v>
      </c>
      <c r="D29">
        <v>5.0588240000000004</v>
      </c>
      <c r="E29">
        <v>2.2745099999999998</v>
      </c>
      <c r="G29" s="67">
        <v>25780</v>
      </c>
      <c r="H29" s="3">
        <v>42790</v>
      </c>
      <c r="I29" s="3">
        <v>42573</v>
      </c>
      <c r="J29" s="60">
        <v>1.8205790005114599</v>
      </c>
      <c r="K29" s="60">
        <v>2.3095019479787302</v>
      </c>
      <c r="L29" s="60">
        <v>1.27531813300071</v>
      </c>
      <c r="M29" s="1">
        <f t="shared" ref="M29" si="63">+(I29-H28)/365</f>
        <v>0.40821917808219177</v>
      </c>
      <c r="N29" s="1">
        <f t="shared" ref="N29" si="64">+(I29-I28)/365</f>
        <v>0.99726027397260275</v>
      </c>
      <c r="O29">
        <f>+P29</f>
        <v>6.7294674615742371</v>
      </c>
      <c r="P29" s="36">
        <v>6.7294674615742371</v>
      </c>
      <c r="Q29">
        <f t="shared" ref="Q29" si="65">+O29</f>
        <v>6.7294674615742371</v>
      </c>
      <c r="R29">
        <f>+Q28*O$3</f>
        <v>6.3045734025684288</v>
      </c>
      <c r="S29">
        <f t="shared" ref="S29" si="66">+(R28+S28)*EXP(P$6*N29)-O$2*G28*EXP(M29*P$6)</f>
        <v>1.5439234941979638</v>
      </c>
      <c r="T29">
        <f t="shared" ref="T29" si="67">SUM(Q29:S29)</f>
        <v>14.57796435834063</v>
      </c>
      <c r="U29">
        <f>+(LN(Q29)-LN(C29))^2</f>
        <v>1.5389136369283894E-3</v>
      </c>
      <c r="V29">
        <f t="shared" ref="V29" si="68">+(LN(R29)-LN(D29))^2</f>
        <v>4.8462175115114102E-2</v>
      </c>
      <c r="W29">
        <f t="shared" ref="W29" si="69">+(LN(S29)-LN(E29))^2</f>
        <v>0.15010800594377863</v>
      </c>
      <c r="X29">
        <v>10</v>
      </c>
      <c r="Y29">
        <f t="shared" ref="Y29" si="70">+SUM(U29:W29)*X29</f>
        <v>2.001090946958211</v>
      </c>
      <c r="AA29">
        <f t="shared" si="2"/>
        <v>2016</v>
      </c>
      <c r="AB29" s="4">
        <f t="shared" ref="AB29" si="71">+(Q29/O$2)*L29</f>
        <v>53632.929246380692</v>
      </c>
      <c r="AC29" s="39">
        <f t="shared" ref="AC29" si="72">+((R29+S29)/O$2)*K29</f>
        <v>113275.79237702116</v>
      </c>
      <c r="AD29" s="39">
        <f t="shared" ref="AD29" si="73">+AC29+AB29</f>
        <v>166908.72162340186</v>
      </c>
      <c r="AE29" s="4">
        <f t="shared" ref="AE29" si="74">+AD29*0.2</f>
        <v>33381.744324680374</v>
      </c>
      <c r="AF29" s="9"/>
    </row>
    <row r="30" spans="1:38" ht="14.4" x14ac:dyDescent="0.3">
      <c r="A30">
        <v>2017</v>
      </c>
      <c r="B30" s="43" t="s">
        <v>78</v>
      </c>
      <c r="C30" s="63">
        <v>7.6153846153846096</v>
      </c>
      <c r="D30" s="64">
        <v>3.4423076923076898</v>
      </c>
      <c r="E30" s="65">
        <v>3.3846153846153801</v>
      </c>
      <c r="G30" s="68">
        <v>19932</v>
      </c>
      <c r="H30" s="3">
        <v>43146</v>
      </c>
      <c r="I30" s="3">
        <v>42944</v>
      </c>
      <c r="J30" s="66">
        <v>1.85725245544208</v>
      </c>
      <c r="K30" s="66">
        <v>2.4406189121995201</v>
      </c>
      <c r="L30" s="66">
        <v>1.3342850510256901</v>
      </c>
      <c r="M30" s="1">
        <f t="shared" ref="M30" si="75">+(I30-H29)/365</f>
        <v>0.42191780821917807</v>
      </c>
      <c r="N30" s="1">
        <f t="shared" ref="N30" si="76">+(I30-I29)/365</f>
        <v>1.0164383561643835</v>
      </c>
      <c r="O30">
        <f t="shared" ref="O30" si="77">+P30</f>
        <v>2.6592688453038731</v>
      </c>
      <c r="P30" s="36">
        <v>2.6592688453038731</v>
      </c>
      <c r="Q30">
        <f t="shared" ref="Q30" si="78">+O30</f>
        <v>2.6592688453038731</v>
      </c>
      <c r="R30">
        <f t="shared" ref="R30" si="79">+Q29*O$3</f>
        <v>3.1682630053789334</v>
      </c>
      <c r="S30">
        <f t="shared" ref="S30" si="80">+(R29+S29)*EXP(P$6*N30)-O$2*G29*EXP(M30*P$6)</f>
        <v>2.1509140166518628</v>
      </c>
      <c r="T30">
        <f t="shared" ref="T30" si="81">SUM(Q30:S30)</f>
        <v>7.9784458673346688</v>
      </c>
      <c r="U30">
        <f t="shared" ref="U30" si="82">+(LN(Q30)-LN(C30))^2</f>
        <v>1.1069549748229581</v>
      </c>
      <c r="V30">
        <f t="shared" ref="V30" si="83">+(LN(R30)-LN(D30))^2</f>
        <v>6.8821288789917608E-3</v>
      </c>
      <c r="W30">
        <f>+(LN(S30)-LN(E30))^2</f>
        <v>0.20552386566037564</v>
      </c>
      <c r="X30">
        <v>10</v>
      </c>
      <c r="Y30">
        <f t="shared" ref="Y30" si="84">+SUM(U30:W30)*X30</f>
        <v>13.193609693623255</v>
      </c>
      <c r="AA30">
        <f t="shared" si="2"/>
        <v>2017</v>
      </c>
      <c r="AB30" s="4">
        <f t="shared" ref="AB30" si="85">+(Q30/O$2)*L30</f>
        <v>22173.954445049847</v>
      </c>
      <c r="AC30" s="39">
        <f t="shared" ref="AC30" si="86">+((R30+S30)/O$2)*K30</f>
        <v>81129.10802542248</v>
      </c>
      <c r="AD30" s="39">
        <f t="shared" ref="AD30" si="87">+AC30+AB30</f>
        <v>103303.06247047233</v>
      </c>
      <c r="AE30" s="4">
        <f t="shared" ref="AE30" si="88">+AD30*0.2</f>
        <v>20660.612494094468</v>
      </c>
    </row>
    <row r="31" spans="1:38" ht="14.4" x14ac:dyDescent="0.3">
      <c r="A31">
        <v>2018</v>
      </c>
      <c r="B31" s="43" t="s">
        <v>79</v>
      </c>
      <c r="C31">
        <v>3.52</v>
      </c>
      <c r="D31">
        <v>0.44</v>
      </c>
      <c r="E31">
        <v>1.1200000000000001</v>
      </c>
      <c r="G31" s="68">
        <v>9416</v>
      </c>
      <c r="H31" s="3">
        <v>43516</v>
      </c>
      <c r="I31" s="3">
        <v>43323</v>
      </c>
      <c r="J31">
        <v>1.71946626778259</v>
      </c>
      <c r="K31">
        <v>2.3703231818822701</v>
      </c>
      <c r="L31">
        <v>1.4310183172156901</v>
      </c>
      <c r="M31" s="1">
        <f t="shared" ref="M31" si="89">+(I31-H30)/365</f>
        <v>0.48493150684931507</v>
      </c>
      <c r="N31" s="1">
        <f t="shared" ref="N31" si="90">+(I31-I30)/365</f>
        <v>1.0383561643835617</v>
      </c>
      <c r="O31">
        <f t="shared" ref="O31" si="91">+P31</f>
        <v>2.6002119200396856</v>
      </c>
      <c r="P31" s="36">
        <v>2.6002119200396856</v>
      </c>
      <c r="Q31">
        <f t="shared" ref="Q31" si="92">+O31</f>
        <v>2.6002119200396856</v>
      </c>
      <c r="R31">
        <f t="shared" ref="R31" si="93">+Q30*O$3</f>
        <v>1.2519955185223641</v>
      </c>
      <c r="S31">
        <f t="shared" ref="S31" si="94">+(R30+S30)*EXP(P$6*N31)-O$2*G30*EXP(M31*P$6)</f>
        <v>1.1378192639218145</v>
      </c>
      <c r="T31">
        <f t="shared" ref="T31" si="95">SUM(Q31:S31)</f>
        <v>4.9900267024838643</v>
      </c>
      <c r="U31">
        <f t="shared" ref="U31" si="96">+(LN(Q31)-LN(C31))^2</f>
        <v>9.1729049772511465E-2</v>
      </c>
      <c r="V31">
        <f t="shared" ref="V31" si="97">+(LN(R31)-LN(D31))^2</f>
        <v>1.0935287399622533</v>
      </c>
      <c r="W31">
        <f>+(LN(S31)-LN(E31))^2</f>
        <v>2.491605024868025E-4</v>
      </c>
      <c r="X31">
        <v>10</v>
      </c>
      <c r="Y31">
        <f t="shared" ref="Y31" si="98">+SUM(U31:W31)*X31</f>
        <v>11.855069502372515</v>
      </c>
      <c r="AA31">
        <f t="shared" si="2"/>
        <v>2018</v>
      </c>
      <c r="AB31" s="4">
        <f t="shared" ref="AB31" si="99">+(Q31/O$2)*L31</f>
        <v>23253.387170958362</v>
      </c>
      <c r="AC31" s="39">
        <f t="shared" ref="AC31" si="100">+((R31+S31)/O$2)*K31</f>
        <v>35400.067664601484</v>
      </c>
      <c r="AD31" s="39">
        <f t="shared" ref="AD31" si="101">+AC31+AB31</f>
        <v>58653.454835559845</v>
      </c>
      <c r="AE31" s="4">
        <f t="shared" ref="AE31" si="102">+AD31*0.2</f>
        <v>11730.69096711197</v>
      </c>
    </row>
    <row r="32" spans="1:38" ht="14.4" x14ac:dyDescent="0.3">
      <c r="A32">
        <v>2019</v>
      </c>
      <c r="B32" s="43" t="s">
        <v>81</v>
      </c>
      <c r="C32" s="71">
        <v>0.80769199999999997</v>
      </c>
      <c r="D32" s="71">
        <v>0.42307699999999998</v>
      </c>
      <c r="E32" s="71">
        <v>0.34615400000000002</v>
      </c>
      <c r="G32" s="68">
        <v>5212</v>
      </c>
      <c r="H32" s="3">
        <v>43880</v>
      </c>
      <c r="I32" s="3">
        <v>43687</v>
      </c>
      <c r="J32">
        <v>1.8140000000000001</v>
      </c>
      <c r="K32">
        <v>2.298</v>
      </c>
      <c r="L32">
        <v>1.353</v>
      </c>
      <c r="M32" s="1">
        <f t="shared" ref="M32" si="103">+(I32-H31)/365</f>
        <v>0.46849315068493153</v>
      </c>
      <c r="N32" s="1">
        <f t="shared" ref="N32" si="104">+(I32-I31)/365</f>
        <v>0.99726027397260275</v>
      </c>
      <c r="O32">
        <f t="shared" ref="O32" si="105">+P32</f>
        <v>2.5629034524503469</v>
      </c>
      <c r="P32" s="36">
        <v>2.5629034524503469</v>
      </c>
      <c r="Q32">
        <f t="shared" ref="Q32" si="106">+O32</f>
        <v>2.5629034524503469</v>
      </c>
      <c r="R32">
        <f t="shared" ref="R32" si="107">+Q31*O$3</f>
        <v>1.2241912572499303</v>
      </c>
      <c r="S32">
        <f t="shared" ref="S32" si="108">+(R31+S31)*EXP(P$6*N32)-O$2*G31*EXP(M32*P$6)</f>
        <v>0.46270731798149267</v>
      </c>
      <c r="T32">
        <f t="shared" ref="T32" si="109">SUM(Q32:S32)</f>
        <v>4.2498020276817696</v>
      </c>
      <c r="U32">
        <f t="shared" ref="U32" si="110">+(LN(Q32)-LN(C32))^2</f>
        <v>1.3333673274750208</v>
      </c>
      <c r="V32">
        <f t="shared" ref="V32" si="111">+(LN(R32)-LN(D32))^2</f>
        <v>1.1288669616663602</v>
      </c>
      <c r="W32">
        <f>+(LN(S32)-LN(E32))^2</f>
        <v>8.4222394844070403E-2</v>
      </c>
      <c r="X32">
        <v>10</v>
      </c>
      <c r="Y32">
        <f t="shared" ref="Y32" si="112">+SUM(U32:W32)*X32</f>
        <v>25.464566839854513</v>
      </c>
      <c r="AA32">
        <f t="shared" si="2"/>
        <v>2019</v>
      </c>
      <c r="AB32" s="4">
        <f t="shared" ref="AB32" si="113">+(Q32/O$2)*L32</f>
        <v>21670.170469218519</v>
      </c>
      <c r="AC32" s="39">
        <f t="shared" ref="AC32" si="114">+((R32+S32)/O$2)*K32</f>
        <v>24225.418079247556</v>
      </c>
      <c r="AD32" s="39">
        <f t="shared" ref="AD32" si="115">+AC32+AB32</f>
        <v>45895.588548466076</v>
      </c>
      <c r="AE32" s="4">
        <f t="shared" ref="AE32" si="116">+AD32*0.2</f>
        <v>9179.1177096932151</v>
      </c>
      <c r="AF32" s="12"/>
    </row>
    <row r="33" spans="1:32" ht="14.4" x14ac:dyDescent="0.3">
      <c r="A33">
        <v>2020</v>
      </c>
      <c r="B33" s="43" t="s">
        <v>82</v>
      </c>
      <c r="C33" s="71">
        <v>3.3461539999999999</v>
      </c>
      <c r="D33" s="33">
        <v>1.730769</v>
      </c>
      <c r="E33" s="33">
        <v>0.57692299999999996</v>
      </c>
      <c r="G33" s="68">
        <v>5410</v>
      </c>
      <c r="H33" s="3">
        <v>44248</v>
      </c>
      <c r="I33" s="73">
        <v>44054</v>
      </c>
      <c r="J33">
        <v>1.9590000000000001</v>
      </c>
      <c r="K33">
        <v>2.649</v>
      </c>
      <c r="L33">
        <v>1.4830000000000001</v>
      </c>
      <c r="M33" s="1">
        <f t="shared" ref="M33" si="117">+(I33-H32)/365</f>
        <v>0.47671232876712327</v>
      </c>
      <c r="N33" s="1">
        <f t="shared" ref="N33" si="118">+(I33-I32)/365</f>
        <v>1.0054794520547945</v>
      </c>
      <c r="O33">
        <f t="shared" ref="O33" si="119">+P33</f>
        <v>3.4739469704471797</v>
      </c>
      <c r="P33" s="36">
        <v>3.4739469704471797</v>
      </c>
      <c r="Q33">
        <f t="shared" ref="Q33" si="120">+O33</f>
        <v>3.4739469704471797</v>
      </c>
      <c r="R33">
        <f t="shared" ref="R33" si="121">+Q32*O$3</f>
        <v>1.2066262659150839</v>
      </c>
      <c r="S33">
        <f t="shared" ref="S33" si="122">+(R32+S32)*EXP(P$6*N33)-O$2*G32*EXP(M33*P$6)</f>
        <v>0.52475951468064652</v>
      </c>
      <c r="T33">
        <f t="shared" ref="T33" si="123">SUM(Q33:S33)</f>
        <v>5.2053327510429099</v>
      </c>
      <c r="U33">
        <f t="shared" ref="U33" si="124">+(LN(Q33)-LN(C33))^2</f>
        <v>1.4047336387396294E-3</v>
      </c>
      <c r="V33">
        <f t="shared" ref="V33" si="125">+(LN(R33)-LN(D33))^2</f>
        <v>0.13013158942575545</v>
      </c>
      <c r="W33">
        <f>+(LN(S33)-LN(E33))^2</f>
        <v>8.9811099791651181E-3</v>
      </c>
      <c r="X33">
        <v>10</v>
      </c>
      <c r="Y33">
        <f t="shared" ref="Y33" si="126">+SUM(U33:W33)*X33</f>
        <v>1.4051743304366022</v>
      </c>
      <c r="AA33">
        <f t="shared" si="2"/>
        <v>2020</v>
      </c>
      <c r="AB33" s="4">
        <f t="shared" ref="AB33" si="127">+(Q33/O$2)*L33</f>
        <v>32195.607241121299</v>
      </c>
      <c r="AC33" s="39">
        <f t="shared" ref="AC33" si="128">+((R33+S33)/O$2)*K33</f>
        <v>28662.105469348524</v>
      </c>
      <c r="AD33" s="39">
        <f t="shared" ref="AD33" si="129">+AC33+AB33</f>
        <v>60857.712710469823</v>
      </c>
      <c r="AE33" s="4">
        <f t="shared" ref="AE33" si="130">+AD33*0.2</f>
        <v>12171.542542093965</v>
      </c>
      <c r="AF33" s="6"/>
    </row>
    <row r="34" spans="1:32" x14ac:dyDescent="0.25">
      <c r="A34">
        <v>2021</v>
      </c>
      <c r="B34" s="43" t="s">
        <v>83</v>
      </c>
      <c r="C34">
        <v>2.3207550000000001</v>
      </c>
      <c r="D34">
        <v>1.698113</v>
      </c>
      <c r="E34">
        <v>0.84905699999999995</v>
      </c>
      <c r="H34" s="3"/>
      <c r="I34" s="3">
        <v>44420</v>
      </c>
      <c r="J34">
        <v>2.1480000000000001</v>
      </c>
      <c r="K34">
        <v>2.8029999999999999</v>
      </c>
      <c r="L34">
        <v>1.4279999999999999</v>
      </c>
      <c r="M34" s="1">
        <f t="shared" ref="M34" si="131">+(I34-H33)/365</f>
        <v>0.47123287671232877</v>
      </c>
      <c r="N34" s="1">
        <f t="shared" ref="N34" si="132">+(I34-I33)/365</f>
        <v>1.0027397260273974</v>
      </c>
      <c r="O34">
        <f t="shared" ref="O34" si="133">+P34</f>
        <v>2.3207366774835689</v>
      </c>
      <c r="P34" s="36">
        <v>2.3207366774835689</v>
      </c>
      <c r="Q34">
        <f t="shared" ref="Q34" si="134">+O34</f>
        <v>2.3207366774835689</v>
      </c>
      <c r="R34">
        <f t="shared" ref="R34" si="135">+Q33*O$3</f>
        <v>1.6355495783229896</v>
      </c>
      <c r="S34">
        <f t="shared" ref="S34" si="136">+(R33+S33)*EXP(P$6*N34)-O$2*G33*EXP(M34*P$6)</f>
        <v>0.53001939150398258</v>
      </c>
      <c r="T34">
        <f t="shared" ref="T34" si="137">SUM(Q34:S34)</f>
        <v>4.4863056473105409</v>
      </c>
      <c r="U34">
        <f t="shared" ref="U34" si="138">+(LN(Q34)-LN(C34))^2</f>
        <v>6.2332576521768722E-11</v>
      </c>
      <c r="V34">
        <f t="shared" ref="V34" si="139">+(LN(R34)-LN(D34))^2</f>
        <v>1.4091579885097526E-3</v>
      </c>
      <c r="W34">
        <f>+(LN(S34)-LN(E34))^2</f>
        <v>0.22204143526167661</v>
      </c>
      <c r="X34">
        <v>10</v>
      </c>
      <c r="Y34">
        <f t="shared" ref="Y34" si="140">+SUM(U34:W34)*X34</f>
        <v>2.2345059331251891</v>
      </c>
      <c r="AA34">
        <f t="shared" si="2"/>
        <v>2021</v>
      </c>
      <c r="AB34" s="4">
        <f t="shared" ref="AB34" si="141">+(Q34/O$2)*L34</f>
        <v>20710.298499142209</v>
      </c>
      <c r="AC34" s="39">
        <f t="shared" ref="AC34" si="142">+((R34+S34)/O$2)*K34</f>
        <v>37933.891932327148</v>
      </c>
      <c r="AD34" s="39">
        <f t="shared" ref="AD34" si="143">+AC34+AB34</f>
        <v>58644.190431469353</v>
      </c>
      <c r="AE34" s="4">
        <f t="shared" ref="AE34" si="144">+AD34*0.2</f>
        <v>11728.838086293872</v>
      </c>
      <c r="AF34" s="6"/>
    </row>
    <row r="35" spans="1:32" x14ac:dyDescent="0.25">
      <c r="H35" s="3"/>
      <c r="I35" s="3"/>
      <c r="AB35" s="13"/>
      <c r="AD35" s="18"/>
      <c r="AE35" s="18"/>
      <c r="AF35" s="6"/>
    </row>
    <row r="36" spans="1:32" x14ac:dyDescent="0.25">
      <c r="H36" s="3"/>
      <c r="I36" s="3"/>
      <c r="AB36" s="13"/>
      <c r="AC36" s="14"/>
      <c r="AD36" s="18"/>
      <c r="AE36" s="18"/>
      <c r="AF36" s="6"/>
    </row>
    <row r="37" spans="1:32" x14ac:dyDescent="0.25">
      <c r="H37" s="3"/>
      <c r="I37" s="3"/>
    </row>
    <row r="38" spans="1:32" x14ac:dyDescent="0.25">
      <c r="H38" s="3"/>
      <c r="I38" s="3"/>
      <c r="AA38">
        <v>2011</v>
      </c>
      <c r="AB38" s="4">
        <v>7597.5411433206955</v>
      </c>
      <c r="AC38" s="4">
        <v>23269.97221084237</v>
      </c>
      <c r="AD38" s="4">
        <v>30867.513354163064</v>
      </c>
      <c r="AE38" s="4">
        <v>6173.5026708326131</v>
      </c>
    </row>
    <row r="39" spans="1:32" x14ac:dyDescent="0.25">
      <c r="H39" s="3"/>
      <c r="I39" s="3"/>
      <c r="AA39">
        <v>2012</v>
      </c>
      <c r="AB39" s="4">
        <v>7017.3466584634416</v>
      </c>
      <c r="AC39" s="39">
        <v>16472.327211759577</v>
      </c>
      <c r="AD39" s="39">
        <v>23489.673870223018</v>
      </c>
      <c r="AE39" s="4">
        <v>4697.9347740446037</v>
      </c>
    </row>
    <row r="40" spans="1:32" x14ac:dyDescent="0.25">
      <c r="H40" s="3"/>
      <c r="I40" s="3"/>
      <c r="AB40" s="12"/>
      <c r="AD40" s="12"/>
      <c r="AE40" s="12"/>
    </row>
    <row r="41" spans="1:32" x14ac:dyDescent="0.25">
      <c r="H41" s="3"/>
      <c r="I41" s="3"/>
    </row>
    <row r="42" spans="1:32" x14ac:dyDescent="0.25">
      <c r="H42" s="3"/>
      <c r="I42" s="3"/>
    </row>
    <row r="43" spans="1:32" x14ac:dyDescent="0.25">
      <c r="H43" s="3"/>
      <c r="I43" s="3"/>
    </row>
    <row r="44" spans="1:32" x14ac:dyDescent="0.25">
      <c r="H44" s="3"/>
      <c r="I44" s="3"/>
    </row>
    <row r="45" spans="1:32" x14ac:dyDescent="0.25">
      <c r="H45" s="3"/>
      <c r="I45" s="3"/>
    </row>
    <row r="46" spans="1:32" x14ac:dyDescent="0.25">
      <c r="H46" s="3"/>
      <c r="I46" s="3"/>
    </row>
    <row r="47" spans="1:32" x14ac:dyDescent="0.25">
      <c r="H47" s="3"/>
      <c r="I47" s="3"/>
    </row>
    <row r="48" spans="1:32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</sheetData>
  <mergeCells count="18">
    <mergeCell ref="AI7:AI8"/>
    <mergeCell ref="AE7:AE8"/>
    <mergeCell ref="N7:N8"/>
    <mergeCell ref="AB7:AB8"/>
    <mergeCell ref="AC7:AC8"/>
    <mergeCell ref="AD7:AD8"/>
    <mergeCell ref="K7:K8"/>
    <mergeCell ref="L7:L8"/>
    <mergeCell ref="M7:M8"/>
    <mergeCell ref="E7:E8"/>
    <mergeCell ref="G7:G8"/>
    <mergeCell ref="H7:H8"/>
    <mergeCell ref="I7:I8"/>
    <mergeCell ref="A7:A8"/>
    <mergeCell ref="B7:B8"/>
    <mergeCell ref="C7:C8"/>
    <mergeCell ref="D7:D8"/>
    <mergeCell ref="J7:J8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16</xdr:col>
                <xdr:colOff>441960</xdr:colOff>
                <xdr:row>2</xdr:row>
                <xdr:rowOff>121920</xdr:rowOff>
              </from>
              <to>
                <xdr:col>20</xdr:col>
                <xdr:colOff>137160</xdr:colOff>
                <xdr:row>4</xdr:row>
                <xdr:rowOff>45720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G15" sqref="G15"/>
    </sheetView>
  </sheetViews>
  <sheetFormatPr defaultRowHeight="13.2" x14ac:dyDescent="0.25"/>
  <cols>
    <col min="11" max="11" width="13.5546875" customWidth="1"/>
    <col min="12" max="12" width="14.44140625" bestFit="1" customWidth="1"/>
  </cols>
  <sheetData>
    <row r="1" spans="1:15" x14ac:dyDescent="0.25">
      <c r="N1" s="33" t="s">
        <v>65</v>
      </c>
    </row>
    <row r="2" spans="1:15" x14ac:dyDescent="0.25">
      <c r="A2" s="40"/>
      <c r="B2" s="40"/>
      <c r="C2" s="41" t="s">
        <v>56</v>
      </c>
      <c r="D2" s="40"/>
      <c r="E2" s="40"/>
      <c r="F2" s="40"/>
      <c r="K2" s="58" t="s">
        <v>72</v>
      </c>
      <c r="L2" s="35"/>
      <c r="N2" s="33" t="s">
        <v>66</v>
      </c>
    </row>
    <row r="3" spans="1:15" x14ac:dyDescent="0.25">
      <c r="A3" s="41" t="s">
        <v>57</v>
      </c>
      <c r="B3" s="41" t="s">
        <v>1</v>
      </c>
      <c r="C3" s="41" t="s">
        <v>40</v>
      </c>
      <c r="D3" s="41" t="s">
        <v>58</v>
      </c>
      <c r="E3" s="40"/>
      <c r="F3" s="41" t="s">
        <v>59</v>
      </c>
      <c r="K3" s="58" t="s">
        <v>71</v>
      </c>
      <c r="L3" s="58" t="s">
        <v>73</v>
      </c>
      <c r="M3" s="33" t="s">
        <v>74</v>
      </c>
    </row>
    <row r="4" spans="1:15" x14ac:dyDescent="0.25">
      <c r="A4" s="41" t="s">
        <v>60</v>
      </c>
      <c r="B4" s="40">
        <v>2011</v>
      </c>
      <c r="C4" s="40"/>
      <c r="D4" s="40"/>
      <c r="E4" s="40"/>
      <c r="F4" s="40"/>
      <c r="K4" s="61"/>
      <c r="L4" s="35"/>
    </row>
    <row r="5" spans="1:15" x14ac:dyDescent="0.25">
      <c r="A5" s="41" t="s">
        <v>60</v>
      </c>
      <c r="B5" s="40">
        <v>2012</v>
      </c>
      <c r="C5" s="40">
        <f>268.08342/1000000</f>
        <v>2.6808341999999996E-4</v>
      </c>
      <c r="D5" s="40">
        <f>46.20316/100</f>
        <v>0.46203159999999999</v>
      </c>
      <c r="E5" s="40"/>
      <c r="F5" s="55" t="e">
        <f t="shared" ref="F5:G7" si="0">(C5-C4)/C4</f>
        <v>#DIV/0!</v>
      </c>
      <c r="G5" s="55" t="e">
        <f t="shared" si="0"/>
        <v>#DIV/0!</v>
      </c>
      <c r="H5" s="33" t="s">
        <v>61</v>
      </c>
      <c r="K5" s="61"/>
      <c r="L5" s="35"/>
      <c r="O5" s="33" t="s">
        <v>64</v>
      </c>
    </row>
    <row r="6" spans="1:15" x14ac:dyDescent="0.25">
      <c r="A6" s="41" t="s">
        <v>60</v>
      </c>
      <c r="B6" s="40">
        <v>2013</v>
      </c>
      <c r="C6" s="40">
        <f>279.0374/1000000</f>
        <v>2.7903739999999997E-4</v>
      </c>
      <c r="D6" s="40">
        <f>46.76467/100</f>
        <v>0.46764670000000003</v>
      </c>
      <c r="E6" s="40"/>
      <c r="F6" s="55">
        <f t="shared" si="0"/>
        <v>4.0860341157987333E-2</v>
      </c>
      <c r="G6" s="55">
        <f t="shared" si="0"/>
        <v>1.2153064855304355E-2</v>
      </c>
      <c r="K6" s="62">
        <v>18799.135064269714</v>
      </c>
      <c r="L6" s="62">
        <v>40202.478419378618</v>
      </c>
      <c r="M6" s="55" t="e">
        <f>(K6-K5)/K5</f>
        <v>#DIV/0!</v>
      </c>
    </row>
    <row r="7" spans="1:15" x14ac:dyDescent="0.25">
      <c r="A7" s="54" t="s">
        <v>60</v>
      </c>
      <c r="B7" s="25">
        <v>2014</v>
      </c>
      <c r="C7">
        <v>2.2225218268605125E-4</v>
      </c>
      <c r="D7">
        <v>0.51748670030488109</v>
      </c>
      <c r="F7" s="55">
        <f t="shared" si="0"/>
        <v>-0.20350396510986959</v>
      </c>
      <c r="G7" s="55">
        <f t="shared" si="0"/>
        <v>0.10657618305631379</v>
      </c>
      <c r="K7" s="62">
        <v>44477.717103689843</v>
      </c>
      <c r="L7" s="62">
        <v>73080.610899521678</v>
      </c>
      <c r="M7" s="55">
        <f t="shared" ref="M7:M9" si="1">(K7-K6)/K6</f>
        <v>1.365944866698986</v>
      </c>
    </row>
    <row r="8" spans="1:15" x14ac:dyDescent="0.25">
      <c r="B8" s="25">
        <v>2015</v>
      </c>
      <c r="C8" s="61">
        <v>2.2028495618811128E-4</v>
      </c>
      <c r="D8" s="61">
        <v>0.51390020688331661</v>
      </c>
      <c r="F8" s="55">
        <f t="shared" ref="F8:F9" si="2">(C8-C7)/C7</f>
        <v>-8.8513258864990792E-3</v>
      </c>
      <c r="G8" s="55">
        <f t="shared" ref="G8:G9" si="3">(D8-D7)/D7</f>
        <v>-6.9306001863457846E-3</v>
      </c>
      <c r="K8" s="62">
        <v>43136.737526515637</v>
      </c>
      <c r="L8" s="62">
        <v>79595.708921078302</v>
      </c>
      <c r="M8" s="55">
        <f t="shared" si="1"/>
        <v>-3.0149469543322396E-2</v>
      </c>
    </row>
    <row r="9" spans="1:15" x14ac:dyDescent="0.25">
      <c r="B9" s="25">
        <v>2016</v>
      </c>
      <c r="C9">
        <v>1.9387037649811856E-4</v>
      </c>
      <c r="D9">
        <v>0.51452547805992388</v>
      </c>
      <c r="F9" s="55">
        <f t="shared" si="2"/>
        <v>-0.11991095600480371</v>
      </c>
      <c r="G9" s="55">
        <f t="shared" si="3"/>
        <v>1.2167171140081636E-3</v>
      </c>
      <c r="K9" s="4">
        <v>65535.532443472759</v>
      </c>
      <c r="L9" s="4">
        <v>108100.13995298896</v>
      </c>
      <c r="M9" s="55">
        <f t="shared" si="1"/>
        <v>0.51925101899949788</v>
      </c>
    </row>
    <row r="10" spans="1:15" x14ac:dyDescent="0.25">
      <c r="B10" s="61">
        <v>2017</v>
      </c>
      <c r="C10">
        <v>1.8404131740347497E-4</v>
      </c>
      <c r="D10">
        <v>0.51694585527785497</v>
      </c>
      <c r="F10" s="55">
        <f t="shared" ref="F10" si="4">(C10-C9)/C9</f>
        <v>-5.0699128315454485E-2</v>
      </c>
      <c r="G10" s="55">
        <f t="shared" ref="G10" si="5">(D10-D9)/D9</f>
        <v>4.7040959508116006E-3</v>
      </c>
      <c r="K10">
        <v>73903.214385426734</v>
      </c>
      <c r="L10">
        <v>129114.11651471397</v>
      </c>
      <c r="M10" s="55">
        <f>(K10-K9)/K9</f>
        <v>0.12768160461916539</v>
      </c>
    </row>
    <row r="11" spans="1:15" x14ac:dyDescent="0.25">
      <c r="B11" s="61">
        <v>2018</v>
      </c>
      <c r="C11">
        <v>1.7181884842834341E-4</v>
      </c>
      <c r="D11">
        <v>0.467742371994879</v>
      </c>
      <c r="F11" s="55">
        <f t="shared" ref="F11" si="6">(C11-C10)/C10</f>
        <v>-6.6411549034590775E-2</v>
      </c>
      <c r="G11" s="55">
        <f t="shared" ref="G11" si="7">(D11-D10)/D10</f>
        <v>-9.5181115740892094E-2</v>
      </c>
      <c r="K11">
        <v>32308.174228562701</v>
      </c>
      <c r="L11">
        <v>61624.787486426721</v>
      </c>
      <c r="M11" s="55">
        <f>(K11-K10)/K10</f>
        <v>-0.56283127199222782</v>
      </c>
    </row>
    <row r="12" spans="1:15" x14ac:dyDescent="0.25">
      <c r="B12" s="61">
        <v>2019</v>
      </c>
      <c r="C12">
        <v>1.6580182064908388E-4</v>
      </c>
      <c r="D12">
        <v>0.44127246756541133</v>
      </c>
      <c r="F12" s="55">
        <f t="shared" ref="F12" si="8">(C12-C11)/C11</f>
        <v>-3.5019602530795196E-2</v>
      </c>
      <c r="G12" s="55">
        <f t="shared" ref="G12" si="9">(D12-D11)/D11</f>
        <v>-5.6590777347316039E-2</v>
      </c>
      <c r="K12">
        <v>16049.250576581033</v>
      </c>
      <c r="L12">
        <v>22640.069746114375</v>
      </c>
      <c r="M12" s="55">
        <f>(K12-K11)/K11</f>
        <v>-0.50324489204987743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4"/>
  <sheetViews>
    <sheetView workbookViewId="0">
      <selection activeCell="K43" sqref="K43"/>
    </sheetView>
  </sheetViews>
  <sheetFormatPr defaultRowHeight="13.2" x14ac:dyDescent="0.25"/>
  <cols>
    <col min="1" max="1" width="9.55468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8.5546875" customWidth="1"/>
  </cols>
  <sheetData>
    <row r="1" spans="1:38" ht="15" thickBot="1" x14ac:dyDescent="0.35">
      <c r="A1" s="24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9" t="s">
        <v>19</v>
      </c>
      <c r="O1" s="24"/>
      <c r="P1" s="24"/>
      <c r="Q1" s="24"/>
      <c r="R1" s="24"/>
      <c r="S1" s="30" t="s">
        <v>38</v>
      </c>
    </row>
    <row r="2" spans="1:38" ht="14.4" x14ac:dyDescent="0.3">
      <c r="A2" s="24" t="s">
        <v>39</v>
      </c>
      <c r="B2" s="24" t="s">
        <v>47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7" t="s">
        <v>40</v>
      </c>
      <c r="O2" s="25">
        <f>P2/1000000</f>
        <v>2.5961356967061847E-4</v>
      </c>
      <c r="P2" s="42">
        <v>259.61356967061846</v>
      </c>
      <c r="Q2" s="24"/>
      <c r="R2" s="24"/>
      <c r="S2" s="26">
        <f>SUM(Y10:Y26)</f>
        <v>43.473145752756089</v>
      </c>
    </row>
    <row r="3" spans="1:38" ht="14.4" x14ac:dyDescent="0.3">
      <c r="A3" s="24" t="s">
        <v>1</v>
      </c>
      <c r="B3" s="24">
        <v>2013</v>
      </c>
      <c r="D3" s="46" t="s">
        <v>63</v>
      </c>
      <c r="E3" s="24" t="s">
        <v>48</v>
      </c>
      <c r="F3" s="24"/>
      <c r="G3" s="24"/>
      <c r="H3" s="24"/>
      <c r="I3" s="24"/>
      <c r="J3" s="24"/>
      <c r="K3" s="24"/>
      <c r="L3" s="24"/>
      <c r="M3" s="24"/>
      <c r="N3" s="27" t="s">
        <v>41</v>
      </c>
      <c r="O3" s="25">
        <f>P3/100</f>
        <v>0.50109061138088773</v>
      </c>
      <c r="P3" s="42">
        <v>50.109061138088776</v>
      </c>
      <c r="Q3" s="24"/>
      <c r="R3" s="24"/>
      <c r="S3" s="24"/>
    </row>
    <row r="4" spans="1:38" ht="14.4" x14ac:dyDescent="0.3">
      <c r="A4" s="32" t="s">
        <v>42</v>
      </c>
      <c r="B4" s="24">
        <v>2</v>
      </c>
      <c r="C4" s="24" t="s">
        <v>51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7" t="s">
        <v>43</v>
      </c>
      <c r="O4" s="24">
        <v>-0.3</v>
      </c>
      <c r="P4" s="24">
        <v>0.74081822068171788</v>
      </c>
      <c r="Q4" s="24"/>
      <c r="R4" s="24"/>
      <c r="S4" s="24"/>
    </row>
    <row r="5" spans="1:38" ht="14.4" x14ac:dyDescent="0.3">
      <c r="A5" s="32" t="s">
        <v>49</v>
      </c>
      <c r="B5" s="33" t="s">
        <v>50</v>
      </c>
    </row>
    <row r="6" spans="1:38" ht="14.4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33" t="s">
        <v>55</v>
      </c>
    </row>
    <row r="7" spans="1:38" ht="12.75" customHeight="1" x14ac:dyDescent="0.25">
      <c r="A7" s="74" t="s">
        <v>2</v>
      </c>
      <c r="B7" s="74" t="s">
        <v>3</v>
      </c>
      <c r="C7" s="74" t="s">
        <v>4</v>
      </c>
      <c r="D7" s="74" t="s">
        <v>0</v>
      </c>
      <c r="E7" s="74" t="s">
        <v>5</v>
      </c>
      <c r="G7" s="74" t="s">
        <v>6</v>
      </c>
      <c r="H7" s="75" t="s">
        <v>7</v>
      </c>
      <c r="I7" s="75" t="s">
        <v>8</v>
      </c>
      <c r="J7" s="74" t="s">
        <v>9</v>
      </c>
      <c r="K7" s="74" t="s">
        <v>10</v>
      </c>
      <c r="L7" s="74" t="s">
        <v>11</v>
      </c>
      <c r="M7" s="74" t="s">
        <v>12</v>
      </c>
      <c r="N7" s="74" t="s">
        <v>13</v>
      </c>
      <c r="O7" t="s">
        <v>14</v>
      </c>
      <c r="P7">
        <v>-0.3</v>
      </c>
      <c r="Q7">
        <f>+EXP(P7)</f>
        <v>0.74081822068171788</v>
      </c>
      <c r="AB7" s="78" t="s">
        <v>15</v>
      </c>
      <c r="AC7" s="78" t="s">
        <v>16</v>
      </c>
      <c r="AD7" s="78" t="s">
        <v>17</v>
      </c>
      <c r="AE7" s="78" t="s">
        <v>18</v>
      </c>
      <c r="AF7" s="47"/>
      <c r="AI7" s="76" t="s">
        <v>52</v>
      </c>
    </row>
    <row r="8" spans="1:38" ht="12.75" customHeight="1" thickBot="1" x14ac:dyDescent="0.3">
      <c r="A8" s="74"/>
      <c r="B8" s="74"/>
      <c r="C8" s="74"/>
      <c r="D8" s="74"/>
      <c r="E8" s="74"/>
      <c r="G8" s="74"/>
      <c r="H8" s="75"/>
      <c r="I8" s="75"/>
      <c r="J8" s="74"/>
      <c r="K8" s="74"/>
      <c r="L8" s="74"/>
      <c r="M8" s="74"/>
      <c r="N8" s="74"/>
      <c r="O8" t="s">
        <v>19</v>
      </c>
      <c r="Q8" s="31" t="s">
        <v>44</v>
      </c>
      <c r="R8" s="31" t="s">
        <v>45</v>
      </c>
      <c r="S8" s="31" t="s">
        <v>46</v>
      </c>
      <c r="T8" s="38" t="s">
        <v>53</v>
      </c>
      <c r="U8" s="38" t="s">
        <v>54</v>
      </c>
      <c r="V8" s="40"/>
      <c r="W8" s="40"/>
      <c r="X8" s="40"/>
      <c r="AB8" s="79"/>
      <c r="AC8" s="79"/>
      <c r="AD8" s="79"/>
      <c r="AE8" s="79"/>
      <c r="AF8" s="47"/>
      <c r="AI8" s="77"/>
    </row>
    <row r="9" spans="1:38" x14ac:dyDescent="0.25">
      <c r="A9">
        <v>1996</v>
      </c>
      <c r="B9" t="s">
        <v>22</v>
      </c>
      <c r="G9" s="10">
        <v>14885</v>
      </c>
      <c r="H9" s="3">
        <v>35480</v>
      </c>
      <c r="I9" s="3">
        <v>35261.606770833336</v>
      </c>
      <c r="J9" s="5"/>
      <c r="K9" s="5"/>
      <c r="L9" s="5"/>
      <c r="M9" s="1"/>
      <c r="N9" s="1"/>
      <c r="O9">
        <f t="shared" ref="O9:O26" si="0">+P9</f>
        <v>2.0467375912643782</v>
      </c>
      <c r="P9" s="36">
        <v>2.0467375912643782</v>
      </c>
      <c r="AA9">
        <f t="shared" ref="AA9:AA26" si="1">+A9</f>
        <v>1996</v>
      </c>
      <c r="AB9" s="4">
        <f>+(Q9/O$2)*L9</f>
        <v>0</v>
      </c>
      <c r="AC9" s="4">
        <f>+((R9+S9)/O$2)*K9</f>
        <v>0</v>
      </c>
      <c r="AD9" s="4">
        <f t="shared" ref="AD9:AD26" si="2">+AC9+AB9</f>
        <v>0</v>
      </c>
      <c r="AE9" s="4">
        <f t="shared" ref="AE9:AE21" si="3">+AD9*0.2</f>
        <v>0</v>
      </c>
      <c r="AK9">
        <f t="shared" ref="AK9:AK18" si="4">+S9</f>
        <v>0</v>
      </c>
      <c r="AL9">
        <f t="shared" ref="AL9:AL18" si="5">+E9</f>
        <v>0</v>
      </c>
    </row>
    <row r="10" spans="1:38" x14ac:dyDescent="0.25">
      <c r="A10">
        <v>1997</v>
      </c>
      <c r="B10" t="s">
        <v>23</v>
      </c>
      <c r="C10" s="15">
        <v>9.9166666666666696</v>
      </c>
      <c r="D10" s="15">
        <v>9.625</v>
      </c>
      <c r="E10" s="15">
        <v>2.1666666666666701</v>
      </c>
      <c r="G10" s="10">
        <v>23809</v>
      </c>
      <c r="H10" s="3">
        <v>35846</v>
      </c>
      <c r="I10" s="11">
        <v>35621</v>
      </c>
      <c r="J10" s="16">
        <v>2.1174867622222227</v>
      </c>
      <c r="K10" s="16">
        <v>2.7549058888888891</v>
      </c>
      <c r="L10" s="16">
        <v>1.354781047777778</v>
      </c>
      <c r="M10" s="1">
        <f t="shared" ref="M10:M22" si="6">+(I10-H9)/365</f>
        <v>0.38630136986301372</v>
      </c>
      <c r="N10" s="1">
        <f t="shared" ref="N10:N22" si="7">+(I10-I9)/365</f>
        <v>0.98463898401825822</v>
      </c>
      <c r="O10">
        <f t="shared" si="0"/>
        <v>2.1557783444189194</v>
      </c>
      <c r="P10" s="36">
        <v>2.1557783444189194</v>
      </c>
      <c r="Q10">
        <f t="shared" ref="Q10:Q26" si="8">+O12</f>
        <v>8.5404595804628052</v>
      </c>
      <c r="R10">
        <f>+O11</f>
        <v>9.4152720365799603</v>
      </c>
      <c r="S10">
        <f>+O10</f>
        <v>2.1557783444189194</v>
      </c>
      <c r="T10">
        <f>SUM(Q10:S10)</f>
        <v>20.111509961461685</v>
      </c>
      <c r="U10">
        <f t="shared" ref="U10:W25" si="9">+(LN(Q10)-LN(C10))^2</f>
        <v>2.2320964156337445E-2</v>
      </c>
      <c r="V10">
        <f t="shared" si="9"/>
        <v>4.8535722937605581E-4</v>
      </c>
      <c r="W10">
        <f t="shared" si="9"/>
        <v>2.5381939570193776E-5</v>
      </c>
      <c r="X10">
        <v>10</v>
      </c>
      <c r="Y10">
        <f t="shared" ref="Y10:Y18" si="10">+SUM(U10:W10)*X10</f>
        <v>0.22831703325283695</v>
      </c>
      <c r="AA10">
        <f t="shared" si="1"/>
        <v>1997</v>
      </c>
      <c r="AB10" s="4">
        <f t="shared" ref="AB10:AB26" si="11">+(Q10/O$2)*L10</f>
        <v>44567.981533488528</v>
      </c>
      <c r="AC10" s="4">
        <f t="shared" ref="AC10:AC26" si="12">+((R10+S10)/O$2)*K10</f>
        <v>122786.93627489345</v>
      </c>
      <c r="AD10" s="4">
        <f t="shared" si="2"/>
        <v>167354.91780838199</v>
      </c>
      <c r="AE10" s="4">
        <f>+AD10*0.2</f>
        <v>33470.983561676396</v>
      </c>
      <c r="AI10">
        <f t="shared" ref="AI10:AI26" si="13">G10*K10</f>
        <v>65591.554308555555</v>
      </c>
      <c r="AK10">
        <f t="shared" si="4"/>
        <v>2.1557783444189194</v>
      </c>
      <c r="AL10">
        <f t="shared" si="5"/>
        <v>2.1666666666666701</v>
      </c>
    </row>
    <row r="11" spans="1:38" x14ac:dyDescent="0.25">
      <c r="A11">
        <v>1998</v>
      </c>
      <c r="B11" t="s">
        <v>24</v>
      </c>
      <c r="C11" s="15">
        <v>7.5238095238095202</v>
      </c>
      <c r="D11" s="15">
        <v>4.9047619047619104</v>
      </c>
      <c r="E11" s="15">
        <v>3.71428571428571</v>
      </c>
      <c r="G11" s="10">
        <v>15607</v>
      </c>
      <c r="H11" s="3">
        <v>36211</v>
      </c>
      <c r="I11" s="11">
        <v>35988</v>
      </c>
      <c r="J11" s="16">
        <v>1.76308</v>
      </c>
      <c r="K11" s="16">
        <v>2.2838444400000002</v>
      </c>
      <c r="L11" s="16">
        <v>1.4159037000000001</v>
      </c>
      <c r="M11" s="1">
        <f t="shared" si="6"/>
        <v>0.38904109589041097</v>
      </c>
      <c r="N11" s="1">
        <f t="shared" si="7"/>
        <v>1.0054794520547945</v>
      </c>
      <c r="O11">
        <f t="shared" si="0"/>
        <v>9.4152720365799603</v>
      </c>
      <c r="P11" s="36">
        <v>9.4152720365799603</v>
      </c>
      <c r="Q11">
        <f t="shared" si="8"/>
        <v>6.6030090269112263</v>
      </c>
      <c r="R11">
        <f>+Q10*O$3</f>
        <v>4.2795441126478666</v>
      </c>
      <c r="S11">
        <f>+(R10+S10)*EXP(P$7*N11)-O$2*G10*EXP(M11*P$7)</f>
        <v>3.0577333076416577</v>
      </c>
      <c r="T11">
        <f t="shared" ref="T11:T19" si="14">SUM(Q11:S11)</f>
        <v>13.940286447200751</v>
      </c>
      <c r="U11">
        <f t="shared" si="9"/>
        <v>1.7042554978799425E-2</v>
      </c>
      <c r="V11">
        <f t="shared" si="9"/>
        <v>1.8594066596512117E-2</v>
      </c>
      <c r="W11">
        <f>+(LN(S11)-LN(E11))^2</f>
        <v>3.7835111344766463E-2</v>
      </c>
      <c r="X11">
        <v>10</v>
      </c>
      <c r="Y11">
        <f t="shared" si="10"/>
        <v>0.73471732920078003</v>
      </c>
      <c r="AA11">
        <f t="shared" si="1"/>
        <v>1998</v>
      </c>
      <c r="AB11" s="4">
        <f t="shared" si="11"/>
        <v>36012.081048763052</v>
      </c>
      <c r="AC11" s="4">
        <f t="shared" si="12"/>
        <v>64546.704019848679</v>
      </c>
      <c r="AD11" s="4">
        <f t="shared" si="2"/>
        <v>100558.78506861173</v>
      </c>
      <c r="AE11" s="4">
        <f t="shared" si="3"/>
        <v>20111.757013722348</v>
      </c>
      <c r="AH11" s="14">
        <f t="shared" ref="AH11:AH26" si="15">(AC11-AC10)/AC10</f>
        <v>-0.47431945141670007</v>
      </c>
      <c r="AI11">
        <f t="shared" si="13"/>
        <v>35643.960175080007</v>
      </c>
      <c r="AK11">
        <f t="shared" si="4"/>
        <v>3.0577333076416577</v>
      </c>
      <c r="AL11">
        <f t="shared" si="5"/>
        <v>3.71428571428571</v>
      </c>
    </row>
    <row r="12" spans="1:38" x14ac:dyDescent="0.25">
      <c r="A12">
        <v>1999</v>
      </c>
      <c r="B12" t="s">
        <v>25</v>
      </c>
      <c r="C12" s="15">
        <v>6.9</v>
      </c>
      <c r="D12" s="15">
        <v>3.6</v>
      </c>
      <c r="E12" s="15">
        <v>1.8</v>
      </c>
      <c r="G12" s="10">
        <v>10292</v>
      </c>
      <c r="H12" s="3">
        <v>36576</v>
      </c>
      <c r="I12" s="11">
        <v>36321</v>
      </c>
      <c r="J12" s="16">
        <v>2.5147047599999999</v>
      </c>
      <c r="K12" s="16">
        <v>2.9033147499999998</v>
      </c>
      <c r="L12" s="16">
        <v>1.48404348</v>
      </c>
      <c r="M12" s="1">
        <f t="shared" si="6"/>
        <v>0.30136986301369861</v>
      </c>
      <c r="N12" s="1">
        <f t="shared" si="7"/>
        <v>0.9123287671232877</v>
      </c>
      <c r="O12">
        <f t="shared" si="0"/>
        <v>8.5404595804628052</v>
      </c>
      <c r="P12" s="36">
        <v>8.5404595804628052</v>
      </c>
      <c r="Q12">
        <f t="shared" si="8"/>
        <v>6.8119754555894696</v>
      </c>
      <c r="R12">
        <f>+Q11*O$3</f>
        <v>3.3087058302484671</v>
      </c>
      <c r="S12">
        <f t="shared" ref="S12:S26" si="16">+(R11+S11)*EXP(P$7*N12)-O$2*G11*EXP(M12*P$7)</f>
        <v>1.878914078113358</v>
      </c>
      <c r="T12">
        <f t="shared" si="14"/>
        <v>11.999595363951293</v>
      </c>
      <c r="U12">
        <f t="shared" si="9"/>
        <v>1.6484638994133707E-4</v>
      </c>
      <c r="V12">
        <f t="shared" si="9"/>
        <v>7.1194309402470074E-3</v>
      </c>
      <c r="W12">
        <f t="shared" si="9"/>
        <v>1.8410387128053674E-3</v>
      </c>
      <c r="X12">
        <v>10</v>
      </c>
      <c r="Y12">
        <f t="shared" si="10"/>
        <v>9.1253160429937114E-2</v>
      </c>
      <c r="AA12">
        <f t="shared" si="1"/>
        <v>1999</v>
      </c>
      <c r="AB12" s="4">
        <f t="shared" si="11"/>
        <v>38939.673968558694</v>
      </c>
      <c r="AC12" s="4">
        <f t="shared" si="12"/>
        <v>58014.276435740103</v>
      </c>
      <c r="AD12" s="4">
        <f t="shared" si="2"/>
        <v>96953.950404298797</v>
      </c>
      <c r="AE12" s="4">
        <f t="shared" si="3"/>
        <v>19390.790080859759</v>
      </c>
      <c r="AH12" s="14">
        <f t="shared" si="15"/>
        <v>-0.10120466541714969</v>
      </c>
      <c r="AI12">
        <f t="shared" si="13"/>
        <v>29880.915406999997</v>
      </c>
      <c r="AK12">
        <f t="shared" si="4"/>
        <v>1.878914078113358</v>
      </c>
      <c r="AL12">
        <f t="shared" si="5"/>
        <v>1.8</v>
      </c>
    </row>
    <row r="13" spans="1:38" x14ac:dyDescent="0.25">
      <c r="A13">
        <v>2000</v>
      </c>
      <c r="B13" t="s">
        <v>26</v>
      </c>
      <c r="C13" s="15">
        <v>3.1749999999999998</v>
      </c>
      <c r="D13" s="15">
        <v>2.2250000000000001</v>
      </c>
      <c r="E13" s="15">
        <v>1.0249999999999999</v>
      </c>
      <c r="G13" s="10">
        <v>8236</v>
      </c>
      <c r="H13" s="3">
        <v>36942</v>
      </c>
      <c r="I13" s="11">
        <v>36715</v>
      </c>
      <c r="J13" s="16">
        <v>1.7270000000000001</v>
      </c>
      <c r="K13" s="16">
        <v>2.6626111099999998</v>
      </c>
      <c r="L13" s="16">
        <v>1.2007187500000001</v>
      </c>
      <c r="M13" s="1">
        <f t="shared" si="6"/>
        <v>0.38082191780821917</v>
      </c>
      <c r="N13" s="1">
        <f t="shared" si="7"/>
        <v>1.0794520547945206</v>
      </c>
      <c r="O13">
        <f t="shared" si="0"/>
        <v>6.6030090269112263</v>
      </c>
      <c r="P13" s="36">
        <v>6.6030090269112263</v>
      </c>
      <c r="Q13">
        <f t="shared" si="8"/>
        <v>2.9216409395196612</v>
      </c>
      <c r="R13">
        <f t="shared" ref="R13:R26" si="17">+Q12*O$3</f>
        <v>3.4134169457529286</v>
      </c>
      <c r="S13">
        <f t="shared" si="16"/>
        <v>1.3690896701141444</v>
      </c>
      <c r="T13">
        <f t="shared" si="14"/>
        <v>7.7041475553867347</v>
      </c>
      <c r="U13">
        <f t="shared" si="9"/>
        <v>6.9159528925042029E-3</v>
      </c>
      <c r="V13">
        <f t="shared" si="9"/>
        <v>0.18314711754520258</v>
      </c>
      <c r="W13">
        <f t="shared" si="9"/>
        <v>8.378328930786022E-2</v>
      </c>
      <c r="X13">
        <v>10</v>
      </c>
      <c r="Y13">
        <f t="shared" si="10"/>
        <v>2.7384635974556701</v>
      </c>
      <c r="AA13">
        <f t="shared" si="1"/>
        <v>2000</v>
      </c>
      <c r="AB13" s="4">
        <f t="shared" si="11"/>
        <v>13512.656758657466</v>
      </c>
      <c r="AC13" s="4">
        <f t="shared" si="12"/>
        <v>49049.652008607329</v>
      </c>
      <c r="AD13" s="4">
        <f t="shared" si="2"/>
        <v>62562.308767264796</v>
      </c>
      <c r="AE13" s="4">
        <f t="shared" si="3"/>
        <v>12512.461753452961</v>
      </c>
      <c r="AH13" s="14">
        <f t="shared" si="15"/>
        <v>-0.15452445463251618</v>
      </c>
      <c r="AI13">
        <f t="shared" si="13"/>
        <v>21929.265101959998</v>
      </c>
      <c r="AK13">
        <f t="shared" si="4"/>
        <v>1.3690896701141444</v>
      </c>
      <c r="AL13">
        <f t="shared" si="5"/>
        <v>1.0249999999999999</v>
      </c>
    </row>
    <row r="14" spans="1:38" x14ac:dyDescent="0.25">
      <c r="A14">
        <v>2001</v>
      </c>
      <c r="B14" t="s">
        <v>27</v>
      </c>
      <c r="C14" s="15">
        <v>3.3250000000000002</v>
      </c>
      <c r="D14" s="15">
        <v>1.0249999999999999</v>
      </c>
      <c r="E14" s="15">
        <v>1.575</v>
      </c>
      <c r="G14" s="10">
        <v>5469</v>
      </c>
      <c r="H14" s="3">
        <v>37307</v>
      </c>
      <c r="I14" s="11">
        <v>37080</v>
      </c>
      <c r="J14" s="16">
        <v>2.1410144899999999</v>
      </c>
      <c r="K14" s="16">
        <v>2.9247777799999999</v>
      </c>
      <c r="L14" s="16">
        <v>1.286</v>
      </c>
      <c r="M14" s="1">
        <f t="shared" si="6"/>
        <v>0.37808219178082192</v>
      </c>
      <c r="N14" s="1">
        <f t="shared" si="7"/>
        <v>1</v>
      </c>
      <c r="O14">
        <f t="shared" si="0"/>
        <v>6.8119754555894696</v>
      </c>
      <c r="P14" s="36">
        <v>6.8119754555894696</v>
      </c>
      <c r="Q14">
        <f t="shared" si="8"/>
        <v>3.630639818212452</v>
      </c>
      <c r="R14">
        <f t="shared" si="17"/>
        <v>1.4640068446193382</v>
      </c>
      <c r="S14">
        <f t="shared" si="16"/>
        <v>1.6340643236987085</v>
      </c>
      <c r="T14">
        <f t="shared" si="14"/>
        <v>6.7287109865304986</v>
      </c>
      <c r="U14">
        <f t="shared" si="9"/>
        <v>7.7333059038048038E-3</v>
      </c>
      <c r="V14">
        <f t="shared" si="9"/>
        <v>0.12708118321481751</v>
      </c>
      <c r="W14">
        <f t="shared" si="9"/>
        <v>1.355350790895883E-3</v>
      </c>
      <c r="X14">
        <v>10</v>
      </c>
      <c r="Y14">
        <f t="shared" si="10"/>
        <v>1.3616983990951819</v>
      </c>
      <c r="AA14">
        <f t="shared" si="1"/>
        <v>2001</v>
      </c>
      <c r="AB14" s="4">
        <f t="shared" si="11"/>
        <v>17984.432832786642</v>
      </c>
      <c r="AC14" s="4">
        <f t="shared" si="12"/>
        <v>34902.527342663598</v>
      </c>
      <c r="AD14" s="4">
        <f t="shared" si="2"/>
        <v>52886.960175450236</v>
      </c>
      <c r="AE14" s="4">
        <f t="shared" si="3"/>
        <v>10577.392035090048</v>
      </c>
      <c r="AH14" s="14">
        <f t="shared" si="15"/>
        <v>-0.28842456748645567</v>
      </c>
      <c r="AI14">
        <f t="shared" si="13"/>
        <v>15995.609678819999</v>
      </c>
      <c r="AK14">
        <f t="shared" si="4"/>
        <v>1.6340643236987085</v>
      </c>
      <c r="AL14">
        <f t="shared" si="5"/>
        <v>1.575</v>
      </c>
    </row>
    <row r="15" spans="1:38" x14ac:dyDescent="0.25">
      <c r="A15">
        <v>2002</v>
      </c>
      <c r="B15" t="s">
        <v>28</v>
      </c>
      <c r="C15" s="15">
        <v>4.3571428571428603</v>
      </c>
      <c r="D15" s="15">
        <v>2.4047619047619002</v>
      </c>
      <c r="E15" s="15">
        <v>1.47619047619048</v>
      </c>
      <c r="G15" s="10">
        <v>3636</v>
      </c>
      <c r="H15" s="3">
        <v>37672</v>
      </c>
      <c r="I15" s="11">
        <v>37450</v>
      </c>
      <c r="J15" s="16">
        <v>2.1016844400000001</v>
      </c>
      <c r="K15" s="16">
        <v>2.7744291699999999</v>
      </c>
      <c r="L15" s="16">
        <v>1.3328333299999999</v>
      </c>
      <c r="M15" s="1">
        <f t="shared" si="6"/>
        <v>0.39178082191780822</v>
      </c>
      <c r="N15" s="1">
        <f t="shared" si="7"/>
        <v>1.0136986301369864</v>
      </c>
      <c r="O15">
        <f t="shared" si="0"/>
        <v>2.9216409395196612</v>
      </c>
      <c r="P15" s="36">
        <v>2.9216409395196612</v>
      </c>
      <c r="Q15">
        <f t="shared" si="8"/>
        <v>5.0698408895050564</v>
      </c>
      <c r="R15">
        <f t="shared" si="17"/>
        <v>1.8192795262118726</v>
      </c>
      <c r="S15">
        <f t="shared" si="16"/>
        <v>1.0233128478843208</v>
      </c>
      <c r="T15">
        <f t="shared" si="14"/>
        <v>7.9124332636012502</v>
      </c>
      <c r="U15">
        <f t="shared" si="9"/>
        <v>2.2950098693439513E-2</v>
      </c>
      <c r="V15">
        <f t="shared" si="9"/>
        <v>7.7846770141114199E-2</v>
      </c>
      <c r="W15">
        <f t="shared" si="9"/>
        <v>0.13426325905659575</v>
      </c>
      <c r="X15">
        <v>10</v>
      </c>
      <c r="Y15">
        <f t="shared" si="10"/>
        <v>2.3506012789114945</v>
      </c>
      <c r="AA15">
        <f t="shared" si="1"/>
        <v>2002</v>
      </c>
      <c r="AB15" s="4">
        <f t="shared" si="11"/>
        <v>26028.119115277248</v>
      </c>
      <c r="AC15" s="4">
        <f t="shared" si="12"/>
        <v>30378.116256087931</v>
      </c>
      <c r="AD15" s="4">
        <f t="shared" si="2"/>
        <v>56406.235371365183</v>
      </c>
      <c r="AE15" s="4">
        <f t="shared" si="3"/>
        <v>11281.247074273037</v>
      </c>
      <c r="AH15" s="14">
        <f t="shared" si="15"/>
        <v>-0.12962989877942704</v>
      </c>
      <c r="AI15">
        <f t="shared" si="13"/>
        <v>10087.824462119999</v>
      </c>
      <c r="AK15">
        <f t="shared" si="4"/>
        <v>1.0233128478843208</v>
      </c>
      <c r="AL15">
        <f t="shared" si="5"/>
        <v>1.47619047619048</v>
      </c>
    </row>
    <row r="16" spans="1:38" x14ac:dyDescent="0.25">
      <c r="A16">
        <v>2003</v>
      </c>
      <c r="B16" t="s">
        <v>21</v>
      </c>
      <c r="C16" s="15">
        <v>2.8780487804877999</v>
      </c>
      <c r="D16" s="15">
        <v>2.26829268292683</v>
      </c>
      <c r="E16" s="15">
        <v>0.92682926829268297</v>
      </c>
      <c r="G16" s="10">
        <v>6126</v>
      </c>
      <c r="H16" s="3">
        <v>38037</v>
      </c>
      <c r="I16" s="11">
        <v>37816</v>
      </c>
      <c r="J16" s="16">
        <v>1.87486047</v>
      </c>
      <c r="K16" s="16">
        <v>2.92729412</v>
      </c>
      <c r="L16" s="16">
        <v>1.18673077</v>
      </c>
      <c r="M16" s="1">
        <f t="shared" si="6"/>
        <v>0.39452054794520547</v>
      </c>
      <c r="N16" s="1">
        <f t="shared" si="7"/>
        <v>1.0027397260273974</v>
      </c>
      <c r="O16">
        <f t="shared" si="0"/>
        <v>3.630639818212452</v>
      </c>
      <c r="P16" s="36">
        <v>3.630639818212452</v>
      </c>
      <c r="Q16">
        <f t="shared" si="8"/>
        <v>4.0580263649965937</v>
      </c>
      <c r="R16">
        <f t="shared" si="17"/>
        <v>2.5404496709259123</v>
      </c>
      <c r="S16">
        <f t="shared" si="16"/>
        <v>1.2655238057075828</v>
      </c>
      <c r="T16">
        <f t="shared" si="14"/>
        <v>7.863999841630088</v>
      </c>
      <c r="U16">
        <f t="shared" si="9"/>
        <v>0.11805008920200312</v>
      </c>
      <c r="V16">
        <f t="shared" si="9"/>
        <v>1.2839988876309202E-2</v>
      </c>
      <c r="W16">
        <f t="shared" si="9"/>
        <v>9.7014818688402116E-2</v>
      </c>
      <c r="X16">
        <v>10</v>
      </c>
      <c r="Y16">
        <f t="shared" si="10"/>
        <v>2.2790489676671442</v>
      </c>
      <c r="AA16">
        <f t="shared" si="1"/>
        <v>2003</v>
      </c>
      <c r="AB16" s="4">
        <f t="shared" si="11"/>
        <v>18549.81909814143</v>
      </c>
      <c r="AC16" s="4">
        <f t="shared" si="12"/>
        <v>42914.56641946896</v>
      </c>
      <c r="AD16" s="4">
        <f t="shared" si="2"/>
        <v>61464.38551761039</v>
      </c>
      <c r="AE16" s="4">
        <f t="shared" si="3"/>
        <v>12292.877103522078</v>
      </c>
      <c r="AF16" s="4">
        <f>AC16*0.5</f>
        <v>21457.28320973448</v>
      </c>
      <c r="AG16" s="4">
        <f>AF16/K16</f>
        <v>7330.0742358388234</v>
      </c>
      <c r="AH16" s="14">
        <f t="shared" si="15"/>
        <v>0.41268030109894188</v>
      </c>
      <c r="AI16">
        <f t="shared" si="13"/>
        <v>17932.60377912</v>
      </c>
      <c r="AK16">
        <f t="shared" si="4"/>
        <v>1.2655238057075828</v>
      </c>
      <c r="AL16">
        <f t="shared" si="5"/>
        <v>0.92682926829268297</v>
      </c>
    </row>
    <row r="17" spans="1:38" x14ac:dyDescent="0.25">
      <c r="A17">
        <v>2004</v>
      </c>
      <c r="B17" t="s">
        <v>20</v>
      </c>
      <c r="C17" s="15">
        <v>5.0465116279069804</v>
      </c>
      <c r="D17" s="15">
        <v>2.7674418604651199</v>
      </c>
      <c r="E17" s="15">
        <v>1.67441860465116</v>
      </c>
      <c r="G17" s="10">
        <v>7524</v>
      </c>
      <c r="H17" s="3">
        <v>38403</v>
      </c>
      <c r="I17" s="11">
        <v>38180</v>
      </c>
      <c r="J17" s="16">
        <v>2.1764285700000001</v>
      </c>
      <c r="K17" s="16">
        <v>2.7759999999999998</v>
      </c>
      <c r="L17" s="16">
        <v>1.3161739100000001</v>
      </c>
      <c r="M17" s="1">
        <f t="shared" si="6"/>
        <v>0.39178082191780822</v>
      </c>
      <c r="N17" s="1">
        <f t="shared" si="7"/>
        <v>0.99726027397260275</v>
      </c>
      <c r="O17">
        <f t="shared" si="0"/>
        <v>5.0698408895050564</v>
      </c>
      <c r="P17" s="36">
        <v>5.0698408895050564</v>
      </c>
      <c r="Q17">
        <f t="shared" si="8"/>
        <v>5.4887127436818135</v>
      </c>
      <c r="R17">
        <f t="shared" si="17"/>
        <v>2.0334389122359044</v>
      </c>
      <c r="S17">
        <f t="shared" si="16"/>
        <v>1.4078186999459776</v>
      </c>
      <c r="T17">
        <f t="shared" si="14"/>
        <v>8.9299703558636949</v>
      </c>
      <c r="U17">
        <f t="shared" si="9"/>
        <v>7.0554149124422896E-3</v>
      </c>
      <c r="V17">
        <f t="shared" si="9"/>
        <v>9.4984140892055188E-2</v>
      </c>
      <c r="W17">
        <f t="shared" si="9"/>
        <v>3.0076063485286381E-2</v>
      </c>
      <c r="X17">
        <v>10</v>
      </c>
      <c r="Y17">
        <f t="shared" si="10"/>
        <v>1.3211561928978386</v>
      </c>
      <c r="AA17">
        <f t="shared" si="1"/>
        <v>2004</v>
      </c>
      <c r="AB17" s="4">
        <f t="shared" si="11"/>
        <v>27826.359469129482</v>
      </c>
      <c r="AC17" s="4">
        <f t="shared" si="12"/>
        <v>36796.732711379722</v>
      </c>
      <c r="AD17" s="4">
        <f t="shared" si="2"/>
        <v>64623.092180509208</v>
      </c>
      <c r="AE17" s="4">
        <f t="shared" si="3"/>
        <v>12924.618436101842</v>
      </c>
      <c r="AF17" s="4">
        <f>AC17*0.5</f>
        <v>18398.366355689861</v>
      </c>
      <c r="AG17" s="4">
        <f>AF17/K17</f>
        <v>6627.6535863436102</v>
      </c>
      <c r="AH17" s="14">
        <f t="shared" si="15"/>
        <v>-0.14255844153918268</v>
      </c>
      <c r="AI17">
        <f t="shared" si="13"/>
        <v>20886.624</v>
      </c>
      <c r="AK17">
        <f t="shared" si="4"/>
        <v>1.4078186999459776</v>
      </c>
      <c r="AL17">
        <f t="shared" si="5"/>
        <v>1.67441860465116</v>
      </c>
    </row>
    <row r="18" spans="1:38" x14ac:dyDescent="0.25">
      <c r="A18">
        <v>2005</v>
      </c>
      <c r="B18" t="s">
        <v>29</v>
      </c>
      <c r="C18" s="15">
        <v>2.7826086956521698</v>
      </c>
      <c r="D18" s="15">
        <v>2.7173913043478302</v>
      </c>
      <c r="E18" s="15">
        <v>0.80434782608695699</v>
      </c>
      <c r="G18" s="10">
        <v>4973</v>
      </c>
      <c r="H18" s="7">
        <v>38768</v>
      </c>
      <c r="I18" s="11">
        <v>38544</v>
      </c>
      <c r="J18" s="16">
        <v>2.4992916699999999</v>
      </c>
      <c r="K18" s="16">
        <v>2.8168000000000002</v>
      </c>
      <c r="L18" s="16">
        <v>1.47205882</v>
      </c>
      <c r="M18" s="1">
        <f t="shared" si="6"/>
        <v>0.38630136986301372</v>
      </c>
      <c r="N18" s="1">
        <f t="shared" si="7"/>
        <v>0.99726027397260275</v>
      </c>
      <c r="O18">
        <f t="shared" si="0"/>
        <v>4.0580263649965937</v>
      </c>
      <c r="P18" s="36">
        <v>4.0580263649965937</v>
      </c>
      <c r="Q18">
        <f t="shared" si="8"/>
        <v>3.1859277870644118</v>
      </c>
      <c r="R18">
        <f t="shared" si="17"/>
        <v>2.7503424244255896</v>
      </c>
      <c r="S18">
        <f t="shared" si="16"/>
        <v>0.81185773416384821</v>
      </c>
      <c r="T18">
        <f t="shared" si="14"/>
        <v>6.7481279456538488</v>
      </c>
      <c r="U18">
        <f t="shared" si="9"/>
        <v>1.8320888882373019E-2</v>
      </c>
      <c r="V18">
        <f t="shared" si="9"/>
        <v>1.452767636776141E-4</v>
      </c>
      <c r="W18">
        <f t="shared" si="9"/>
        <v>8.6365897782866364E-5</v>
      </c>
      <c r="X18">
        <v>10</v>
      </c>
      <c r="Y18">
        <f t="shared" si="10"/>
        <v>0.185525315438335</v>
      </c>
      <c r="AA18">
        <f t="shared" si="1"/>
        <v>2005</v>
      </c>
      <c r="AB18" s="4">
        <f t="shared" si="11"/>
        <v>18064.82267002248</v>
      </c>
      <c r="AC18" s="4">
        <f t="shared" si="12"/>
        <v>38649.772503976776</v>
      </c>
      <c r="AD18" s="4">
        <f t="shared" si="2"/>
        <v>56714.59517399926</v>
      </c>
      <c r="AE18" s="4">
        <f t="shared" si="3"/>
        <v>11342.919034799852</v>
      </c>
      <c r="AF18" s="4">
        <f>AC18*0.5</f>
        <v>19324.886251988388</v>
      </c>
      <c r="AG18" s="4">
        <f>AF18/K18</f>
        <v>6860.5816003934915</v>
      </c>
      <c r="AH18" s="14">
        <f t="shared" si="15"/>
        <v>5.0358813298224829E-2</v>
      </c>
      <c r="AI18">
        <f t="shared" si="13"/>
        <v>14007.946400000001</v>
      </c>
      <c r="AK18">
        <f t="shared" si="4"/>
        <v>0.81185773416384821</v>
      </c>
      <c r="AL18">
        <f t="shared" si="5"/>
        <v>0.80434782608695699</v>
      </c>
    </row>
    <row r="19" spans="1:38" x14ac:dyDescent="0.25">
      <c r="A19">
        <v>2006</v>
      </c>
      <c r="B19" t="s">
        <v>30</v>
      </c>
      <c r="C19" s="15">
        <v>3.2083333333333299</v>
      </c>
      <c r="D19" s="15">
        <v>2.3333333333333299</v>
      </c>
      <c r="E19" s="15">
        <v>2</v>
      </c>
      <c r="G19" s="10">
        <v>2035</v>
      </c>
      <c r="H19" s="3">
        <v>39125</v>
      </c>
      <c r="I19" s="11">
        <v>38912</v>
      </c>
      <c r="J19" s="16">
        <v>2.25931646</v>
      </c>
      <c r="K19" s="16">
        <v>2.72508163</v>
      </c>
      <c r="L19" s="16">
        <v>1.49856667</v>
      </c>
      <c r="M19" s="1">
        <f t="shared" si="6"/>
        <v>0.39452054794520547</v>
      </c>
      <c r="N19" s="1">
        <f t="shared" si="7"/>
        <v>1.0082191780821919</v>
      </c>
      <c r="O19">
        <f t="shared" si="0"/>
        <v>5.4887127436818135</v>
      </c>
      <c r="P19" s="36">
        <v>5.4887127436818135</v>
      </c>
      <c r="Q19">
        <f t="shared" si="8"/>
        <v>2.736036474178444</v>
      </c>
      <c r="R19">
        <f t="shared" si="17"/>
        <v>1.5964385026354648</v>
      </c>
      <c r="S19">
        <f t="shared" si="16"/>
        <v>1.4854939932590501</v>
      </c>
      <c r="T19">
        <f t="shared" si="14"/>
        <v>5.8179689700729593</v>
      </c>
      <c r="U19">
        <f t="shared" si="9"/>
        <v>2.5357779086624323E-2</v>
      </c>
      <c r="V19">
        <f t="shared" si="9"/>
        <v>0.1440374403995896</v>
      </c>
      <c r="W19">
        <f t="shared" si="9"/>
        <v>8.8446645934955603E-2</v>
      </c>
      <c r="X19">
        <v>10</v>
      </c>
      <c r="Y19">
        <f t="shared" ref="Y19:Y24" si="18">+SUM(U19:W19)*X19</f>
        <v>2.5784186542116947</v>
      </c>
      <c r="AA19">
        <f t="shared" si="1"/>
        <v>2006</v>
      </c>
      <c r="AB19" s="4">
        <f t="shared" si="11"/>
        <v>15793.215559996057</v>
      </c>
      <c r="AC19" s="4">
        <f t="shared" si="12"/>
        <v>32350.071839918495</v>
      </c>
      <c r="AD19" s="4">
        <f t="shared" si="2"/>
        <v>48143.287399914552</v>
      </c>
      <c r="AE19" s="4">
        <f t="shared" si="3"/>
        <v>9628.6574799829104</v>
      </c>
      <c r="AF19" s="4">
        <f>AC19*0.5</f>
        <v>16175.035919959248</v>
      </c>
      <c r="AG19" s="4">
        <f>AF19/K19</f>
        <v>5935.6151910793396</v>
      </c>
      <c r="AH19" s="14">
        <f t="shared" si="15"/>
        <v>-0.16299450827065251</v>
      </c>
      <c r="AI19">
        <f t="shared" si="13"/>
        <v>5545.5411170500001</v>
      </c>
    </row>
    <row r="20" spans="1:38" x14ac:dyDescent="0.25">
      <c r="A20">
        <v>2007</v>
      </c>
      <c r="B20" t="s">
        <v>31</v>
      </c>
      <c r="C20" s="15">
        <v>2.64</v>
      </c>
      <c r="D20" s="15">
        <v>1.55</v>
      </c>
      <c r="E20" s="15">
        <v>1.86</v>
      </c>
      <c r="G20" s="10">
        <v>2237</v>
      </c>
      <c r="H20" s="3">
        <v>39496</v>
      </c>
      <c r="I20" s="11">
        <v>39255</v>
      </c>
      <c r="J20" s="17">
        <v>1.889</v>
      </c>
      <c r="K20" s="17">
        <v>2.33</v>
      </c>
      <c r="L20" s="17">
        <v>1.33</v>
      </c>
      <c r="M20" s="1">
        <f t="shared" si="6"/>
        <v>0.35616438356164382</v>
      </c>
      <c r="N20" s="1">
        <f t="shared" si="7"/>
        <v>0.9397260273972603</v>
      </c>
      <c r="O20">
        <f t="shared" si="0"/>
        <v>3.1859277870644118</v>
      </c>
      <c r="P20" s="36">
        <v>3.1859277870644118</v>
      </c>
      <c r="Q20">
        <f t="shared" si="8"/>
        <v>2.743257574518954</v>
      </c>
      <c r="R20">
        <f t="shared" si="17"/>
        <v>1.371002189606485</v>
      </c>
      <c r="S20">
        <f t="shared" si="16"/>
        <v>1.8500367698666085</v>
      </c>
      <c r="T20">
        <f t="shared" ref="T20:T25" si="19">SUM(Q20:S20)</f>
        <v>5.964296533992048</v>
      </c>
      <c r="U20">
        <f t="shared" si="9"/>
        <v>1.4720414890787758E-3</v>
      </c>
      <c r="V20">
        <f t="shared" si="9"/>
        <v>1.5058463990525272E-2</v>
      </c>
      <c r="W20">
        <f t="shared" si="9"/>
        <v>2.8847353424717447E-5</v>
      </c>
      <c r="X20">
        <v>10</v>
      </c>
      <c r="Y20">
        <f t="shared" si="18"/>
        <v>0.16559352833028768</v>
      </c>
      <c r="AA20">
        <f t="shared" si="1"/>
        <v>2007</v>
      </c>
      <c r="AB20" s="4">
        <f t="shared" si="11"/>
        <v>14053.705200152828</v>
      </c>
      <c r="AC20" s="4">
        <f t="shared" si="12"/>
        <v>28908.43026847253</v>
      </c>
      <c r="AD20" s="4">
        <f t="shared" si="2"/>
        <v>42962.135468625362</v>
      </c>
      <c r="AE20" s="4">
        <f t="shared" si="3"/>
        <v>8592.4270937250731</v>
      </c>
      <c r="AF20" s="4">
        <f>AC20*0.5</f>
        <v>14454.215134236265</v>
      </c>
      <c r="AG20" s="4">
        <f>AF20/K20</f>
        <v>6203.5258086850918</v>
      </c>
      <c r="AH20" s="14">
        <f t="shared" si="15"/>
        <v>-0.10638744756044524</v>
      </c>
      <c r="AI20">
        <f t="shared" si="13"/>
        <v>5212.21</v>
      </c>
    </row>
    <row r="21" spans="1:38" x14ac:dyDescent="0.25">
      <c r="A21">
        <v>2008</v>
      </c>
      <c r="B21" t="s">
        <v>32</v>
      </c>
      <c r="C21" s="15">
        <v>7.22</v>
      </c>
      <c r="D21" s="15">
        <v>2.13</v>
      </c>
      <c r="E21" s="15">
        <v>1.91</v>
      </c>
      <c r="G21" s="10">
        <v>2360</v>
      </c>
      <c r="H21" s="3">
        <v>39863</v>
      </c>
      <c r="I21" s="11">
        <v>39619</v>
      </c>
      <c r="J21" s="16">
        <v>1.77353753</v>
      </c>
      <c r="K21" s="16">
        <v>2.52184002</v>
      </c>
      <c r="L21" s="16">
        <v>1.35430783</v>
      </c>
      <c r="M21" s="1">
        <f t="shared" si="6"/>
        <v>0.33698630136986302</v>
      </c>
      <c r="N21" s="1">
        <f t="shared" si="7"/>
        <v>0.99726027397260275</v>
      </c>
      <c r="O21">
        <f t="shared" si="0"/>
        <v>2.736036474178444</v>
      </c>
      <c r="P21" s="36">
        <v>2.736036474178444</v>
      </c>
      <c r="Q21">
        <f t="shared" si="8"/>
        <v>4.7755206718517869</v>
      </c>
      <c r="R21">
        <f t="shared" si="17"/>
        <v>1.3746206151909539</v>
      </c>
      <c r="S21">
        <f t="shared" si="16"/>
        <v>1.8632526268700191</v>
      </c>
      <c r="T21">
        <f t="shared" si="19"/>
        <v>8.0133939139127612</v>
      </c>
      <c r="U21">
        <f t="shared" si="9"/>
        <v>0.17085982935320898</v>
      </c>
      <c r="V21">
        <f t="shared" si="9"/>
        <v>0.19179512485322994</v>
      </c>
      <c r="W21">
        <f t="shared" si="9"/>
        <v>6.1402646729759737E-4</v>
      </c>
      <c r="X21">
        <v>10</v>
      </c>
      <c r="Y21">
        <f t="shared" si="18"/>
        <v>3.632689806737365</v>
      </c>
      <c r="AA21">
        <f t="shared" si="1"/>
        <v>2008</v>
      </c>
      <c r="AB21" s="4">
        <f t="shared" si="11"/>
        <v>24912.122453465465</v>
      </c>
      <c r="AC21" s="4">
        <f t="shared" si="12"/>
        <v>31452.124524447077</v>
      </c>
      <c r="AD21" s="4">
        <f t="shared" si="2"/>
        <v>56364.246977912539</v>
      </c>
      <c r="AE21" s="4">
        <f t="shared" si="3"/>
        <v>11272.849395582509</v>
      </c>
      <c r="AF21" s="4"/>
      <c r="AG21" s="4"/>
      <c r="AH21" s="14">
        <f t="shared" si="15"/>
        <v>8.7991434759731479E-2</v>
      </c>
      <c r="AI21">
        <f t="shared" si="13"/>
        <v>5951.5424471999995</v>
      </c>
    </row>
    <row r="22" spans="1:38" x14ac:dyDescent="0.25">
      <c r="A22">
        <v>2009</v>
      </c>
      <c r="B22" s="19" t="s">
        <v>33</v>
      </c>
      <c r="C22" s="15">
        <v>4.625</v>
      </c>
      <c r="D22" s="15">
        <v>2.875</v>
      </c>
      <c r="E22" s="15">
        <v>1.4167000000000001</v>
      </c>
      <c r="G22" s="10">
        <v>3501</v>
      </c>
      <c r="H22" s="3">
        <v>40227</v>
      </c>
      <c r="I22" s="11">
        <v>39984</v>
      </c>
      <c r="J22" s="16">
        <v>1.96</v>
      </c>
      <c r="K22" s="16">
        <v>2.56</v>
      </c>
      <c r="L22" s="16">
        <v>1.37</v>
      </c>
      <c r="M22" s="1">
        <f t="shared" si="6"/>
        <v>0.33150684931506852</v>
      </c>
      <c r="N22" s="1">
        <f t="shared" si="7"/>
        <v>1</v>
      </c>
      <c r="O22">
        <f t="shared" si="0"/>
        <v>2.743257574518954</v>
      </c>
      <c r="P22" s="36">
        <v>2.743257574518954</v>
      </c>
      <c r="Q22">
        <f t="shared" si="8"/>
        <v>3.2419613978620516</v>
      </c>
      <c r="R22">
        <f t="shared" si="17"/>
        <v>2.3929685731202794</v>
      </c>
      <c r="S22">
        <f t="shared" si="16"/>
        <v>1.8439885891218315</v>
      </c>
      <c r="T22">
        <f t="shared" si="19"/>
        <v>7.4789185601041623</v>
      </c>
      <c r="U22">
        <f t="shared" si="9"/>
        <v>0.12623656549186657</v>
      </c>
      <c r="V22">
        <f t="shared" si="9"/>
        <v>3.3678855680453618E-2</v>
      </c>
      <c r="W22">
        <f t="shared" si="9"/>
        <v>6.9485336210578064E-2</v>
      </c>
      <c r="X22">
        <v>10</v>
      </c>
      <c r="Y22">
        <f t="shared" si="18"/>
        <v>2.2940075738289827</v>
      </c>
      <c r="AA22">
        <f t="shared" si="1"/>
        <v>2009</v>
      </c>
      <c r="AB22" s="4">
        <f t="shared" si="11"/>
        <v>17108.069969940683</v>
      </c>
      <c r="AC22" s="4">
        <f t="shared" si="12"/>
        <v>41779.828185026337</v>
      </c>
      <c r="AD22" s="4">
        <f t="shared" si="2"/>
        <v>58887.898154967021</v>
      </c>
      <c r="AE22" s="4">
        <f>+AD22*0.2</f>
        <v>11777.579630993405</v>
      </c>
      <c r="AF22" s="4"/>
      <c r="AG22" s="4"/>
      <c r="AH22" s="14">
        <f t="shared" si="15"/>
        <v>0.32836267237056599</v>
      </c>
      <c r="AI22">
        <f t="shared" si="13"/>
        <v>8962.56</v>
      </c>
    </row>
    <row r="23" spans="1:38" x14ac:dyDescent="0.25">
      <c r="A23">
        <v>2010</v>
      </c>
      <c r="B23" s="19" t="s">
        <v>34</v>
      </c>
      <c r="C23" s="15">
        <v>2.3437999999999999</v>
      </c>
      <c r="D23" s="15">
        <v>1.4375</v>
      </c>
      <c r="E23" s="15">
        <v>1.4375</v>
      </c>
      <c r="G23" s="10">
        <v>3597</v>
      </c>
      <c r="H23" s="3">
        <v>40596</v>
      </c>
      <c r="I23" s="11">
        <v>40376</v>
      </c>
      <c r="J23" s="16">
        <v>1.97</v>
      </c>
      <c r="K23" s="16">
        <v>2.52</v>
      </c>
      <c r="L23" s="16">
        <v>1.3</v>
      </c>
      <c r="M23" s="1">
        <f>+(I23-H22)/365</f>
        <v>0.40821917808219177</v>
      </c>
      <c r="N23" s="1">
        <f>+(I23-I22)/365</f>
        <v>1.0739726027397261</v>
      </c>
      <c r="O23">
        <f t="shared" si="0"/>
        <v>4.7755206718517869</v>
      </c>
      <c r="P23" s="36">
        <v>4.7755206718517869</v>
      </c>
      <c r="Q23">
        <f t="shared" si="8"/>
        <v>1.5836728740657753</v>
      </c>
      <c r="R23">
        <f t="shared" si="17"/>
        <v>1.6245164189279329</v>
      </c>
      <c r="S23">
        <f t="shared" si="16"/>
        <v>2.2657833548688364</v>
      </c>
      <c r="T23">
        <f t="shared" si="19"/>
        <v>5.4739726478625448</v>
      </c>
      <c r="U23">
        <f t="shared" si="9"/>
        <v>0.15368500460769602</v>
      </c>
      <c r="V23">
        <f t="shared" si="9"/>
        <v>1.4958437061972351E-2</v>
      </c>
      <c r="W23">
        <f t="shared" si="9"/>
        <v>0.20703870254428394</v>
      </c>
      <c r="X23">
        <v>10</v>
      </c>
      <c r="Y23">
        <f t="shared" si="18"/>
        <v>3.7568214421395227</v>
      </c>
      <c r="AA23">
        <f t="shared" si="1"/>
        <v>2010</v>
      </c>
      <c r="AB23" s="4">
        <f t="shared" si="11"/>
        <v>7930.1507193847883</v>
      </c>
      <c r="AC23" s="4">
        <f t="shared" si="12"/>
        <v>37762.10712870671</v>
      </c>
      <c r="AD23" s="4">
        <f t="shared" si="2"/>
        <v>45692.257848091496</v>
      </c>
      <c r="AE23" s="4">
        <f>+AD23*0.2</f>
        <v>9138.4515696182989</v>
      </c>
      <c r="AF23" s="4"/>
      <c r="AG23" s="4"/>
      <c r="AH23" s="14">
        <f t="shared" si="15"/>
        <v>-9.6164135441790949E-2</v>
      </c>
      <c r="AI23">
        <f t="shared" si="13"/>
        <v>9064.44</v>
      </c>
    </row>
    <row r="24" spans="1:38" x14ac:dyDescent="0.25">
      <c r="A24">
        <v>2011</v>
      </c>
      <c r="B24" s="19" t="s">
        <v>35</v>
      </c>
      <c r="C24" s="15">
        <v>0.875</v>
      </c>
      <c r="D24" s="15">
        <v>0.45833333329999998</v>
      </c>
      <c r="E24" s="15">
        <v>0.91666666669999997</v>
      </c>
      <c r="G24" s="39">
        <v>3007</v>
      </c>
      <c r="H24" s="34">
        <v>40958</v>
      </c>
      <c r="I24" s="11">
        <v>40747</v>
      </c>
      <c r="J24" s="20">
        <v>2.16</v>
      </c>
      <c r="K24" s="20">
        <v>2.64</v>
      </c>
      <c r="L24" s="20">
        <v>1.41</v>
      </c>
      <c r="M24" s="1">
        <f>+(I24-H23)/365</f>
        <v>0.41369863013698632</v>
      </c>
      <c r="N24" s="1">
        <f>+(I24-I23)/365</f>
        <v>1.0164383561643835</v>
      </c>
      <c r="O24">
        <f>+P24</f>
        <v>3.2419613978620516</v>
      </c>
      <c r="P24" s="36">
        <v>3.2419613978620516</v>
      </c>
      <c r="Q24">
        <f t="shared" si="8"/>
        <v>1.8259118987748073</v>
      </c>
      <c r="R24">
        <f t="shared" si="17"/>
        <v>0.79356360869294695</v>
      </c>
      <c r="S24">
        <f t="shared" si="16"/>
        <v>2.0429911086818149</v>
      </c>
      <c r="T24">
        <f t="shared" si="19"/>
        <v>4.6624666161495689</v>
      </c>
      <c r="U24">
        <f t="shared" si="9"/>
        <v>0.54112343360719872</v>
      </c>
      <c r="V24">
        <f t="shared" si="9"/>
        <v>0.3013318053521854</v>
      </c>
      <c r="W24">
        <f t="shared" si="9"/>
        <v>0.64228417955193295</v>
      </c>
      <c r="X24">
        <v>10</v>
      </c>
      <c r="Y24">
        <f t="shared" si="18"/>
        <v>14.847394185113171</v>
      </c>
      <c r="AA24">
        <f t="shared" si="1"/>
        <v>2011</v>
      </c>
      <c r="AB24" s="4">
        <f t="shared" si="11"/>
        <v>9916.7997286847858</v>
      </c>
      <c r="AC24" s="4">
        <f t="shared" si="12"/>
        <v>28844.811399382241</v>
      </c>
      <c r="AD24" s="4">
        <f t="shared" si="2"/>
        <v>38761.61112806703</v>
      </c>
      <c r="AE24" s="4">
        <f>+AD24*0.2</f>
        <v>7752.3222256134068</v>
      </c>
      <c r="AF24" s="4"/>
      <c r="AG24" s="4"/>
      <c r="AH24" s="14">
        <f t="shared" si="15"/>
        <v>-0.23614401863039977</v>
      </c>
      <c r="AI24">
        <f t="shared" si="13"/>
        <v>7938.4800000000005</v>
      </c>
    </row>
    <row r="25" spans="1:38" x14ac:dyDescent="0.25">
      <c r="A25">
        <v>2012</v>
      </c>
      <c r="B25" s="22" t="s">
        <v>36</v>
      </c>
      <c r="C25" s="23">
        <v>1.4935064935</v>
      </c>
      <c r="D25" s="23">
        <v>1.2857142856999999</v>
      </c>
      <c r="E25" s="23">
        <v>1.1168831169</v>
      </c>
      <c r="G25" s="44">
        <v>3472</v>
      </c>
      <c r="H25" s="45">
        <v>41325</v>
      </c>
      <c r="I25" s="34">
        <v>41118</v>
      </c>
      <c r="J25" s="23">
        <v>2.0551256131</v>
      </c>
      <c r="K25" s="23">
        <v>2.5176423652</v>
      </c>
      <c r="L25" s="23">
        <v>1.3110769248</v>
      </c>
      <c r="M25" s="1">
        <f>+(I25-H24)/365</f>
        <v>0.43835616438356162</v>
      </c>
      <c r="N25" s="1">
        <f>+(I25-I24)/365</f>
        <v>1.0164383561643835</v>
      </c>
      <c r="O25">
        <f>+P25</f>
        <v>1.5836728740657753</v>
      </c>
      <c r="P25" s="36">
        <v>1.5836728740657753</v>
      </c>
      <c r="Q25">
        <f t="shared" si="8"/>
        <v>1.6832528968168246</v>
      </c>
      <c r="R25">
        <f t="shared" si="17"/>
        <v>0.91494730968470583</v>
      </c>
      <c r="S25">
        <f t="shared" si="16"/>
        <v>1.4065739307414811</v>
      </c>
      <c r="T25">
        <f t="shared" si="19"/>
        <v>4.004774137243011</v>
      </c>
      <c r="U25">
        <f t="shared" si="9"/>
        <v>1.43045099285454E-2</v>
      </c>
      <c r="V25">
        <f t="shared" si="9"/>
        <v>0.11573823680329635</v>
      </c>
      <c r="W25">
        <f t="shared" si="9"/>
        <v>5.318329518834447E-2</v>
      </c>
      <c r="X25">
        <v>10</v>
      </c>
      <c r="Y25">
        <f t="shared" ref="Y25:Y26" si="20">+SUM(U25:W25)*X25</f>
        <v>1.8322604192018621</v>
      </c>
      <c r="AA25">
        <f t="shared" si="1"/>
        <v>2012</v>
      </c>
      <c r="AB25" s="4">
        <f t="shared" si="11"/>
        <v>8500.6112524057917</v>
      </c>
      <c r="AC25" s="39">
        <f t="shared" si="12"/>
        <v>22513.307890739656</v>
      </c>
      <c r="AD25" s="39">
        <f t="shared" si="2"/>
        <v>31013.919143145446</v>
      </c>
      <c r="AE25" s="4">
        <f>+AD25*0.2</f>
        <v>6202.7838286290898</v>
      </c>
      <c r="AF25" s="48"/>
      <c r="AH25" s="14">
        <f t="shared" si="15"/>
        <v>-0.21950233686666382</v>
      </c>
      <c r="AI25">
        <f t="shared" si="13"/>
        <v>8741.2542919743992</v>
      </c>
    </row>
    <row r="26" spans="1:38" x14ac:dyDescent="0.25">
      <c r="A26">
        <v>2013</v>
      </c>
      <c r="B26" s="43" t="s">
        <v>62</v>
      </c>
      <c r="C26" s="44">
        <v>4.3580246913999998</v>
      </c>
      <c r="D26" s="49">
        <v>0.95061728400000001</v>
      </c>
      <c r="E26" s="44">
        <v>1.5925925926</v>
      </c>
      <c r="H26" s="3"/>
      <c r="I26" s="45">
        <v>41485</v>
      </c>
      <c r="J26" s="44">
        <v>1.7032644519</v>
      </c>
      <c r="K26" s="44">
        <v>2.6117543237</v>
      </c>
      <c r="L26" s="49">
        <v>1.1730975578</v>
      </c>
      <c r="M26" s="1">
        <f>+(I26-H25)/365</f>
        <v>0.43835616438356162</v>
      </c>
      <c r="N26" s="1">
        <f>+(I26-I25)/365</f>
        <v>1.0054794520547945</v>
      </c>
      <c r="O26">
        <f t="shared" si="0"/>
        <v>1.8259118987748073</v>
      </c>
      <c r="P26" s="36">
        <v>1.8259118987748073</v>
      </c>
      <c r="Q26">
        <f t="shared" si="8"/>
        <v>4.3580138706846752</v>
      </c>
      <c r="R26">
        <f t="shared" si="17"/>
        <v>0.84346222317459296</v>
      </c>
      <c r="S26">
        <f t="shared" si="16"/>
        <v>0.92669603539141776</v>
      </c>
      <c r="T26">
        <f t="shared" ref="T26" si="21">SUM(Q26:S26)</f>
        <v>6.1281721292506859</v>
      </c>
      <c r="U26">
        <f t="shared" ref="U26:W26" si="22">+(LN(Q26)-LN(C26))^2</f>
        <v>6.1650080576917743E-12</v>
      </c>
      <c r="V26">
        <f t="shared" si="22"/>
        <v>1.4303306316525922E-2</v>
      </c>
      <c r="W26">
        <f t="shared" si="22"/>
        <v>0.29321458056170829</v>
      </c>
      <c r="X26">
        <v>10</v>
      </c>
      <c r="Y26">
        <f t="shared" si="20"/>
        <v>3.0751788688439925</v>
      </c>
      <c r="AA26">
        <f t="shared" si="1"/>
        <v>2013</v>
      </c>
      <c r="AB26" s="4">
        <f t="shared" si="11"/>
        <v>19692.250428376996</v>
      </c>
      <c r="AC26" s="39">
        <f t="shared" si="12"/>
        <v>17808.077179127013</v>
      </c>
      <c r="AD26" s="39">
        <f t="shared" si="2"/>
        <v>37500.327607504005</v>
      </c>
      <c r="AE26" s="4">
        <f>+AD26*0.2</f>
        <v>7500.065521500801</v>
      </c>
      <c r="AH26" s="14">
        <f t="shared" si="15"/>
        <v>-0.20899775077246796</v>
      </c>
      <c r="AI26">
        <f t="shared" si="13"/>
        <v>0</v>
      </c>
    </row>
    <row r="27" spans="1:38" x14ac:dyDescent="0.25">
      <c r="B27" s="8"/>
      <c r="H27" s="3"/>
      <c r="I27" s="3"/>
      <c r="M27" s="1"/>
      <c r="O27">
        <f>+P27</f>
        <v>1.6832528968168246</v>
      </c>
      <c r="P27" s="36">
        <v>1.6832528968168246</v>
      </c>
      <c r="AB27" s="13"/>
      <c r="AD27" s="4"/>
      <c r="AE27" s="4"/>
      <c r="AF27" s="9"/>
    </row>
    <row r="28" spans="1:38" x14ac:dyDescent="0.25">
      <c r="B28" s="8"/>
      <c r="H28" s="3"/>
      <c r="I28" s="3"/>
      <c r="O28">
        <f>+P28</f>
        <v>4.3580138706846752</v>
      </c>
      <c r="P28" s="36">
        <v>4.3580138706846752</v>
      </c>
      <c r="AB28" s="13"/>
      <c r="AD28" s="4"/>
      <c r="AE28" s="4"/>
      <c r="AF28" s="9"/>
    </row>
    <row r="29" spans="1:38" x14ac:dyDescent="0.25">
      <c r="H29" s="3"/>
      <c r="I29" s="3"/>
      <c r="O29" s="35"/>
      <c r="P29" s="35"/>
      <c r="AB29" s="13"/>
      <c r="AD29" s="4"/>
      <c r="AE29" s="4"/>
      <c r="AF29" s="9"/>
    </row>
    <row r="30" spans="1:38" x14ac:dyDescent="0.25">
      <c r="H30" s="3"/>
      <c r="I30" s="3"/>
      <c r="O30" s="35"/>
      <c r="P30" s="35"/>
      <c r="AA30">
        <v>2011</v>
      </c>
      <c r="AB30" s="4">
        <v>7597.5411433206955</v>
      </c>
      <c r="AC30" s="4">
        <v>23269.97221084237</v>
      </c>
      <c r="AD30" s="4">
        <v>30867.513354163064</v>
      </c>
      <c r="AE30" s="4">
        <v>6173.5026708326131</v>
      </c>
    </row>
    <row r="31" spans="1:38" x14ac:dyDescent="0.25">
      <c r="H31" s="3"/>
      <c r="I31" s="3"/>
      <c r="O31" s="35"/>
      <c r="P31" s="35"/>
      <c r="AA31">
        <v>2012</v>
      </c>
      <c r="AB31" s="4">
        <v>7017.3466584634416</v>
      </c>
      <c r="AC31" s="39">
        <v>16472.327211759577</v>
      </c>
      <c r="AD31" s="39">
        <v>23489.673870223018</v>
      </c>
      <c r="AE31" s="4">
        <v>4697.9347740446037</v>
      </c>
    </row>
    <row r="32" spans="1:38" x14ac:dyDescent="0.25">
      <c r="H32" s="3"/>
      <c r="I32" s="3"/>
      <c r="AB32" s="12"/>
      <c r="AD32" s="12"/>
      <c r="AE32" s="12"/>
      <c r="AF32" s="12"/>
    </row>
    <row r="33" spans="8:32" x14ac:dyDescent="0.25">
      <c r="H33" s="3"/>
      <c r="I33" s="3"/>
      <c r="AB33" s="13"/>
      <c r="AD33" s="18"/>
      <c r="AE33" s="18"/>
      <c r="AF33" s="6"/>
    </row>
    <row r="34" spans="8:32" x14ac:dyDescent="0.25">
      <c r="H34" s="3"/>
      <c r="I34" s="3"/>
      <c r="AB34" s="13"/>
      <c r="AD34" s="18"/>
      <c r="AE34" s="18"/>
      <c r="AF34" s="6"/>
    </row>
    <row r="35" spans="8:32" x14ac:dyDescent="0.25">
      <c r="H35" s="3"/>
      <c r="I35" s="3"/>
      <c r="AB35" s="13"/>
      <c r="AD35" s="18"/>
      <c r="AE35" s="18"/>
      <c r="AF35" s="6"/>
    </row>
    <row r="36" spans="8:32" x14ac:dyDescent="0.25">
      <c r="H36" s="3"/>
      <c r="I36" s="3"/>
      <c r="AB36" s="13"/>
      <c r="AC36" s="14"/>
      <c r="AD36" s="18"/>
      <c r="AE36" s="18"/>
      <c r="AF36" s="6"/>
    </row>
    <row r="37" spans="8:32" x14ac:dyDescent="0.25">
      <c r="H37" s="3"/>
      <c r="I37" s="3"/>
    </row>
    <row r="38" spans="8:32" x14ac:dyDescent="0.25">
      <c r="H38" s="3"/>
      <c r="I38" s="3"/>
    </row>
    <row r="39" spans="8:32" x14ac:dyDescent="0.25">
      <c r="H39" s="3"/>
      <c r="I39" s="3"/>
    </row>
    <row r="40" spans="8:32" x14ac:dyDescent="0.25">
      <c r="H40" s="3"/>
      <c r="I40" s="3"/>
    </row>
    <row r="41" spans="8:32" x14ac:dyDescent="0.25">
      <c r="H41" s="3"/>
      <c r="I41" s="3"/>
    </row>
    <row r="42" spans="8:32" x14ac:dyDescent="0.25">
      <c r="H42" s="3"/>
      <c r="I42" s="3"/>
    </row>
    <row r="43" spans="8:32" x14ac:dyDescent="0.25">
      <c r="H43" s="3"/>
      <c r="I43" s="3"/>
    </row>
    <row r="44" spans="8:32" x14ac:dyDescent="0.25">
      <c r="H44" s="3"/>
      <c r="I44" s="3"/>
    </row>
    <row r="45" spans="8:32" x14ac:dyDescent="0.25">
      <c r="H45" s="3"/>
      <c r="I45" s="3"/>
    </row>
    <row r="46" spans="8:32" x14ac:dyDescent="0.25">
      <c r="H46" s="3"/>
      <c r="I46" s="3"/>
    </row>
    <row r="47" spans="8:32" x14ac:dyDescent="0.25">
      <c r="H47" s="3"/>
      <c r="I47" s="3"/>
    </row>
    <row r="48" spans="8:32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</sheetData>
  <mergeCells count="18">
    <mergeCell ref="AI7:AI8"/>
    <mergeCell ref="H7:H8"/>
    <mergeCell ref="I7:I8"/>
    <mergeCell ref="J7:J8"/>
    <mergeCell ref="K7:K8"/>
    <mergeCell ref="L7:L8"/>
    <mergeCell ref="M7:M8"/>
    <mergeCell ref="N7:N8"/>
    <mergeCell ref="AB7:AB8"/>
    <mergeCell ref="AC7:AC8"/>
    <mergeCell ref="AD7:AD8"/>
    <mergeCell ref="AE7:AE8"/>
    <mergeCell ref="G7:G8"/>
    <mergeCell ref="A7:A8"/>
    <mergeCell ref="B7:B8"/>
    <mergeCell ref="C7:C8"/>
    <mergeCell ref="D7:D8"/>
    <mergeCell ref="E7:E8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 sizeWithCells="1">
              <from>
                <xdr:col>16</xdr:col>
                <xdr:colOff>441960</xdr:colOff>
                <xdr:row>2</xdr:row>
                <xdr:rowOff>121920</xdr:rowOff>
              </from>
              <to>
                <xdr:col>20</xdr:col>
                <xdr:colOff>137160</xdr:colOff>
                <xdr:row>4</xdr:row>
                <xdr:rowOff>45720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D20"/>
  <sheetViews>
    <sheetView workbookViewId="0">
      <selection activeCell="D31" sqref="D31"/>
    </sheetView>
  </sheetViews>
  <sheetFormatPr defaultRowHeight="13.2" x14ac:dyDescent="0.25"/>
  <sheetData>
    <row r="4" spans="3:4" x14ac:dyDescent="0.25">
      <c r="C4">
        <v>1997</v>
      </c>
      <c r="D4">
        <v>122268.19379999999</v>
      </c>
    </row>
    <row r="5" spans="3:4" x14ac:dyDescent="0.25">
      <c r="C5">
        <v>1998</v>
      </c>
      <c r="D5">
        <v>63890.568399999996</v>
      </c>
    </row>
    <row r="6" spans="3:4" x14ac:dyDescent="0.25">
      <c r="C6">
        <v>1999</v>
      </c>
      <c r="D6">
        <v>57121.821799999998</v>
      </c>
    </row>
    <row r="7" spans="3:4" x14ac:dyDescent="0.25">
      <c r="C7">
        <v>2000</v>
      </c>
      <c r="D7">
        <v>48496.701800000003</v>
      </c>
    </row>
    <row r="8" spans="3:4" x14ac:dyDescent="0.25">
      <c r="C8">
        <v>2001</v>
      </c>
      <c r="D8">
        <v>34289.608800000002</v>
      </c>
    </row>
    <row r="9" spans="3:4" x14ac:dyDescent="0.25">
      <c r="C9">
        <v>2002</v>
      </c>
      <c r="D9">
        <v>29665.607</v>
      </c>
    </row>
    <row r="10" spans="3:4" x14ac:dyDescent="0.25">
      <c r="C10">
        <v>2003</v>
      </c>
      <c r="D10">
        <v>42287.193200000002</v>
      </c>
    </row>
    <row r="11" spans="3:4" x14ac:dyDescent="0.25">
      <c r="C11">
        <v>2004</v>
      </c>
      <c r="D11">
        <v>36292.494299999998</v>
      </c>
    </row>
    <row r="12" spans="3:4" x14ac:dyDescent="0.25">
      <c r="C12">
        <v>2005</v>
      </c>
      <c r="D12">
        <v>38123.167300000001</v>
      </c>
    </row>
    <row r="13" spans="3:4" x14ac:dyDescent="0.25">
      <c r="C13">
        <v>2006</v>
      </c>
      <c r="D13">
        <v>31811.120800000001</v>
      </c>
    </row>
    <row r="14" spans="3:4" x14ac:dyDescent="0.25">
      <c r="C14">
        <v>2007</v>
      </c>
      <c r="D14">
        <v>28508.634999999998</v>
      </c>
    </row>
    <row r="15" spans="3:4" x14ac:dyDescent="0.25">
      <c r="C15">
        <v>2008</v>
      </c>
      <c r="D15">
        <v>31228.125499999998</v>
      </c>
    </row>
    <row r="16" spans="3:4" x14ac:dyDescent="0.25">
      <c r="C16">
        <v>2009</v>
      </c>
      <c r="D16">
        <v>43129.590700000001</v>
      </c>
    </row>
    <row r="17" spans="3:4" x14ac:dyDescent="0.25">
      <c r="C17">
        <v>2010</v>
      </c>
      <c r="D17">
        <v>40164.841099999998</v>
      </c>
    </row>
    <row r="18" spans="3:4" x14ac:dyDescent="0.25">
      <c r="C18">
        <v>2011</v>
      </c>
      <c r="D18">
        <v>23544.905999999999</v>
      </c>
    </row>
    <row r="19" spans="3:4" x14ac:dyDescent="0.25">
      <c r="C19">
        <v>2012</v>
      </c>
      <c r="D19">
        <v>16472.3272</v>
      </c>
    </row>
    <row r="20" spans="3:4" x14ac:dyDescent="0.25">
      <c r="C20">
        <v>2013</v>
      </c>
      <c r="D20">
        <v>18799.119200000001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 3 Stage</vt:lpstr>
      <vt:lpstr>parameter history</vt:lpstr>
      <vt:lpstr>Estimates 3 S_original old catc</vt:lpstr>
      <vt:lpstr>legal biomass_SigPl_OLD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Alaska</dc:creator>
  <cp:lastModifiedBy>Palof, Katie J (DFG)</cp:lastModifiedBy>
  <cp:lastPrinted>2005-08-17T19:42:07Z</cp:lastPrinted>
  <dcterms:created xsi:type="dcterms:W3CDTF">2005-07-11T22:59:37Z</dcterms:created>
  <dcterms:modified xsi:type="dcterms:W3CDTF">2021-11-04T03:34:16Z</dcterms:modified>
</cp:coreProperties>
</file>