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palof\Documents\Current projects\Tanner\2021-2022\CSA estimates\"/>
    </mc:Choice>
  </mc:AlternateContent>
  <xr:revisionPtr revIDLastSave="0" documentId="8_{A83F5B2A-8521-4947-B042-4FFB3F15C7C4}" xr6:coauthVersionLast="47" xr6:coauthVersionMax="47" xr10:uidLastSave="{00000000-0000-0000-0000-000000000000}"/>
  <bookViews>
    <workbookView xWindow="28680" yWindow="-120" windowWidth="29040" windowHeight="15840" tabRatio="601"/>
  </bookViews>
  <sheets>
    <sheet name="Estimates 3 Stage" sheetId="12" r:id="rId1"/>
    <sheet name="parameter history" sheetId="20" r:id="rId2"/>
    <sheet name="CSA Results" sheetId="19" r:id="rId3"/>
    <sheet name="Estimates 3 S_OLD CATCH" sheetId="21" r:id="rId4"/>
  </sheets>
  <definedNames>
    <definedName name="solver_adj" localSheetId="3" hidden="1">'Estimates 3 S_OLD CATCH'!$P$9:$P$28,'Estimates 3 S_OLD CATCH'!$P$2:$P$3</definedName>
    <definedName name="solver_adj" localSheetId="0" hidden="1">'Estimates 3 Stage'!$P$8:$P$34,'Estimates 3 Stage'!$P$2:$P$3</definedName>
    <definedName name="solver_cvg" localSheetId="3" hidden="1">0.0001</definedName>
    <definedName name="solver_cvg" localSheetId="0" hidden="1">0.0001</definedName>
    <definedName name="solver_drv" localSheetId="3" hidden="1">1</definedName>
    <definedName name="solver_drv" localSheetId="0" hidden="1">1</definedName>
    <definedName name="solver_eng" localSheetId="3" hidden="1">1</definedName>
    <definedName name="solver_eng" localSheetId="0" hidden="1">1</definedName>
    <definedName name="solver_est" localSheetId="3" hidden="1">1</definedName>
    <definedName name="solver_est" localSheetId="0" hidden="1">1</definedName>
    <definedName name="solver_itr" localSheetId="3" hidden="1">100</definedName>
    <definedName name="solver_itr" localSheetId="0" hidden="1">100</definedName>
    <definedName name="solver_lhs1" localSheetId="3" hidden="1">'Estimates 3 S_OLD CATCH'!$P$10:$P$28</definedName>
    <definedName name="solver_lhs1" localSheetId="0" hidden="1">'Estimates 3 Stage'!$P$8:$P$34</definedName>
    <definedName name="solver_lhs2" localSheetId="3" hidden="1">'Estimates 3 S_OLD CATCH'!$P$10:$P$25</definedName>
    <definedName name="solver_lhs2" localSheetId="0" hidden="1">'Estimates 3 Stage'!$P$8:$P$23</definedName>
    <definedName name="solver_lin" localSheetId="3" hidden="1">2</definedName>
    <definedName name="solver_lin" localSheetId="0" hidden="1">2</definedName>
    <definedName name="solver_mip" localSheetId="3" hidden="1">2147483647</definedName>
    <definedName name="solver_mip" localSheetId="0" hidden="1">2147483647</definedName>
    <definedName name="solver_mni" localSheetId="3" hidden="1">30</definedName>
    <definedName name="solver_mni" localSheetId="0" hidden="1">30</definedName>
    <definedName name="solver_mrt" localSheetId="3" hidden="1">0.075</definedName>
    <definedName name="solver_mrt" localSheetId="0" hidden="1">0.075</definedName>
    <definedName name="solver_msl" localSheetId="3" hidden="1">2</definedName>
    <definedName name="solver_msl" localSheetId="0" hidden="1">2</definedName>
    <definedName name="solver_neg" localSheetId="3" hidden="1">2</definedName>
    <definedName name="solver_neg" localSheetId="0" hidden="1">2</definedName>
    <definedName name="solver_nod" localSheetId="3" hidden="1">2147483647</definedName>
    <definedName name="solver_nod" localSheetId="0" hidden="1">2147483647</definedName>
    <definedName name="solver_num" localSheetId="3" hidden="1">1</definedName>
    <definedName name="solver_num" localSheetId="0" hidden="1">1</definedName>
    <definedName name="solver_nwt" localSheetId="3" hidden="1">1</definedName>
    <definedName name="solver_nwt" localSheetId="0" hidden="1">1</definedName>
    <definedName name="solver_opt" localSheetId="3" hidden="1">'Estimates 3 S_OLD CATCH'!$S$2</definedName>
    <definedName name="solver_opt" localSheetId="0" hidden="1">'Estimates 3 Stage'!$S$2</definedName>
    <definedName name="solver_pre" localSheetId="3" hidden="1">0.000001</definedName>
    <definedName name="solver_pre" localSheetId="0" hidden="1">0.000001</definedName>
    <definedName name="solver_rbv" localSheetId="3" hidden="1">1</definedName>
    <definedName name="solver_rbv" localSheetId="0" hidden="1">1</definedName>
    <definedName name="solver_rel1" localSheetId="3" hidden="1">3</definedName>
    <definedName name="solver_rel1" localSheetId="0" hidden="1">3</definedName>
    <definedName name="solver_rel2" localSheetId="3" hidden="1">3</definedName>
    <definedName name="solver_rel2" localSheetId="0" hidden="1">3</definedName>
    <definedName name="solver_rhs1" localSheetId="3" hidden="1">0.1</definedName>
    <definedName name="solver_rhs1" localSheetId="0" hidden="1">0.1</definedName>
    <definedName name="solver_rhs2" localSheetId="3" hidden="1">0.1</definedName>
    <definedName name="solver_rhs2" localSheetId="0" hidden="1">0.1</definedName>
    <definedName name="solver_rlx" localSheetId="3" hidden="1">1</definedName>
    <definedName name="solver_rlx" localSheetId="0" hidden="1">1</definedName>
    <definedName name="solver_rsd" localSheetId="3" hidden="1">0</definedName>
    <definedName name="solver_rsd" localSheetId="0" hidden="1">0</definedName>
    <definedName name="solver_scl" localSheetId="3" hidden="1">2</definedName>
    <definedName name="solver_scl" localSheetId="0" hidden="1">2</definedName>
    <definedName name="solver_sho" localSheetId="3" hidden="1">2</definedName>
    <definedName name="solver_sho" localSheetId="0" hidden="1">2</definedName>
    <definedName name="solver_ssz" localSheetId="3" hidden="1">100</definedName>
    <definedName name="solver_ssz" localSheetId="0" hidden="1">100</definedName>
    <definedName name="solver_tim" localSheetId="3" hidden="1">100</definedName>
    <definedName name="solver_tim" localSheetId="0" hidden="1">100</definedName>
    <definedName name="solver_tol" localSheetId="3" hidden="1">0.05</definedName>
    <definedName name="solver_tol" localSheetId="0" hidden="1">0.05</definedName>
    <definedName name="solver_typ" localSheetId="3" hidden="1">2</definedName>
    <definedName name="solver_typ" localSheetId="0" hidden="1">2</definedName>
    <definedName name="solver_val" localSheetId="3" hidden="1">0</definedName>
    <definedName name="solver_val" localSheetId="0" hidden="1">0</definedName>
    <definedName name="solver_ver" localSheetId="3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4" i="12" l="1"/>
  <c r="N34" i="12"/>
  <c r="O34" i="12"/>
  <c r="Q34" i="12" s="1"/>
  <c r="AA34" i="12"/>
  <c r="M33" i="12"/>
  <c r="N33" i="12"/>
  <c r="O33" i="12"/>
  <c r="Q33" i="12" s="1"/>
  <c r="AA33" i="12"/>
  <c r="F12" i="20"/>
  <c r="G12" i="20"/>
  <c r="K12" i="20"/>
  <c r="M32" i="12"/>
  <c r="N32" i="12"/>
  <c r="O32" i="12"/>
  <c r="Q32" i="12" s="1"/>
  <c r="AA32" i="12"/>
  <c r="F11" i="20"/>
  <c r="G11" i="20"/>
  <c r="K11" i="20"/>
  <c r="F10" i="20"/>
  <c r="G10" i="20"/>
  <c r="K10" i="20"/>
  <c r="K9" i="20"/>
  <c r="M31" i="12"/>
  <c r="N31" i="12"/>
  <c r="O31" i="12"/>
  <c r="Q31" i="12" s="1"/>
  <c r="AA31" i="12"/>
  <c r="F9" i="20"/>
  <c r="G9" i="20"/>
  <c r="M30" i="12"/>
  <c r="N30" i="12"/>
  <c r="O30" i="12"/>
  <c r="Q30" i="12" s="1"/>
  <c r="U30" i="12" s="1"/>
  <c r="AA30" i="12"/>
  <c r="M29" i="12"/>
  <c r="N29" i="12"/>
  <c r="O29" i="12"/>
  <c r="Q29" i="12" s="1"/>
  <c r="AA29" i="12"/>
  <c r="F8" i="20"/>
  <c r="G8" i="20"/>
  <c r="M28" i="12"/>
  <c r="N28" i="12"/>
  <c r="O28" i="12"/>
  <c r="Q28" i="12" s="1"/>
  <c r="U28" i="12" s="1"/>
  <c r="AA28" i="12"/>
  <c r="M27" i="12"/>
  <c r="N27" i="12"/>
  <c r="O27" i="12"/>
  <c r="Q27" i="12" s="1"/>
  <c r="AA27" i="12"/>
  <c r="O28" i="21"/>
  <c r="Q26" i="21"/>
  <c r="O27" i="21"/>
  <c r="Q25" i="21"/>
  <c r="R26" i="21"/>
  <c r="AA26" i="21"/>
  <c r="O26" i="21"/>
  <c r="Q24" i="21"/>
  <c r="AB24" i="21"/>
  <c r="N26" i="21"/>
  <c r="M26" i="21"/>
  <c r="AI25" i="21"/>
  <c r="AA25" i="21"/>
  <c r="O25" i="21"/>
  <c r="Q23" i="21"/>
  <c r="N25" i="21"/>
  <c r="M25" i="21"/>
  <c r="AI24" i="21"/>
  <c r="AA24" i="21"/>
  <c r="O24" i="21"/>
  <c r="Q22" i="21"/>
  <c r="N24" i="21"/>
  <c r="M24" i="21"/>
  <c r="AI23" i="21"/>
  <c r="AA23" i="21"/>
  <c r="O23" i="21"/>
  <c r="Q21" i="21"/>
  <c r="R22" i="21"/>
  <c r="N23" i="21"/>
  <c r="M23" i="21"/>
  <c r="AI22" i="21"/>
  <c r="AA22" i="21"/>
  <c r="O22" i="21"/>
  <c r="Q20" i="21"/>
  <c r="N22" i="21"/>
  <c r="M22" i="21"/>
  <c r="AI21" i="21"/>
  <c r="AA21" i="21"/>
  <c r="O21" i="21"/>
  <c r="Q19" i="21"/>
  <c r="N21" i="21"/>
  <c r="M21" i="21"/>
  <c r="AI20" i="21"/>
  <c r="AA20" i="21"/>
  <c r="O20" i="21"/>
  <c r="Q18" i="21"/>
  <c r="U18" i="21"/>
  <c r="N20" i="21"/>
  <c r="M20" i="21"/>
  <c r="AI19" i="21"/>
  <c r="AA19" i="21"/>
  <c r="O19" i="21"/>
  <c r="Q17" i="21"/>
  <c r="N19" i="21"/>
  <c r="M19" i="21"/>
  <c r="AL18" i="21"/>
  <c r="AI18" i="21"/>
  <c r="AA18" i="21"/>
  <c r="O18" i="21"/>
  <c r="Q16" i="21"/>
  <c r="U16" i="21"/>
  <c r="N18" i="21"/>
  <c r="M18" i="21"/>
  <c r="AL17" i="21"/>
  <c r="AI17" i="21"/>
  <c r="AA17" i="21"/>
  <c r="O17" i="21"/>
  <c r="Q15" i="21"/>
  <c r="R16" i="21"/>
  <c r="N17" i="21"/>
  <c r="M17" i="21"/>
  <c r="AL16" i="21"/>
  <c r="AI16" i="21"/>
  <c r="AA16" i="21"/>
  <c r="O16" i="21"/>
  <c r="Q14" i="21"/>
  <c r="N16" i="21"/>
  <c r="M16" i="21"/>
  <c r="AL15" i="21"/>
  <c r="AI15" i="21"/>
  <c r="AA15" i="21"/>
  <c r="O15" i="21"/>
  <c r="Q13" i="21"/>
  <c r="N15" i="21"/>
  <c r="M15" i="21"/>
  <c r="AL14" i="21"/>
  <c r="AI14" i="21"/>
  <c r="AA14" i="21"/>
  <c r="O14" i="21"/>
  <c r="Q12" i="21"/>
  <c r="N14" i="21"/>
  <c r="M14" i="21"/>
  <c r="AL13" i="21"/>
  <c r="AI13" i="21"/>
  <c r="AA13" i="21"/>
  <c r="O13" i="21"/>
  <c r="Q11" i="21"/>
  <c r="N13" i="21"/>
  <c r="M13" i="21"/>
  <c r="AL12" i="21"/>
  <c r="AI12" i="21"/>
  <c r="AA12" i="21"/>
  <c r="O12" i="21"/>
  <c r="Q10" i="21"/>
  <c r="R11" i="21"/>
  <c r="N12" i="21"/>
  <c r="M12" i="21"/>
  <c r="AL11" i="21"/>
  <c r="AI11" i="21"/>
  <c r="AA11" i="21"/>
  <c r="O11" i="21"/>
  <c r="R10" i="21"/>
  <c r="N11" i="21"/>
  <c r="M11" i="21"/>
  <c r="AL10" i="21"/>
  <c r="AI10" i="21"/>
  <c r="AA10" i="21"/>
  <c r="O10" i="21"/>
  <c r="S10" i="21"/>
  <c r="W10" i="21"/>
  <c r="N10" i="21"/>
  <c r="M10" i="21"/>
  <c r="AL9" i="21"/>
  <c r="AK9" i="21"/>
  <c r="AA9" i="21"/>
  <c r="O9" i="21"/>
  <c r="Q7" i="21"/>
  <c r="O3" i="21"/>
  <c r="O2" i="21"/>
  <c r="AB9" i="21"/>
  <c r="AC9" i="21"/>
  <c r="AD9" i="21"/>
  <c r="AI25" i="12"/>
  <c r="O26" i="12"/>
  <c r="Q26" i="12" s="1"/>
  <c r="N25" i="12"/>
  <c r="N26" i="12"/>
  <c r="M26" i="12"/>
  <c r="AA26" i="12"/>
  <c r="C5" i="20"/>
  <c r="D5" i="20"/>
  <c r="D6" i="20"/>
  <c r="C6" i="20"/>
  <c r="O25" i="12"/>
  <c r="Q25" i="12" s="1"/>
  <c r="AI23" i="12"/>
  <c r="AI24" i="12"/>
  <c r="M25" i="12"/>
  <c r="AA25" i="12"/>
  <c r="O2" i="12"/>
  <c r="O3" i="12"/>
  <c r="O24" i="12"/>
  <c r="Q24" i="12" s="1"/>
  <c r="U24" i="12" s="1"/>
  <c r="M24" i="12"/>
  <c r="N24" i="12"/>
  <c r="AA24" i="12"/>
  <c r="AI22" i="12"/>
  <c r="M23" i="12"/>
  <c r="N23" i="12"/>
  <c r="O21" i="12"/>
  <c r="Q21" i="12" s="1"/>
  <c r="U21" i="12" s="1"/>
  <c r="AA23" i="12"/>
  <c r="AI21" i="12"/>
  <c r="M22" i="12"/>
  <c r="N22" i="12"/>
  <c r="O20" i="12"/>
  <c r="Q20" i="12" s="1"/>
  <c r="AA22" i="12"/>
  <c r="AI11" i="12"/>
  <c r="AI12" i="12"/>
  <c r="AI13" i="12"/>
  <c r="AI14" i="12"/>
  <c r="AI15" i="12"/>
  <c r="AI16" i="12"/>
  <c r="AI17" i="12"/>
  <c r="AI18" i="12"/>
  <c r="AI19" i="12"/>
  <c r="AI20" i="12"/>
  <c r="AI10" i="12"/>
  <c r="O10" i="12"/>
  <c r="Q10" i="12" s="1"/>
  <c r="O9" i="12"/>
  <c r="R10" i="12" s="1"/>
  <c r="O8" i="12"/>
  <c r="S10" i="12" s="1"/>
  <c r="O11" i="12"/>
  <c r="Q11" i="12" s="1"/>
  <c r="O12" i="12"/>
  <c r="Q12" i="12" s="1"/>
  <c r="O13" i="12"/>
  <c r="Q13" i="12" s="1"/>
  <c r="U13" i="12" s="1"/>
  <c r="O14" i="12"/>
  <c r="Q14" i="12" s="1"/>
  <c r="O15" i="12"/>
  <c r="Q15" i="12" s="1"/>
  <c r="U15" i="12" s="1"/>
  <c r="O16" i="12"/>
  <c r="Q16" i="12" s="1"/>
  <c r="O17" i="12"/>
  <c r="Q17" i="12" s="1"/>
  <c r="O18" i="12"/>
  <c r="Q18" i="12" s="1"/>
  <c r="O19" i="12"/>
  <c r="Q19" i="12" s="1"/>
  <c r="O22" i="12"/>
  <c r="Q22" i="12" s="1"/>
  <c r="U22" i="12" s="1"/>
  <c r="O23" i="12"/>
  <c r="Q23" i="12" s="1"/>
  <c r="U23" i="12" s="1"/>
  <c r="M21" i="12"/>
  <c r="N21" i="12"/>
  <c r="AA21" i="12"/>
  <c r="N11" i="12"/>
  <c r="M11" i="12"/>
  <c r="N12" i="12"/>
  <c r="M12" i="12"/>
  <c r="N13" i="12"/>
  <c r="M13" i="12"/>
  <c r="N14" i="12"/>
  <c r="M14" i="12"/>
  <c r="N15" i="12"/>
  <c r="M15" i="12"/>
  <c r="N16" i="12"/>
  <c r="M16" i="12"/>
  <c r="N17" i="12"/>
  <c r="M17" i="12"/>
  <c r="N18" i="12"/>
  <c r="M18" i="12"/>
  <c r="N19" i="12"/>
  <c r="M19" i="12"/>
  <c r="N20" i="12"/>
  <c r="M20" i="12"/>
  <c r="AA20" i="12"/>
  <c r="N10" i="12"/>
  <c r="M10" i="12"/>
  <c r="AA19" i="12"/>
  <c r="AK9" i="12"/>
  <c r="AA18" i="12"/>
  <c r="AA17" i="12"/>
  <c r="AA16" i="12"/>
  <c r="AA15" i="12"/>
  <c r="AA14" i="12"/>
  <c r="AA13" i="12"/>
  <c r="AA12" i="12"/>
  <c r="AA11" i="12"/>
  <c r="AA10" i="12"/>
  <c r="AA9" i="12"/>
  <c r="Q5" i="12"/>
  <c r="AL18" i="12"/>
  <c r="AL17" i="12"/>
  <c r="AL16" i="12"/>
  <c r="AL15" i="12"/>
  <c r="AL14" i="12"/>
  <c r="AL13" i="12"/>
  <c r="AL12" i="12"/>
  <c r="AL11" i="12"/>
  <c r="AL10" i="12"/>
  <c r="AL9" i="12"/>
  <c r="S11" i="21"/>
  <c r="T11" i="21"/>
  <c r="U22" i="21"/>
  <c r="U15" i="21"/>
  <c r="AB19" i="21"/>
  <c r="U19" i="21"/>
  <c r="R20" i="21"/>
  <c r="V20" i="21"/>
  <c r="V11" i="21"/>
  <c r="AB12" i="21"/>
  <c r="R13" i="21"/>
  <c r="U12" i="21"/>
  <c r="AB16" i="21"/>
  <c r="R17" i="21"/>
  <c r="R12" i="21"/>
  <c r="U11" i="21"/>
  <c r="F6" i="20"/>
  <c r="F7" i="20"/>
  <c r="AB15" i="21"/>
  <c r="R19" i="21"/>
  <c r="V19" i="21"/>
  <c r="U10" i="21"/>
  <c r="AB10" i="21"/>
  <c r="V10" i="21"/>
  <c r="U17" i="21"/>
  <c r="AB17" i="21"/>
  <c r="R18" i="21"/>
  <c r="V18" i="21"/>
  <c r="AB20" i="21"/>
  <c r="U20" i="21"/>
  <c r="U25" i="21"/>
  <c r="AB25" i="21"/>
  <c r="R24" i="21"/>
  <c r="AB23" i="21"/>
  <c r="U23" i="21"/>
  <c r="G7" i="20"/>
  <c r="AE9" i="21"/>
  <c r="V17" i="21"/>
  <c r="V24" i="21"/>
  <c r="V16" i="21"/>
  <c r="V13" i="21"/>
  <c r="V26" i="21"/>
  <c r="V22" i="21"/>
  <c r="AB9" i="12"/>
  <c r="AB14" i="21"/>
  <c r="R15" i="21"/>
  <c r="U14" i="21"/>
  <c r="U13" i="21"/>
  <c r="AB13" i="21"/>
  <c r="Y10" i="21"/>
  <c r="AK11" i="21"/>
  <c r="R14" i="21"/>
  <c r="T10" i="21"/>
  <c r="W11" i="21"/>
  <c r="Y11" i="21"/>
  <c r="AC12" i="21"/>
  <c r="R21" i="21"/>
  <c r="R25" i="21"/>
  <c r="AB11" i="21"/>
  <c r="U24" i="21"/>
  <c r="AB26" i="21"/>
  <c r="U26" i="21"/>
  <c r="V12" i="21"/>
  <c r="AC10" i="21"/>
  <c r="AD10" i="21"/>
  <c r="AE10" i="21"/>
  <c r="AK10" i="21"/>
  <c r="G6" i="20"/>
  <c r="S12" i="21"/>
  <c r="T12" i="21"/>
  <c r="AC11" i="21"/>
  <c r="AB22" i="21"/>
  <c r="R23" i="21"/>
  <c r="AB18" i="21"/>
  <c r="G5" i="20"/>
  <c r="F5" i="20"/>
  <c r="U21" i="21"/>
  <c r="AB21" i="21"/>
  <c r="V23" i="21"/>
  <c r="V15" i="21"/>
  <c r="V14" i="21"/>
  <c r="AK12" i="21"/>
  <c r="W12" i="21"/>
  <c r="Y12" i="21"/>
  <c r="S13" i="21"/>
  <c r="AH12" i="21"/>
  <c r="AD12" i="21"/>
  <c r="AE12" i="21"/>
  <c r="AH11" i="21"/>
  <c r="AD11" i="21"/>
  <c r="AE11" i="21"/>
  <c r="V25" i="21"/>
  <c r="V21" i="21"/>
  <c r="AC13" i="21"/>
  <c r="W13" i="21"/>
  <c r="Y13" i="21"/>
  <c r="AK13" i="21"/>
  <c r="S14" i="21"/>
  <c r="T13" i="21"/>
  <c r="AD13" i="21"/>
  <c r="AE13" i="21"/>
  <c r="AH13" i="21"/>
  <c r="W14" i="21"/>
  <c r="Y14" i="21"/>
  <c r="AK14" i="21"/>
  <c r="T14" i="21"/>
  <c r="AC14" i="21"/>
  <c r="S15" i="21"/>
  <c r="AD14" i="21"/>
  <c r="AE14" i="21"/>
  <c r="AH14" i="21"/>
  <c r="AK15" i="21"/>
  <c r="W15" i="21"/>
  <c r="Y15" i="21"/>
  <c r="AC15" i="21"/>
  <c r="T15" i="21"/>
  <c r="S16" i="21"/>
  <c r="AD15" i="21"/>
  <c r="AE15" i="21"/>
  <c r="AH15" i="21"/>
  <c r="W16" i="21"/>
  <c r="Y16" i="21"/>
  <c r="AK16" i="21"/>
  <c r="AC16" i="21"/>
  <c r="S17" i="21"/>
  <c r="T16" i="21"/>
  <c r="W17" i="21"/>
  <c r="Y17" i="21"/>
  <c r="AK17" i="21"/>
  <c r="S18" i="21"/>
  <c r="T17" i="21"/>
  <c r="AC17" i="21"/>
  <c r="AF16" i="21"/>
  <c r="AG16" i="21"/>
  <c r="AD16" i="21"/>
  <c r="AE16" i="21"/>
  <c r="AH16" i="21"/>
  <c r="AK18" i="21"/>
  <c r="W18" i="21"/>
  <c r="Y18" i="21"/>
  <c r="S19" i="21"/>
  <c r="T18" i="21"/>
  <c r="AC18" i="21"/>
  <c r="AF17" i="21"/>
  <c r="AG17" i="21"/>
  <c r="AH17" i="21"/>
  <c r="AD17" i="21"/>
  <c r="AE17" i="21"/>
  <c r="W19" i="21"/>
  <c r="Y19" i="21"/>
  <c r="AC19" i="21"/>
  <c r="T19" i="21"/>
  <c r="S20" i="21"/>
  <c r="AF18" i="21"/>
  <c r="AG18" i="21"/>
  <c r="AH18" i="21"/>
  <c r="AD18" i="21"/>
  <c r="AE18" i="21"/>
  <c r="AC20" i="21"/>
  <c r="W20" i="21"/>
  <c r="Y20" i="21"/>
  <c r="T20" i="21"/>
  <c r="S21" i="21"/>
  <c r="AD19" i="21"/>
  <c r="AE19" i="21"/>
  <c r="AF19" i="21"/>
  <c r="AG19" i="21"/>
  <c r="AH19" i="21"/>
  <c r="AF20" i="21"/>
  <c r="AG20" i="21"/>
  <c r="AH20" i="21"/>
  <c r="AD20" i="21"/>
  <c r="AE20" i="21"/>
  <c r="W21" i="21"/>
  <c r="Y21" i="21"/>
  <c r="S22" i="21"/>
  <c r="T21" i="21"/>
  <c r="AC21" i="21"/>
  <c r="W22" i="21"/>
  <c r="Y22" i="21"/>
  <c r="T22" i="21"/>
  <c r="AC22" i="21"/>
  <c r="S23" i="21"/>
  <c r="AH21" i="21"/>
  <c r="AD21" i="21"/>
  <c r="AE21" i="21"/>
  <c r="W23" i="21"/>
  <c r="Y23" i="21"/>
  <c r="AC23" i="21"/>
  <c r="T23" i="21"/>
  <c r="S24" i="21"/>
  <c r="AD22" i="21"/>
  <c r="AE22" i="21"/>
  <c r="AH22" i="21"/>
  <c r="AH23" i="21"/>
  <c r="AD23" i="21"/>
  <c r="AE23" i="21"/>
  <c r="W24" i="21"/>
  <c r="Y24" i="21"/>
  <c r="S25" i="21"/>
  <c r="AC24" i="21"/>
  <c r="T24" i="21"/>
  <c r="W25" i="21"/>
  <c r="Y25" i="21"/>
  <c r="T25" i="21"/>
  <c r="S26" i="21"/>
  <c r="AC25" i="21"/>
  <c r="AH24" i="21"/>
  <c r="AD24" i="21"/>
  <c r="AE24" i="21"/>
  <c r="AH25" i="21"/>
  <c r="AD25" i="21"/>
  <c r="AE25" i="21"/>
  <c r="AC26" i="21"/>
  <c r="AD26" i="21"/>
  <c r="AE26" i="21"/>
  <c r="T26" i="21"/>
  <c r="W26" i="21"/>
  <c r="Y26" i="21"/>
  <c r="S2" i="21"/>
  <c r="AB33" i="12" l="1"/>
  <c r="AB32" i="12"/>
  <c r="AB28" i="12"/>
  <c r="AB25" i="12"/>
  <c r="AB14" i="12"/>
  <c r="AB19" i="12"/>
  <c r="AB30" i="12"/>
  <c r="AC9" i="12"/>
  <c r="AD9" i="12" s="1"/>
  <c r="AE9" i="12" s="1"/>
  <c r="AB29" i="12"/>
  <c r="R29" i="12"/>
  <c r="V29" i="12" s="1"/>
  <c r="AB34" i="12"/>
  <c r="AB27" i="12"/>
  <c r="U27" i="12"/>
  <c r="C15" i="19"/>
  <c r="B7" i="19"/>
  <c r="R24" i="12"/>
  <c r="V24" i="12" s="1"/>
  <c r="B14" i="19"/>
  <c r="C14" i="19"/>
  <c r="C5" i="19"/>
  <c r="AB11" i="12"/>
  <c r="W10" i="12"/>
  <c r="AK10" i="12"/>
  <c r="C4" i="19"/>
  <c r="U10" i="12"/>
  <c r="B4" i="19"/>
  <c r="AB10" i="12"/>
  <c r="R11" i="12"/>
  <c r="V11" i="12" s="1"/>
  <c r="U26" i="12"/>
  <c r="AB26" i="12"/>
  <c r="B12" i="19"/>
  <c r="U18" i="12"/>
  <c r="C12" i="19"/>
  <c r="AB12" i="12"/>
  <c r="U12" i="12"/>
  <c r="C6" i="19"/>
  <c r="AB31" i="12"/>
  <c r="U31" i="12"/>
  <c r="C10" i="19"/>
  <c r="AB16" i="12"/>
  <c r="U16" i="12"/>
  <c r="B10" i="19"/>
  <c r="R17" i="12"/>
  <c r="V17" i="12" s="1"/>
  <c r="C8" i="19"/>
  <c r="AB21" i="12"/>
  <c r="U29" i="12"/>
  <c r="C7" i="19"/>
  <c r="R26" i="12"/>
  <c r="V26" i="12" s="1"/>
  <c r="D4" i="19"/>
  <c r="D20" i="19" s="1"/>
  <c r="R27" i="12"/>
  <c r="V27" i="12" s="1"/>
  <c r="B5" i="19"/>
  <c r="U32" i="12"/>
  <c r="AB13" i="12"/>
  <c r="R14" i="12"/>
  <c r="V14" i="12" s="1"/>
  <c r="U11" i="12"/>
  <c r="AB24" i="12"/>
  <c r="U17" i="12"/>
  <c r="B11" i="19"/>
  <c r="R18" i="12"/>
  <c r="AB17" i="12"/>
  <c r="C11" i="19"/>
  <c r="B9" i="19"/>
  <c r="U25" i="12"/>
  <c r="T10" i="12"/>
  <c r="AB22" i="12"/>
  <c r="AB20" i="12"/>
  <c r="U20" i="12"/>
  <c r="R21" i="12"/>
  <c r="R32" i="12"/>
  <c r="B6" i="19"/>
  <c r="R13" i="12"/>
  <c r="R31" i="12"/>
  <c r="S11" i="12"/>
  <c r="AC10" i="12"/>
  <c r="V10" i="12"/>
  <c r="E4" i="19"/>
  <c r="I4" i="19" s="1"/>
  <c r="R19" i="12"/>
  <c r="R22" i="12"/>
  <c r="R34" i="12"/>
  <c r="R25" i="12"/>
  <c r="C13" i="19"/>
  <c r="U19" i="12"/>
  <c r="B13" i="19"/>
  <c r="R20" i="12"/>
  <c r="R16" i="12"/>
  <c r="AB15" i="12"/>
  <c r="C9" i="19"/>
  <c r="R28" i="12"/>
  <c r="R23" i="12"/>
  <c r="R15" i="12"/>
  <c r="U14" i="12"/>
  <c r="B8" i="19"/>
  <c r="R33" i="12"/>
  <c r="B15" i="19"/>
  <c r="R30" i="12"/>
  <c r="AB23" i="12"/>
  <c r="R12" i="12"/>
  <c r="AB18" i="12"/>
  <c r="U33" i="12"/>
  <c r="U34" i="12"/>
  <c r="F4" i="19" l="1"/>
  <c r="F20" i="19" s="1"/>
  <c r="E5" i="19"/>
  <c r="I5" i="19" s="1"/>
  <c r="Y10" i="12"/>
  <c r="D5" i="19"/>
  <c r="E20" i="19" s="1"/>
  <c r="S12" i="12"/>
  <c r="S13" i="12" s="1"/>
  <c r="E7" i="19" s="1"/>
  <c r="I7" i="19" s="1"/>
  <c r="G4" i="19"/>
  <c r="AD10" i="12"/>
  <c r="V13" i="12"/>
  <c r="AC11" i="12"/>
  <c r="V30" i="12"/>
  <c r="V32" i="12"/>
  <c r="V15" i="12"/>
  <c r="V20" i="12"/>
  <c r="V23" i="12"/>
  <c r="V28" i="12"/>
  <c r="V19" i="12"/>
  <c r="V31" i="12"/>
  <c r="V21" i="12"/>
  <c r="V25" i="12"/>
  <c r="V34" i="12"/>
  <c r="V33" i="12"/>
  <c r="V22" i="12"/>
  <c r="AB3" i="12"/>
  <c r="V16" i="12"/>
  <c r="V18" i="12"/>
  <c r="V12" i="12"/>
  <c r="W11" i="12"/>
  <c r="Y11" i="12" s="1"/>
  <c r="AK11" i="12"/>
  <c r="T11" i="12"/>
  <c r="AK12" i="12" l="1"/>
  <c r="T12" i="12"/>
  <c r="E6" i="19"/>
  <c r="I6" i="19" s="1"/>
  <c r="D6" i="19"/>
  <c r="E21" i="19" s="1"/>
  <c r="AC12" i="12"/>
  <c r="G6" i="19" s="1"/>
  <c r="D21" i="19"/>
  <c r="F5" i="19"/>
  <c r="F21" i="19" s="1"/>
  <c r="W12" i="12"/>
  <c r="Y12" i="12" s="1"/>
  <c r="S14" i="12"/>
  <c r="AD11" i="12"/>
  <c r="AE11" i="12" s="1"/>
  <c r="AH11" i="12"/>
  <c r="G5" i="19"/>
  <c r="AE10" i="12"/>
  <c r="AK13" i="12"/>
  <c r="W13" i="12"/>
  <c r="Y13" i="12" s="1"/>
  <c r="D7" i="19"/>
  <c r="AC13" i="12"/>
  <c r="T13" i="12"/>
  <c r="F6" i="19" l="1"/>
  <c r="F22" i="19" s="1"/>
  <c r="D22" i="19"/>
  <c r="AD12" i="12"/>
  <c r="AE12" i="12" s="1"/>
  <c r="G20" i="19"/>
  <c r="AH12" i="12"/>
  <c r="AK14" i="12"/>
  <c r="W14" i="12"/>
  <c r="Y14" i="12" s="1"/>
  <c r="D8" i="19"/>
  <c r="E8" i="19"/>
  <c r="I8" i="19" s="1"/>
  <c r="AC14" i="12"/>
  <c r="S15" i="12"/>
  <c r="T14" i="12"/>
  <c r="G7" i="19"/>
  <c r="AH13" i="12"/>
  <c r="AD13" i="12"/>
  <c r="AE13" i="12" s="1"/>
  <c r="D23" i="19"/>
  <c r="E22" i="19"/>
  <c r="F7" i="19"/>
  <c r="G21" i="19" l="1"/>
  <c r="F23" i="19"/>
  <c r="G22" i="19"/>
  <c r="W15" i="12"/>
  <c r="Y15" i="12" s="1"/>
  <c r="AK15" i="12"/>
  <c r="D9" i="19"/>
  <c r="E9" i="19"/>
  <c r="I9" i="19" s="1"/>
  <c r="S16" i="12"/>
  <c r="T15" i="12"/>
  <c r="AC15" i="12"/>
  <c r="AD14" i="12"/>
  <c r="G8" i="19"/>
  <c r="AH14" i="12"/>
  <c r="E23" i="19"/>
  <c r="D24" i="19"/>
  <c r="F8" i="19"/>
  <c r="AK16" i="12" l="1"/>
  <c r="W16" i="12"/>
  <c r="Y16" i="12" s="1"/>
  <c r="S17" i="12"/>
  <c r="E10" i="19"/>
  <c r="I10" i="19" s="1"/>
  <c r="T16" i="12"/>
  <c r="AC16" i="12"/>
  <c r="D10" i="19"/>
  <c r="AH15" i="12"/>
  <c r="G9" i="19"/>
  <c r="AD15" i="12"/>
  <c r="AE15" i="12" s="1"/>
  <c r="G23" i="19"/>
  <c r="F24" i="19"/>
  <c r="D25" i="19"/>
  <c r="E24" i="19"/>
  <c r="F9" i="19"/>
  <c r="AE14" i="12"/>
  <c r="F25" i="19" l="1"/>
  <c r="G24" i="19"/>
  <c r="AH16" i="12"/>
  <c r="AD16" i="12"/>
  <c r="G10" i="19"/>
  <c r="AF16" i="12"/>
  <c r="AG16" i="12" s="1"/>
  <c r="E25" i="19"/>
  <c r="D26" i="19"/>
  <c r="F10" i="19"/>
  <c r="W17" i="12"/>
  <c r="Y17" i="12" s="1"/>
  <c r="S18" i="12"/>
  <c r="AK17" i="12"/>
  <c r="D11" i="19"/>
  <c r="T17" i="12"/>
  <c r="E11" i="19"/>
  <c r="I11" i="19" s="1"/>
  <c r="AC17" i="12"/>
  <c r="AK18" i="12" l="1"/>
  <c r="W18" i="12"/>
  <c r="Y18" i="12" s="1"/>
  <c r="D12" i="19"/>
  <c r="T18" i="12"/>
  <c r="S19" i="12"/>
  <c r="E12" i="19"/>
  <c r="I12" i="19" s="1"/>
  <c r="AC18" i="12"/>
  <c r="AE16" i="12"/>
  <c r="F26" i="19"/>
  <c r="G25" i="19"/>
  <c r="D27" i="19"/>
  <c r="E26" i="19"/>
  <c r="F11" i="19"/>
  <c r="AD17" i="12"/>
  <c r="AE17" i="12" s="1"/>
  <c r="AH17" i="12"/>
  <c r="AF17" i="12"/>
  <c r="AG17" i="12" s="1"/>
  <c r="G11" i="19"/>
  <c r="G12" i="19" l="1"/>
  <c r="AD18" i="12"/>
  <c r="AE18" i="12" s="1"/>
  <c r="AH18" i="12"/>
  <c r="AF18" i="12"/>
  <c r="AG18" i="12" s="1"/>
  <c r="W19" i="12"/>
  <c r="Y19" i="12" s="1"/>
  <c r="D13" i="19"/>
  <c r="S20" i="12"/>
  <c r="E13" i="19"/>
  <c r="I13" i="19" s="1"/>
  <c r="T19" i="12"/>
  <c r="AC19" i="12"/>
  <c r="F27" i="19"/>
  <c r="G26" i="19"/>
  <c r="D28" i="19"/>
  <c r="E27" i="19"/>
  <c r="F12" i="19"/>
  <c r="F28" i="19" l="1"/>
  <c r="G27" i="19"/>
  <c r="AF19" i="12"/>
  <c r="AG19" i="12" s="1"/>
  <c r="G13" i="19"/>
  <c r="AH19" i="12"/>
  <c r="AD19" i="12"/>
  <c r="AC3" i="12"/>
  <c r="W20" i="12"/>
  <c r="Y20" i="12" s="1"/>
  <c r="S21" i="12"/>
  <c r="E14" i="19"/>
  <c r="I14" i="19" s="1"/>
  <c r="T20" i="12"/>
  <c r="AC20" i="12"/>
  <c r="D14" i="19"/>
  <c r="E28" i="19"/>
  <c r="D29" i="19"/>
  <c r="D32" i="19" s="1"/>
  <c r="F13" i="19"/>
  <c r="E29" i="19" l="1"/>
  <c r="E32" i="19" s="1"/>
  <c r="F14" i="19"/>
  <c r="G29" i="19" s="1"/>
  <c r="G28" i="19"/>
  <c r="F29" i="19"/>
  <c r="AE19" i="12"/>
  <c r="AD3" i="12"/>
  <c r="AF20" i="12"/>
  <c r="AG20" i="12" s="1"/>
  <c r="AD20" i="12"/>
  <c r="AE20" i="12" s="1"/>
  <c r="G14" i="19"/>
  <c r="AH20" i="12"/>
  <c r="W21" i="12"/>
  <c r="Y21" i="12" s="1"/>
  <c r="T21" i="12"/>
  <c r="S22" i="12"/>
  <c r="E15" i="19"/>
  <c r="I15" i="19" s="1"/>
  <c r="D15" i="19"/>
  <c r="F15" i="19" s="1"/>
  <c r="AC21" i="12"/>
  <c r="G32" i="19" l="1"/>
  <c r="G15" i="19"/>
  <c r="AD21" i="12"/>
  <c r="AE21" i="12" s="1"/>
  <c r="AH21" i="12"/>
  <c r="W22" i="12"/>
  <c r="Y22" i="12" s="1"/>
  <c r="S23" i="12"/>
  <c r="AC22" i="12"/>
  <c r="T22" i="12"/>
  <c r="W23" i="12" l="1"/>
  <c r="Y23" i="12" s="1"/>
  <c r="S24" i="12"/>
  <c r="AC23" i="12"/>
  <c r="T23" i="12"/>
  <c r="AD22" i="12"/>
  <c r="AE22" i="12" s="1"/>
  <c r="AH22" i="12"/>
  <c r="W24" i="12" l="1"/>
  <c r="Y24" i="12" s="1"/>
  <c r="S25" i="12"/>
  <c r="T24" i="12"/>
  <c r="AC24" i="12"/>
  <c r="AH23" i="12"/>
  <c r="AD23" i="12"/>
  <c r="AE23" i="12" s="1"/>
  <c r="W25" i="12" l="1"/>
  <c r="Y25" i="12" s="1"/>
  <c r="AC25" i="12"/>
  <c r="T25" i="12"/>
  <c r="S26" i="12"/>
  <c r="AH24" i="12"/>
  <c r="AD24" i="12"/>
  <c r="AE24" i="12" s="1"/>
  <c r="AH25" i="12" l="1"/>
  <c r="AD25" i="12"/>
  <c r="AE25" i="12" s="1"/>
  <c r="W26" i="12"/>
  <c r="Y26" i="12" s="1"/>
  <c r="S27" i="12"/>
  <c r="AC26" i="12"/>
  <c r="AD26" i="12" s="1"/>
  <c r="AE26" i="12" s="1"/>
  <c r="T26" i="12"/>
  <c r="W27" i="12" l="1"/>
  <c r="Y27" i="12" s="1"/>
  <c r="T27" i="12"/>
  <c r="AC27" i="12"/>
  <c r="AD27" i="12" s="1"/>
  <c r="AE27" i="12" s="1"/>
  <c r="S28" i="12"/>
  <c r="W28" i="12" l="1"/>
  <c r="Y28" i="12" s="1"/>
  <c r="T28" i="12"/>
  <c r="AC28" i="12"/>
  <c r="AD28" i="12" s="1"/>
  <c r="AE28" i="12" s="1"/>
  <c r="S29" i="12"/>
  <c r="W29" i="12" l="1"/>
  <c r="Y29" i="12" s="1"/>
  <c r="AC29" i="12"/>
  <c r="AD29" i="12" s="1"/>
  <c r="AE29" i="12" s="1"/>
  <c r="T29" i="12"/>
  <c r="S30" i="12"/>
  <c r="W30" i="12" l="1"/>
  <c r="Y30" i="12" s="1"/>
  <c r="AC30" i="12"/>
  <c r="AD30" i="12" s="1"/>
  <c r="AE30" i="12" s="1"/>
  <c r="S31" i="12"/>
  <c r="T30" i="12"/>
  <c r="W31" i="12" l="1"/>
  <c r="Y31" i="12" s="1"/>
  <c r="T31" i="12"/>
  <c r="AC31" i="12"/>
  <c r="AD31" i="12" s="1"/>
  <c r="AE31" i="12" s="1"/>
  <c r="S32" i="12"/>
  <c r="W32" i="12" l="1"/>
  <c r="Y32" i="12" s="1"/>
  <c r="T32" i="12"/>
  <c r="S33" i="12"/>
  <c r="AC32" i="12"/>
  <c r="AD32" i="12" s="1"/>
  <c r="AE32" i="12" s="1"/>
  <c r="W33" i="12" l="1"/>
  <c r="Y33" i="12" s="1"/>
  <c r="AC33" i="12"/>
  <c r="AD33" i="12" s="1"/>
  <c r="AE33" i="12" s="1"/>
  <c r="S34" i="12"/>
  <c r="T33" i="12"/>
  <c r="W34" i="12" l="1"/>
  <c r="Y34" i="12" s="1"/>
  <c r="S2" i="12" s="1"/>
  <c r="T34" i="12"/>
  <c r="AC34" i="12"/>
  <c r="AD34" i="12" s="1"/>
  <c r="AE34" i="12" s="1"/>
</calcChain>
</file>

<file path=xl/comments1.xml><?xml version="1.0" encoding="utf-8"?>
<comments xmlns="http://schemas.openxmlformats.org/spreadsheetml/2006/main">
  <authors>
    <author>Katie J Palof</author>
    <author>Windows User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Katie J Palof:</t>
        </r>
        <r>
          <rPr>
            <sz val="9"/>
            <color indexed="81"/>
            <rFont val="Tahoma"/>
            <family val="2"/>
          </rPr>
          <t xml:space="preserve">
Catch updated 11-15-13 from 97-2013 Tanner fishticket.xlsx
</t>
        </r>
      </text>
    </comment>
    <comment ref="C16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Slightly off - long term has 2.93
</t>
        </r>
      </text>
    </comment>
    <comment ref="D16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Long term had 1.70</t>
        </r>
      </text>
    </comment>
    <comment ref="G21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includes stat areas 111-14-17</t>
        </r>
      </text>
    </comment>
  </commentList>
</comments>
</file>

<file path=xl/comments2.xml><?xml version="1.0" encoding="utf-8"?>
<comments xmlns="http://schemas.openxmlformats.org/spreadsheetml/2006/main">
  <authors>
    <author>Katie J Palof</author>
    <author>Windows User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Katie J Palof:</t>
        </r>
        <r>
          <rPr>
            <sz val="9"/>
            <color indexed="81"/>
            <rFont val="Tahoma"/>
            <family val="2"/>
          </rPr>
          <t xml:space="preserve">
Catch updated 11-15-13 from 97-2013 Tanner fishticket.xlsx
</t>
        </r>
      </text>
    </comment>
    <comment ref="C16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Slightly off - long term has 2.93
</t>
        </r>
      </text>
    </comment>
    <comment ref="D16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Long term had 1.70</t>
        </r>
      </text>
    </comment>
    <comment ref="G21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includes stat areas 111-14-17</t>
        </r>
      </text>
    </comment>
  </commentList>
</comments>
</file>

<file path=xl/sharedStrings.xml><?xml version="1.0" encoding="utf-8"?>
<sst xmlns="http://schemas.openxmlformats.org/spreadsheetml/2006/main" count="168" uniqueCount="95">
  <si>
    <t>Recruit</t>
  </si>
  <si>
    <t>Year</t>
  </si>
  <si>
    <t>Survey Year</t>
  </si>
  <si>
    <t>Catch Year</t>
  </si>
  <si>
    <t>Pre-recruit</t>
  </si>
  <si>
    <t>Post-recruit</t>
  </si>
  <si>
    <t>Catch (Number)</t>
  </si>
  <si>
    <t>Catch Mid-Date</t>
  </si>
  <si>
    <t>Survey Mid-Date</t>
  </si>
  <si>
    <t>Mature Weight</t>
  </si>
  <si>
    <t>Legal Weight</t>
  </si>
  <si>
    <t>Prerecruit Weight</t>
  </si>
  <si>
    <t>Catch=&gt;Survey Tau</t>
  </si>
  <si>
    <t>Survey Tau</t>
  </si>
  <si>
    <t>Survival</t>
  </si>
  <si>
    <t>Prerecruit Abundance</t>
  </si>
  <si>
    <t>Legal Abundance</t>
  </si>
  <si>
    <t>Mature Abundance</t>
  </si>
  <si>
    <t>GHL (Pounds)</t>
  </si>
  <si>
    <t>Parameters</t>
  </si>
  <si>
    <t>Estimated</t>
  </si>
  <si>
    <t>2004/05</t>
  </si>
  <si>
    <t>2003/04</t>
  </si>
  <si>
    <t>1996/97</t>
  </si>
  <si>
    <t>1997/98</t>
  </si>
  <si>
    <t>1998/99</t>
  </si>
  <si>
    <t>1999/00</t>
  </si>
  <si>
    <t>2000/01</t>
  </si>
  <si>
    <t>2001/02</t>
  </si>
  <si>
    <t>2002/03</t>
  </si>
  <si>
    <t>2005/06</t>
  </si>
  <si>
    <t>2006/07</t>
  </si>
  <si>
    <t>2007/08</t>
  </si>
  <si>
    <t>number</t>
  </si>
  <si>
    <t>pounds</t>
  </si>
  <si>
    <t>Pre-recruit Abundance</t>
  </si>
  <si>
    <t>Harvest Rate</t>
  </si>
  <si>
    <t>GHL</t>
  </si>
  <si>
    <t>Biomass change</t>
  </si>
  <si>
    <t>Correlation</t>
  </si>
  <si>
    <t>p&gt;.6</t>
  </si>
  <si>
    <t>Estimated HR</t>
  </si>
  <si>
    <t>p = 0.01</t>
  </si>
  <si>
    <t>r^2 = 0.55</t>
  </si>
  <si>
    <t>2008/09</t>
  </si>
  <si>
    <t>2009/10</t>
  </si>
  <si>
    <t>2010/11</t>
  </si>
  <si>
    <t>2011/12</t>
  </si>
  <si>
    <t>Title</t>
  </si>
  <si>
    <t>Objective Function</t>
  </si>
  <si>
    <t>Area</t>
  </si>
  <si>
    <t>q</t>
  </si>
  <si>
    <t>nat mort of pre-recruits</t>
  </si>
  <si>
    <t>Location#</t>
  </si>
  <si>
    <t>Survival/Nat Mort</t>
  </si>
  <si>
    <t>pre-recruits</t>
  </si>
  <si>
    <t>recruits</t>
  </si>
  <si>
    <t>post recruits</t>
  </si>
  <si>
    <t>Seymour Canal</t>
  </si>
  <si>
    <t>fishery year</t>
  </si>
  <si>
    <t>Project 7</t>
  </si>
  <si>
    <t>2012/13</t>
  </si>
  <si>
    <t>sum of estimated</t>
  </si>
  <si>
    <t>log diff bn estimate and actual -squared</t>
  </si>
  <si>
    <t>absolute?</t>
  </si>
  <si>
    <t>Catch (in lbs)</t>
  </si>
  <si>
    <t>CSA model parmeters</t>
  </si>
  <si>
    <t>difference from previous year</t>
  </si>
  <si>
    <t>Location</t>
  </si>
  <si>
    <t>survival</t>
  </si>
  <si>
    <t>SC</t>
  </si>
  <si>
    <t>survey</t>
  </si>
  <si>
    <t>13/14</t>
  </si>
  <si>
    <t>2013/14</t>
  </si>
  <si>
    <t>Catch (in lbs) from fish tickets</t>
  </si>
  <si>
    <t>Sigma plot timeseries</t>
  </si>
  <si>
    <t>CSA legal biomass forecast</t>
  </si>
  <si>
    <t>Harvest (lbs)</t>
  </si>
  <si>
    <t>year</t>
  </si>
  <si>
    <t>New location code, old one was 4</t>
  </si>
  <si>
    <t>2014/15</t>
  </si>
  <si>
    <t>catch is from fish tickets!</t>
  </si>
  <si>
    <t>2015/16</t>
  </si>
  <si>
    <t>2016/17</t>
  </si>
  <si>
    <t>baseline average</t>
  </si>
  <si>
    <t>fishery years</t>
  </si>
  <si>
    <t>1997-2006</t>
  </si>
  <si>
    <t>2017/18</t>
  </si>
  <si>
    <t>2018/19</t>
  </si>
  <si>
    <t xml:space="preserve">legal </t>
  </si>
  <si>
    <t>mature</t>
  </si>
  <si>
    <t>2019/20</t>
  </si>
  <si>
    <t>2020/21</t>
  </si>
  <si>
    <t>21/22</t>
  </si>
  <si>
    <t>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</si>
</sst>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"/>
    <numFmt numFmtId="166" formatCode="0.0%"/>
    <numFmt numFmtId="170" formatCode="0.000000"/>
    <numFmt numFmtId="172" formatCode="_(* #,##0_);_(* \(#,##0\);_(* &quot;-&quot;??_);_(@_)"/>
  </numFmts>
  <fonts count="29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3" tint="0.39997558519241921"/>
      <name val="Arial"/>
      <family val="2"/>
    </font>
    <font>
      <sz val="10"/>
      <color rgb="FFFF0000"/>
      <name val="Arial"/>
      <family val="2"/>
    </font>
    <font>
      <sz val="10"/>
      <color rgb="FF333333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0" applyNumberFormat="0" applyBorder="0" applyAlignment="0" applyProtection="0"/>
    <xf numFmtId="0" fontId="11" fillId="29" borderId="4" applyNumberFormat="0" applyAlignment="0" applyProtection="0"/>
    <xf numFmtId="0" fontId="12" fillId="30" borderId="5" applyNumberFormat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31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32" borderId="4" applyNumberFormat="0" applyAlignment="0" applyProtection="0"/>
    <xf numFmtId="0" fontId="19" fillId="0" borderId="9" applyNumberFormat="0" applyFill="0" applyAlignment="0" applyProtection="0"/>
    <xf numFmtId="0" fontId="20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34" borderId="10" applyNumberFormat="0" applyFont="0" applyAlignment="0" applyProtection="0"/>
    <xf numFmtId="0" fontId="21" fillId="29" borderId="11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0" borderId="0" applyNumberFormat="0" applyFill="0" applyBorder="0" applyAlignment="0" applyProtection="0"/>
  </cellStyleXfs>
  <cellXfs count="7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5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/>
    <xf numFmtId="15" fontId="0" fillId="0" borderId="0" xfId="0" applyNumberFormat="1" applyFill="1"/>
    <xf numFmtId="0" fontId="0" fillId="0" borderId="0" xfId="0" applyBorder="1"/>
    <xf numFmtId="9" fontId="0" fillId="0" borderId="0" xfId="0" applyNumberFormat="1"/>
    <xf numFmtId="3" fontId="0" fillId="2" borderId="0" xfId="0" applyNumberFormat="1" applyFill="1"/>
    <xf numFmtId="15" fontId="0" fillId="2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9" fontId="0" fillId="0" borderId="0" xfId="0" applyNumberFormat="1" applyFill="1" applyBorder="1"/>
    <xf numFmtId="2" fontId="0" fillId="2" borderId="0" xfId="0" applyNumberFormat="1" applyFill="1"/>
    <xf numFmtId="2" fontId="0" fillId="3" borderId="0" xfId="0" applyNumberFormat="1" applyFill="1"/>
    <xf numFmtId="2" fontId="1" fillId="3" borderId="0" xfId="0" applyNumberFormat="1" applyFont="1" applyFill="1"/>
    <xf numFmtId="3" fontId="0" fillId="0" borderId="0" xfId="0" applyNumberFormat="1" applyAlignment="1"/>
    <xf numFmtId="0" fontId="3" fillId="0" borderId="0" xfId="0" applyFont="1"/>
    <xf numFmtId="2" fontId="0" fillId="35" borderId="0" xfId="0" applyNumberFormat="1" applyFill="1"/>
    <xf numFmtId="0" fontId="8" fillId="0" borderId="0" xfId="52"/>
    <xf numFmtId="0" fontId="3" fillId="0" borderId="0" xfId="40" applyFill="1"/>
    <xf numFmtId="0" fontId="8" fillId="36" borderId="0" xfId="52" applyFill="1"/>
    <xf numFmtId="0" fontId="8" fillId="0" borderId="0" xfId="52" applyAlignment="1">
      <alignment horizontal="right"/>
    </xf>
    <xf numFmtId="0" fontId="23" fillId="37" borderId="1" xfId="52" applyFont="1" applyFill="1" applyBorder="1"/>
    <xf numFmtId="0" fontId="25" fillId="0" borderId="1" xfId="52" applyFont="1" applyBorder="1" applyAlignment="1">
      <alignment horizontal="center"/>
    </xf>
    <xf numFmtId="0" fontId="26" fillId="0" borderId="0" xfId="41" applyFont="1"/>
    <xf numFmtId="0" fontId="8" fillId="0" borderId="0" xfId="48" applyFill="1"/>
    <xf numFmtId="0" fontId="0" fillId="37" borderId="0" xfId="0" applyFill="1"/>
    <xf numFmtId="0" fontId="3" fillId="0" borderId="0" xfId="0" applyFont="1" applyBorder="1"/>
    <xf numFmtId="0" fontId="0" fillId="38" borderId="0" xfId="0" applyFill="1"/>
    <xf numFmtId="15" fontId="0" fillId="38" borderId="0" xfId="0" applyNumberFormat="1" applyFill="1"/>
    <xf numFmtId="2" fontId="0" fillId="38" borderId="0" xfId="0" applyNumberFormat="1" applyFill="1"/>
    <xf numFmtId="3" fontId="0" fillId="38" borderId="0" xfId="0" applyNumberFormat="1" applyFill="1"/>
    <xf numFmtId="0" fontId="3" fillId="0" borderId="0" xfId="40"/>
    <xf numFmtId="0" fontId="27" fillId="0" borderId="0" xfId="40" applyFont="1"/>
    <xf numFmtId="0" fontId="24" fillId="0" borderId="0" xfId="44" applyFont="1"/>
    <xf numFmtId="170" fontId="0" fillId="37" borderId="0" xfId="0" applyNumberFormat="1" applyFill="1"/>
    <xf numFmtId="0" fontId="3" fillId="0" borderId="0" xfId="43"/>
    <xf numFmtId="0" fontId="3" fillId="0" borderId="0" xfId="43" applyFont="1"/>
    <xf numFmtId="0" fontId="3" fillId="37" borderId="0" xfId="54" applyFill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3" fillId="0" borderId="0" xfId="0" applyFont="1" applyFill="1" applyBorder="1"/>
    <xf numFmtId="15" fontId="0" fillId="39" borderId="0" xfId="0" applyNumberFormat="1" applyFill="1"/>
    <xf numFmtId="0" fontId="0" fillId="39" borderId="0" xfId="0" applyFill="1"/>
    <xf numFmtId="172" fontId="6" fillId="39" borderId="0" xfId="28" applyNumberFormat="1" applyFont="1" applyFill="1" applyAlignment="1">
      <alignment horizontal="right"/>
    </xf>
    <xf numFmtId="2" fontId="0" fillId="39" borderId="0" xfId="0" applyNumberFormat="1" applyFill="1"/>
    <xf numFmtId="172" fontId="0" fillId="0" borderId="0" xfId="28" applyNumberFormat="1" applyFont="1" applyAlignment="1">
      <alignment wrapText="1"/>
    </xf>
    <xf numFmtId="172" fontId="0" fillId="0" borderId="0" xfId="28" applyNumberFormat="1" applyFont="1"/>
    <xf numFmtId="172" fontId="8" fillId="40" borderId="0" xfId="28" applyNumberFormat="1" applyFont="1" applyFill="1"/>
    <xf numFmtId="0" fontId="8" fillId="0" borderId="0" xfId="44"/>
    <xf numFmtId="0" fontId="7" fillId="0" borderId="0" xfId="0" applyFont="1" applyAlignment="1">
      <alignment wrapText="1"/>
    </xf>
    <xf numFmtId="166" fontId="3" fillId="0" borderId="0" xfId="59" applyNumberFormat="1" applyFont="1"/>
    <xf numFmtId="0" fontId="3" fillId="0" borderId="0" xfId="43" applyFill="1"/>
    <xf numFmtId="172" fontId="8" fillId="38" borderId="0" xfId="28" applyNumberFormat="1" applyFont="1" applyFill="1"/>
    <xf numFmtId="10" fontId="3" fillId="0" borderId="0" xfId="59" applyNumberFormat="1" applyFont="1"/>
    <xf numFmtId="0" fontId="8" fillId="0" borderId="0" xfId="44"/>
    <xf numFmtId="0" fontId="8" fillId="0" borderId="0" xfId="44"/>
    <xf numFmtId="0" fontId="8" fillId="0" borderId="0" xfId="44"/>
    <xf numFmtId="0" fontId="8" fillId="0" borderId="0" xfId="44"/>
    <xf numFmtId="0" fontId="8" fillId="0" borderId="0" xfId="44"/>
    <xf numFmtId="0" fontId="8" fillId="0" borderId="0" xfId="44"/>
    <xf numFmtId="0" fontId="8" fillId="0" borderId="0" xfId="44"/>
    <xf numFmtId="0" fontId="8" fillId="0" borderId="0" xfId="44" applyFill="1"/>
    <xf numFmtId="0" fontId="28" fillId="0" borderId="0" xfId="0" applyFont="1"/>
    <xf numFmtId="0" fontId="3" fillId="41" borderId="0" xfId="40" applyFont="1" applyFill="1" applyBorder="1" applyAlignment="1">
      <alignment horizontal="center" vertical="center" wrapText="1"/>
    </xf>
    <xf numFmtId="0" fontId="3" fillId="41" borderId="1" xfId="4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8" fillId="0" borderId="0" xfId="52" applyNumberFormat="1"/>
  </cellXfs>
  <cellStyles count="6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/>
    <cellStyle name="Comma 3" xfId="30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/>
    <cellStyle name="Normal 2 2" xfId="41"/>
    <cellStyle name="Normal 2 2 2" xfId="42"/>
    <cellStyle name="Normal 2 3" xfId="43"/>
    <cellStyle name="Normal 3" xfId="44"/>
    <cellStyle name="Normal 3 2" xfId="45"/>
    <cellStyle name="Normal 4" xfId="46"/>
    <cellStyle name="Normal 4 2" xfId="47"/>
    <cellStyle name="Normal 5" xfId="48"/>
    <cellStyle name="Normal 5 2" xfId="49"/>
    <cellStyle name="Normal 6" xfId="50"/>
    <cellStyle name="Normal 6 2" xfId="51"/>
    <cellStyle name="Normal 7" xfId="52"/>
    <cellStyle name="Normal 7 2" xfId="53"/>
    <cellStyle name="Normal 8" xfId="54"/>
    <cellStyle name="Normal 9" xfId="55"/>
    <cellStyle name="Normal 9 2" xfId="56"/>
    <cellStyle name="Note 2" xfId="57"/>
    <cellStyle name="Output" xfId="58" builtinId="21" customBuiltin="1"/>
    <cellStyle name="Percent" xfId="59" builtinId="5"/>
    <cellStyle name="Percent 2" xfId="60"/>
    <cellStyle name="Percent 3" xfId="61"/>
    <cellStyle name="Title" xfId="62" builtinId="15" customBuiltin="1"/>
    <cellStyle name="Total" xfId="63" builtinId="25" customBuiltin="1"/>
    <cellStyle name="Warning Text" xfId="6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'Estimates 3 Stage'!$AA$10:$AA$30</c:f>
              <c:numCache>
                <c:formatCode>General</c:formatCode>
                <c:ptCount val="21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</c:numCache>
            </c:numRef>
          </c:xVal>
          <c:yVal>
            <c:numRef>
              <c:f>'Estimates 3 Stage'!$AC$10:$AC$30</c:f>
              <c:numCache>
                <c:formatCode>#,##0</c:formatCode>
                <c:ptCount val="21"/>
                <c:pt idx="0">
                  <c:v>447027.2011139227</c:v>
                </c:pt>
                <c:pt idx="1">
                  <c:v>269496.20598827489</c:v>
                </c:pt>
                <c:pt idx="2">
                  <c:v>206521.70695524296</c:v>
                </c:pt>
                <c:pt idx="3">
                  <c:v>141487.69676069458</c:v>
                </c:pt>
                <c:pt idx="4">
                  <c:v>86986.567126383394</c:v>
                </c:pt>
                <c:pt idx="5">
                  <c:v>87018.024949926999</c:v>
                </c:pt>
                <c:pt idx="6">
                  <c:v>105311.69816107397</c:v>
                </c:pt>
                <c:pt idx="7">
                  <c:v>124151.51130186213</c:v>
                </c:pt>
                <c:pt idx="8">
                  <c:v>159600.61190109429</c:v>
                </c:pt>
                <c:pt idx="9">
                  <c:v>185166.31798891872</c:v>
                </c:pt>
                <c:pt idx="10">
                  <c:v>167446.09690274752</c:v>
                </c:pt>
                <c:pt idx="11">
                  <c:v>166705.5195437987</c:v>
                </c:pt>
                <c:pt idx="12">
                  <c:v>162793.72208465415</c:v>
                </c:pt>
                <c:pt idx="13">
                  <c:v>189716.50683728675</c:v>
                </c:pt>
                <c:pt idx="14">
                  <c:v>194072.68430890984</c:v>
                </c:pt>
                <c:pt idx="15">
                  <c:v>262690.7073710761</c:v>
                </c:pt>
                <c:pt idx="16">
                  <c:v>301475.77231536282</c:v>
                </c:pt>
                <c:pt idx="17">
                  <c:v>245348.74954224881</c:v>
                </c:pt>
                <c:pt idx="18">
                  <c:v>262338.07771530014</c:v>
                </c:pt>
                <c:pt idx="19">
                  <c:v>253277.07900254003</c:v>
                </c:pt>
                <c:pt idx="20">
                  <c:v>328826.37699986465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7B-4471-8C64-20ABD861A44D}"/>
            </c:ext>
          </c:extLst>
        </c:ser>
        <c:ser>
          <c:idx val="1"/>
          <c:order val="1"/>
          <c:tx>
            <c:v>mature</c:v>
          </c:tx>
          <c:xVal>
            <c:numRef>
              <c:f>'Estimates 3 Stage'!$AA$10:$AA$30</c:f>
              <c:numCache>
                <c:formatCode>General</c:formatCode>
                <c:ptCount val="21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</c:numCache>
            </c:numRef>
          </c:xVal>
          <c:yVal>
            <c:numRef>
              <c:f>'Estimates 3 Stage'!$AD$10:$AD$30</c:f>
              <c:numCache>
                <c:formatCode>#,##0</c:formatCode>
                <c:ptCount val="21"/>
                <c:pt idx="0">
                  <c:v>555246.36840926076</c:v>
                </c:pt>
                <c:pt idx="1">
                  <c:v>350118.64304634719</c:v>
                </c:pt>
                <c:pt idx="2">
                  <c:v>298836.54222050309</c:v>
                </c:pt>
                <c:pt idx="3">
                  <c:v>172174.60983511922</c:v>
                </c:pt>
                <c:pt idx="4">
                  <c:v>138384.1286879885</c:v>
                </c:pt>
                <c:pt idx="5">
                  <c:v>148957.26962642369</c:v>
                </c:pt>
                <c:pt idx="6">
                  <c:v>170184.07467556212</c:v>
                </c:pt>
                <c:pt idx="7">
                  <c:v>214117.52851107152</c:v>
                </c:pt>
                <c:pt idx="8">
                  <c:v>279079.85139359831</c:v>
                </c:pt>
                <c:pt idx="9">
                  <c:v>284169.94422950898</c:v>
                </c:pt>
                <c:pt idx="10">
                  <c:v>246240.23421510839</c:v>
                </c:pt>
                <c:pt idx="11">
                  <c:v>231026.01842782329</c:v>
                </c:pt>
                <c:pt idx="12">
                  <c:v>253880.69505777204</c:v>
                </c:pt>
                <c:pt idx="13">
                  <c:v>274271.75722320325</c:v>
                </c:pt>
                <c:pt idx="14">
                  <c:v>320136.03736001358</c:v>
                </c:pt>
                <c:pt idx="15">
                  <c:v>423698.08543567208</c:v>
                </c:pt>
                <c:pt idx="16">
                  <c:v>448754.10413894919</c:v>
                </c:pt>
                <c:pt idx="17">
                  <c:v>404620.09439769923</c:v>
                </c:pt>
                <c:pt idx="18">
                  <c:v>402629.68905038387</c:v>
                </c:pt>
                <c:pt idx="19">
                  <c:v>459770.69459745986</c:v>
                </c:pt>
                <c:pt idx="20">
                  <c:v>586600.13209507754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7B-4471-8C64-20ABD861A44D}"/>
            </c:ext>
          </c:extLst>
        </c:ser>
        <c:ser>
          <c:idx val="2"/>
          <c:order val="2"/>
          <c:tx>
            <c:v>catcj</c:v>
          </c:tx>
          <c:xVal>
            <c:numRef>
              <c:f>'Estimates 3 Stage'!$AA$10:$AA$25</c:f>
              <c:numCache>
                <c:formatCode>General</c:formatCode>
                <c:ptCount val="16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</c:numCache>
            </c:numRef>
          </c:xVal>
          <c:yVal>
            <c:numRef>
              <c:f>'Estimates 3 Stage'!$AJ$10:$AJ$25</c:f>
              <c:numCache>
                <c:formatCode>General</c:formatCode>
                <c:ptCount val="16"/>
                <c:pt idx="0">
                  <c:v>149686</c:v>
                </c:pt>
                <c:pt idx="1">
                  <c:v>158053</c:v>
                </c:pt>
                <c:pt idx="2">
                  <c:v>113880</c:v>
                </c:pt>
                <c:pt idx="3">
                  <c:v>77286</c:v>
                </c:pt>
                <c:pt idx="4">
                  <c:v>50172</c:v>
                </c:pt>
                <c:pt idx="5">
                  <c:v>45306</c:v>
                </c:pt>
                <c:pt idx="6">
                  <c:v>45254</c:v>
                </c:pt>
                <c:pt idx="7">
                  <c:v>53550</c:v>
                </c:pt>
                <c:pt idx="8">
                  <c:v>67689</c:v>
                </c:pt>
                <c:pt idx="9">
                  <c:v>60251</c:v>
                </c:pt>
                <c:pt idx="10">
                  <c:v>59851</c:v>
                </c:pt>
                <c:pt idx="11">
                  <c:v>32399</c:v>
                </c:pt>
                <c:pt idx="12">
                  <c:v>45432</c:v>
                </c:pt>
                <c:pt idx="13">
                  <c:v>58305</c:v>
                </c:pt>
                <c:pt idx="14">
                  <c:v>63797</c:v>
                </c:pt>
                <c:pt idx="15">
                  <c:v>107605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7B-4471-8C64-20ABD861A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117384"/>
        <c:axId val="1"/>
      </c:scatterChart>
      <c:valAx>
        <c:axId val="1119117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1191173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581845148376354"/>
          <c:y val="0.38083011153168833"/>
          <c:w val="0.15241104050355114"/>
          <c:h val="0.230570680592946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457200</xdr:colOff>
      <xdr:row>26</xdr:row>
      <xdr:rowOff>106680</xdr:rowOff>
    </xdr:from>
    <xdr:to>
      <xdr:col>38</xdr:col>
      <xdr:colOff>144780</xdr:colOff>
      <xdr:row>43</xdr:row>
      <xdr:rowOff>129540</xdr:rowOff>
    </xdr:to>
    <xdr:graphicFrame macro="">
      <xdr:nvGraphicFramePr>
        <xdr:cNvPr id="1077" name="Chart 1">
          <a:extLst>
            <a:ext uri="{FF2B5EF4-FFF2-40B4-BE49-F238E27FC236}">
              <a16:creationId xmlns:a16="http://schemas.microsoft.com/office/drawing/2014/main" id="{3F675E47-BA83-49D9-A8D4-A5D86C4CAA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4"/>
  <sheetViews>
    <sheetView tabSelected="1" topLeftCell="J1" workbookViewId="0">
      <selection activeCell="V38" sqref="V38"/>
    </sheetView>
  </sheetViews>
  <sheetFormatPr defaultRowHeight="13.2" x14ac:dyDescent="0.25"/>
  <cols>
    <col min="1" max="1" width="8" customWidth="1"/>
    <col min="2" max="2" width="7.5546875" customWidth="1"/>
    <col min="3" max="3" width="6" customWidth="1"/>
    <col min="4" max="4" width="6.6640625" customWidth="1"/>
    <col min="5" max="5" width="6.33203125" customWidth="1"/>
    <col min="6" max="6" width="2" customWidth="1"/>
    <col min="7" max="7" width="10.5546875" bestFit="1" customWidth="1"/>
    <col min="8" max="9" width="9.6640625" customWidth="1"/>
    <col min="10" max="11" width="7.33203125" customWidth="1"/>
    <col min="12" max="12" width="9.109375" customWidth="1"/>
    <col min="13" max="13" width="13.44140625" customWidth="1"/>
    <col min="14" max="14" width="10.88671875" customWidth="1"/>
    <col min="15" max="15" width="10.33203125" customWidth="1"/>
    <col min="16" max="16" width="10.5546875" customWidth="1"/>
    <col min="20" max="20" width="14" customWidth="1"/>
    <col min="24" max="24" width="7.33203125" customWidth="1"/>
    <col min="27" max="27" width="7.6640625" customWidth="1"/>
    <col min="28" max="29" width="11.5546875" customWidth="1"/>
    <col min="30" max="30" width="11.33203125" bestFit="1" customWidth="1"/>
    <col min="34" max="34" width="19.5546875" customWidth="1"/>
    <col min="36" max="36" width="13.109375" customWidth="1"/>
  </cols>
  <sheetData>
    <row r="1" spans="1:38" ht="15" thickBot="1" x14ac:dyDescent="0.35">
      <c r="A1" s="22" t="s">
        <v>48</v>
      </c>
      <c r="B1" s="22"/>
      <c r="C1" s="22"/>
      <c r="D1" s="22"/>
      <c r="E1" s="22"/>
      <c r="F1" s="22"/>
      <c r="G1" s="78">
        <v>44503</v>
      </c>
      <c r="H1" s="22"/>
      <c r="I1" s="22"/>
      <c r="J1" s="22"/>
      <c r="K1" s="22"/>
      <c r="L1" s="22"/>
      <c r="M1" s="22"/>
      <c r="N1" s="26" t="s">
        <v>19</v>
      </c>
      <c r="O1" s="22"/>
      <c r="P1" s="22"/>
      <c r="Q1" s="22"/>
      <c r="R1" s="22"/>
      <c r="S1" s="27" t="s">
        <v>49</v>
      </c>
    </row>
    <row r="2" spans="1:38" ht="14.4" x14ac:dyDescent="0.3">
      <c r="A2" s="22" t="s">
        <v>50</v>
      </c>
      <c r="B2" s="22" t="s">
        <v>58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 t="s">
        <v>51</v>
      </c>
      <c r="O2" s="23">
        <f>P2/1000000</f>
        <v>5.5174210951477278E-5</v>
      </c>
      <c r="P2" s="30">
        <v>55.174210951477278</v>
      </c>
      <c r="Q2" s="22"/>
      <c r="R2" s="22"/>
      <c r="S2" s="24">
        <f>SUM(Y10:Y34)</f>
        <v>104.82014475473055</v>
      </c>
      <c r="AA2" s="20" t="s">
        <v>84</v>
      </c>
    </row>
    <row r="3" spans="1:38" ht="14.4" x14ac:dyDescent="0.3">
      <c r="A3" s="22" t="s">
        <v>1</v>
      </c>
      <c r="B3" s="22">
        <v>2021</v>
      </c>
      <c r="C3" s="20" t="s">
        <v>71</v>
      </c>
      <c r="D3" s="22" t="s">
        <v>93</v>
      </c>
      <c r="E3" s="22" t="s">
        <v>59</v>
      </c>
      <c r="F3" s="22"/>
      <c r="G3" s="22"/>
      <c r="H3" s="22"/>
      <c r="I3" s="22"/>
      <c r="J3" s="22"/>
      <c r="K3" s="22"/>
      <c r="L3" s="22"/>
      <c r="M3" s="22"/>
      <c r="N3" s="25" t="s">
        <v>52</v>
      </c>
      <c r="O3" s="23">
        <f>P3/100</f>
        <v>0.63689587117856383</v>
      </c>
      <c r="P3" s="30">
        <v>63.689587117856384</v>
      </c>
      <c r="Q3" s="22"/>
      <c r="R3" s="22"/>
      <c r="S3" s="22"/>
      <c r="Y3" s="20" t="s">
        <v>85</v>
      </c>
      <c r="AA3" s="20" t="s">
        <v>86</v>
      </c>
      <c r="AB3" s="5">
        <f>AVERAGE(AB10:AB19)</f>
        <v>79850.141838798882</v>
      </c>
      <c r="AC3" s="5">
        <f>AVERAGE(AC10:AC19)</f>
        <v>181276.75422473942</v>
      </c>
      <c r="AD3" s="5">
        <f>AVERAGE(AD10:AD19)</f>
        <v>261126.89606353836</v>
      </c>
    </row>
    <row r="4" spans="1:38" ht="14.4" x14ac:dyDescent="0.3">
      <c r="A4" s="29" t="s">
        <v>53</v>
      </c>
      <c r="B4" s="22">
        <v>39</v>
      </c>
      <c r="C4" s="22" t="s">
        <v>60</v>
      </c>
      <c r="D4" s="22"/>
      <c r="E4" s="22"/>
      <c r="F4" s="22"/>
      <c r="G4" s="22" t="s">
        <v>81</v>
      </c>
      <c r="H4" s="22"/>
      <c r="I4" s="22"/>
      <c r="J4" s="22"/>
      <c r="K4" s="22"/>
      <c r="L4" s="22"/>
      <c r="M4" s="22"/>
      <c r="N4" s="25" t="s">
        <v>54</v>
      </c>
      <c r="O4" s="22">
        <v>-0.3</v>
      </c>
      <c r="P4" s="22">
        <v>0.74081822068171788</v>
      </c>
      <c r="Q4" s="22"/>
      <c r="R4" s="22"/>
      <c r="S4" s="22"/>
    </row>
    <row r="5" spans="1:38" x14ac:dyDescent="0.25">
      <c r="B5" s="20" t="s">
        <v>79</v>
      </c>
      <c r="O5" t="s">
        <v>14</v>
      </c>
      <c r="P5">
        <v>-0.3</v>
      </c>
      <c r="Q5">
        <f>+EXP(P5)</f>
        <v>0.74081822068171788</v>
      </c>
    </row>
    <row r="6" spans="1:38" ht="14.4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P6" s="22"/>
      <c r="AB6" s="38" t="s">
        <v>64</v>
      </c>
      <c r="AJ6" s="69" t="s">
        <v>74</v>
      </c>
    </row>
    <row r="7" spans="1:38" ht="12.75" customHeight="1" x14ac:dyDescent="0.25">
      <c r="A7" s="73" t="s">
        <v>2</v>
      </c>
      <c r="B7" s="73" t="s">
        <v>3</v>
      </c>
      <c r="C7" s="73" t="s">
        <v>4</v>
      </c>
      <c r="D7" s="73" t="s">
        <v>0</v>
      </c>
      <c r="E7" s="73" t="s">
        <v>5</v>
      </c>
      <c r="F7" s="44"/>
      <c r="G7" s="73" t="s">
        <v>6</v>
      </c>
      <c r="H7" s="75" t="s">
        <v>7</v>
      </c>
      <c r="I7" s="75" t="s">
        <v>8</v>
      </c>
      <c r="J7" s="73" t="s">
        <v>9</v>
      </c>
      <c r="K7" s="73" t="s">
        <v>10</v>
      </c>
      <c r="L7" s="73" t="s">
        <v>11</v>
      </c>
      <c r="M7" s="73" t="s">
        <v>12</v>
      </c>
      <c r="N7" s="73" t="s">
        <v>13</v>
      </c>
      <c r="O7" t="s">
        <v>19</v>
      </c>
      <c r="Q7" t="s">
        <v>20</v>
      </c>
      <c r="AB7" s="71" t="s">
        <v>15</v>
      </c>
      <c r="AC7" s="71" t="s">
        <v>16</v>
      </c>
      <c r="AD7" s="71" t="s">
        <v>17</v>
      </c>
      <c r="AE7" s="71" t="s">
        <v>18</v>
      </c>
      <c r="AF7" s="3"/>
      <c r="AI7" s="69" t="s">
        <v>65</v>
      </c>
      <c r="AJ7" s="69"/>
    </row>
    <row r="8" spans="1:38" ht="12.75" customHeight="1" thickBot="1" x14ac:dyDescent="0.3">
      <c r="A8" s="74"/>
      <c r="B8" s="74"/>
      <c r="C8" s="74"/>
      <c r="D8" s="74"/>
      <c r="E8" s="74"/>
      <c r="F8" s="45"/>
      <c r="G8" s="74"/>
      <c r="H8" s="76"/>
      <c r="I8" s="76"/>
      <c r="J8" s="74"/>
      <c r="K8" s="74"/>
      <c r="L8" s="74"/>
      <c r="M8" s="74"/>
      <c r="N8" s="74"/>
      <c r="O8">
        <f t="shared" ref="O8:O17" si="0">+P8</f>
        <v>2.477154056686544</v>
      </c>
      <c r="P8" s="30">
        <v>2.477154056686544</v>
      </c>
      <c r="Q8" s="28" t="s">
        <v>55</v>
      </c>
      <c r="R8" s="28" t="s">
        <v>56</v>
      </c>
      <c r="S8" s="28" t="s">
        <v>57</v>
      </c>
      <c r="T8" s="37" t="s">
        <v>62</v>
      </c>
      <c r="U8" s="37" t="s">
        <v>63</v>
      </c>
      <c r="V8" s="36"/>
      <c r="W8" s="36"/>
      <c r="AB8" s="72"/>
      <c r="AC8" s="72"/>
      <c r="AD8" s="72"/>
      <c r="AE8" s="72"/>
      <c r="AF8" s="3"/>
      <c r="AI8" s="70"/>
      <c r="AJ8" s="70"/>
    </row>
    <row r="9" spans="1:38" ht="15" thickTop="1" x14ac:dyDescent="0.3">
      <c r="A9">
        <v>1996</v>
      </c>
      <c r="B9" t="s">
        <v>23</v>
      </c>
      <c r="G9" s="53">
        <v>48497</v>
      </c>
      <c r="H9" s="4">
        <v>35480</v>
      </c>
      <c r="I9" s="4">
        <v>35261.606770833336</v>
      </c>
      <c r="J9" s="6"/>
      <c r="K9" s="6"/>
      <c r="L9" s="6"/>
      <c r="M9" s="1"/>
      <c r="N9" s="1"/>
      <c r="O9">
        <f t="shared" si="0"/>
        <v>6.4757372906311996</v>
      </c>
      <c r="P9" s="30">
        <v>6.4757372906311996</v>
      </c>
      <c r="AA9">
        <f t="shared" ref="AA9:AA29" si="1">+A9</f>
        <v>1996</v>
      </c>
      <c r="AB9" s="5">
        <f>+(Q9/O$2)*L9</f>
        <v>0</v>
      </c>
      <c r="AC9" s="5">
        <f>+((R9+S9)/O$2)*K9</f>
        <v>0</v>
      </c>
      <c r="AD9" s="5">
        <f t="shared" ref="AD9:AD17" si="2">+AC9+AB9</f>
        <v>0</v>
      </c>
      <c r="AE9" s="5">
        <f t="shared" ref="AE9:AE21" si="3">+AD9*0.2</f>
        <v>0</v>
      </c>
      <c r="AK9">
        <f t="shared" ref="AK9:AK18" si="4">+S9</f>
        <v>0</v>
      </c>
      <c r="AL9">
        <f t="shared" ref="AL9:AL18" si="5">+E9</f>
        <v>0</v>
      </c>
    </row>
    <row r="10" spans="1:38" ht="14.4" x14ac:dyDescent="0.3">
      <c r="A10">
        <v>1997</v>
      </c>
      <c r="B10" t="s">
        <v>24</v>
      </c>
      <c r="C10" s="16">
        <v>2.0512820512820502</v>
      </c>
      <c r="D10" s="16">
        <v>5.5384615384615401</v>
      </c>
      <c r="E10" s="16">
        <v>2.3333333333333299</v>
      </c>
      <c r="G10" s="53">
        <v>59446</v>
      </c>
      <c r="H10" s="4">
        <v>35846</v>
      </c>
      <c r="I10" s="12">
        <v>35620</v>
      </c>
      <c r="J10" s="17">
        <v>2.1174867622222227</v>
      </c>
      <c r="K10" s="17">
        <v>2.7549058888888891</v>
      </c>
      <c r="L10" s="17">
        <v>1.354781047777778</v>
      </c>
      <c r="M10" s="1">
        <f t="shared" ref="M10:M16" si="6">+(I10-H9)/365</f>
        <v>0.38356164383561642</v>
      </c>
      <c r="N10" s="1">
        <f t="shared" ref="N10:N16" si="7">+(I10-I9)/365</f>
        <v>0.98189925799086097</v>
      </c>
      <c r="O10">
        <f t="shared" si="0"/>
        <v>4.4072857198144018</v>
      </c>
      <c r="P10" s="30">
        <v>4.4072857198144018</v>
      </c>
      <c r="Q10">
        <f>+O10</f>
        <v>4.4072857198144018</v>
      </c>
      <c r="R10">
        <f>+O9</f>
        <v>6.4757372906311996</v>
      </c>
      <c r="S10">
        <f>+O8</f>
        <v>2.477154056686544</v>
      </c>
      <c r="T10">
        <f>SUM(Q10:S10)</f>
        <v>13.360177067132145</v>
      </c>
      <c r="U10">
        <f t="shared" ref="U10:U19" si="8">+(LN(Q10)-LN(C10))^2</f>
        <v>0.58490990586375535</v>
      </c>
      <c r="V10">
        <f t="shared" ref="V10:V19" si="9">+(LN(R10)-LN(D10))^2</f>
        <v>2.444398004343621E-2</v>
      </c>
      <c r="W10">
        <f t="shared" ref="W10:W19" si="10">+(LN(S10)-LN(E10))^2</f>
        <v>3.5775331290129608E-3</v>
      </c>
      <c r="X10">
        <v>10</v>
      </c>
      <c r="Y10">
        <f t="shared" ref="Y10:Y18" si="11">+SUM(U10:W10)*X10</f>
        <v>6.1293141903620452</v>
      </c>
      <c r="AA10">
        <f t="shared" si="1"/>
        <v>1997</v>
      </c>
      <c r="AB10" s="5">
        <f>+(Q10/O$2)*L10</f>
        <v>108219.16729533806</v>
      </c>
      <c r="AC10" s="5">
        <f t="shared" ref="AC10:AC24" si="12">+((R10+S10)/O$2)*K10</f>
        <v>447027.2011139227</v>
      </c>
      <c r="AD10" s="5">
        <f t="shared" si="2"/>
        <v>555246.36840926076</v>
      </c>
      <c r="AE10" s="5">
        <f t="shared" si="3"/>
        <v>111049.27368185215</v>
      </c>
      <c r="AI10">
        <f t="shared" ref="AI10:AI25" si="13">G10*K10</f>
        <v>163768.1354708889</v>
      </c>
      <c r="AJ10" s="54">
        <v>149686</v>
      </c>
      <c r="AK10">
        <f t="shared" si="4"/>
        <v>2.477154056686544</v>
      </c>
      <c r="AL10">
        <f t="shared" si="5"/>
        <v>2.3333333333333299</v>
      </c>
    </row>
    <row r="11" spans="1:38" ht="14.4" x14ac:dyDescent="0.3">
      <c r="A11">
        <v>1998</v>
      </c>
      <c r="B11" t="s">
        <v>25</v>
      </c>
      <c r="C11" s="16">
        <v>2.1578947368421102</v>
      </c>
      <c r="D11" s="16">
        <v>3.5526315789473699</v>
      </c>
      <c r="E11" s="16">
        <v>2.07894736842105</v>
      </c>
      <c r="G11" s="53">
        <v>59848</v>
      </c>
      <c r="H11" s="4">
        <v>36211</v>
      </c>
      <c r="I11" s="12">
        <v>35986</v>
      </c>
      <c r="J11" s="17">
        <v>1.76308</v>
      </c>
      <c r="K11" s="17">
        <v>2.2838444400000002</v>
      </c>
      <c r="L11" s="17">
        <v>1.4159037000000001</v>
      </c>
      <c r="M11" s="1">
        <f t="shared" si="6"/>
        <v>0.38356164383561642</v>
      </c>
      <c r="N11" s="1">
        <f t="shared" si="7"/>
        <v>1.0027397260273974</v>
      </c>
      <c r="O11">
        <f t="shared" si="0"/>
        <v>3.1416538777773373</v>
      </c>
      <c r="P11" s="30">
        <v>3.1416538777773373</v>
      </c>
      <c r="Q11">
        <f t="shared" ref="Q11:Q26" si="14">+O11</f>
        <v>3.1416538777773373</v>
      </c>
      <c r="R11">
        <f>+Q10*O$3</f>
        <v>2.8069820780540371</v>
      </c>
      <c r="S11">
        <f>+(R10+S10)*EXP(P$5*N11)-O$2*G10*EXP(M11*P$5)</f>
        <v>3.7036367098962724</v>
      </c>
      <c r="T11">
        <f t="shared" ref="T11:T19" si="15">SUM(Q11:S11)</f>
        <v>9.6522726657276472</v>
      </c>
      <c r="U11">
        <f t="shared" si="8"/>
        <v>0.14108759459826367</v>
      </c>
      <c r="V11">
        <f t="shared" si="9"/>
        <v>5.5497326761076327E-2</v>
      </c>
      <c r="W11">
        <f>+(LN(S11)-LN(E11))^2</f>
        <v>0.33345258941665967</v>
      </c>
      <c r="X11">
        <v>10</v>
      </c>
      <c r="Y11">
        <f t="shared" si="11"/>
        <v>5.3003751077599972</v>
      </c>
      <c r="AA11">
        <f t="shared" si="1"/>
        <v>1998</v>
      </c>
      <c r="AB11" s="5">
        <f t="shared" ref="AB11:AB24" si="16">+(Q11/O$2)*L11</f>
        <v>80622.43705807229</v>
      </c>
      <c r="AC11" s="5">
        <f t="shared" si="12"/>
        <v>269496.20598827489</v>
      </c>
      <c r="AD11" s="5">
        <f t="shared" si="2"/>
        <v>350118.64304634719</v>
      </c>
      <c r="AE11" s="5">
        <f t="shared" si="3"/>
        <v>70023.728609269441</v>
      </c>
      <c r="AH11" s="15">
        <f t="shared" ref="AH11:AH25" si="17">(AC11-AC10)/AC10</f>
        <v>-0.39713689610669778</v>
      </c>
      <c r="AI11">
        <f t="shared" si="13"/>
        <v>136683.52204512001</v>
      </c>
      <c r="AJ11" s="54">
        <v>158053</v>
      </c>
      <c r="AK11">
        <f t="shared" si="4"/>
        <v>3.7036367098962724</v>
      </c>
      <c r="AL11">
        <f t="shared" si="5"/>
        <v>2.07894736842105</v>
      </c>
    </row>
    <row r="12" spans="1:38" ht="14.4" x14ac:dyDescent="0.3">
      <c r="A12">
        <v>1999</v>
      </c>
      <c r="B12" t="s">
        <v>26</v>
      </c>
      <c r="C12" s="16">
        <v>3.875</v>
      </c>
      <c r="D12" s="16">
        <v>2.35</v>
      </c>
      <c r="E12" s="16">
        <v>2.5249999999999999</v>
      </c>
      <c r="G12" s="53">
        <v>42596</v>
      </c>
      <c r="H12" s="4">
        <v>36576</v>
      </c>
      <c r="I12" s="12">
        <v>36323</v>
      </c>
      <c r="J12" s="17">
        <v>2.5147047599999999</v>
      </c>
      <c r="K12" s="17">
        <v>2.9033147499999998</v>
      </c>
      <c r="L12" s="17">
        <v>1.48404348</v>
      </c>
      <c r="M12" s="1">
        <f t="shared" si="6"/>
        <v>0.30684931506849317</v>
      </c>
      <c r="N12" s="1">
        <f t="shared" si="7"/>
        <v>0.92328767123287669</v>
      </c>
      <c r="O12">
        <f t="shared" si="0"/>
        <v>3.4321084681941638</v>
      </c>
      <c r="P12" s="30">
        <v>3.4321084681941638</v>
      </c>
      <c r="Q12">
        <f t="shared" si="14"/>
        <v>3.4321084681941638</v>
      </c>
      <c r="R12">
        <f t="shared" ref="R12:R26" si="18">+Q11*O$3</f>
        <v>2.0009063834285103</v>
      </c>
      <c r="S12">
        <f t="shared" ref="S12:S26" si="19">+(R11+S11)*EXP(P$5*N12)-O$2*G11*EXP(M12*P$5)</f>
        <v>1.923804923055827</v>
      </c>
      <c r="T12">
        <f t="shared" si="15"/>
        <v>7.3568197746785016</v>
      </c>
      <c r="U12">
        <f t="shared" si="8"/>
        <v>1.4730889717563388E-2</v>
      </c>
      <c r="V12">
        <f t="shared" si="9"/>
        <v>2.5861483053936575E-2</v>
      </c>
      <c r="W12">
        <f t="shared" si="10"/>
        <v>7.3949246272576166E-2</v>
      </c>
      <c r="X12">
        <v>10</v>
      </c>
      <c r="Y12">
        <f t="shared" si="11"/>
        <v>1.1454161904407614</v>
      </c>
      <c r="AA12">
        <f t="shared" si="1"/>
        <v>1999</v>
      </c>
      <c r="AB12" s="5">
        <f t="shared" si="16"/>
        <v>92314.835265260132</v>
      </c>
      <c r="AC12" s="5">
        <f t="shared" si="12"/>
        <v>206521.70695524296</v>
      </c>
      <c r="AD12" s="5">
        <f t="shared" si="2"/>
        <v>298836.54222050309</v>
      </c>
      <c r="AE12" s="5">
        <f t="shared" si="3"/>
        <v>59767.308444100621</v>
      </c>
      <c r="AH12" s="15">
        <f t="shared" si="17"/>
        <v>-0.23367490017938061</v>
      </c>
      <c r="AI12">
        <f t="shared" si="13"/>
        <v>123669.595091</v>
      </c>
      <c r="AJ12" s="54">
        <v>113880</v>
      </c>
      <c r="AK12">
        <f t="shared" si="4"/>
        <v>1.923804923055827</v>
      </c>
      <c r="AL12">
        <f t="shared" si="5"/>
        <v>2.5249999999999999</v>
      </c>
    </row>
    <row r="13" spans="1:38" ht="14.4" x14ac:dyDescent="0.3">
      <c r="A13">
        <v>2000</v>
      </c>
      <c r="B13" t="s">
        <v>27</v>
      </c>
      <c r="C13" s="16">
        <v>1.8271604938271599</v>
      </c>
      <c r="D13" s="16">
        <v>2.74074074074074</v>
      </c>
      <c r="E13" s="16">
        <v>0.938271604938272</v>
      </c>
      <c r="G13" s="53">
        <v>29036</v>
      </c>
      <c r="H13" s="4">
        <v>36942</v>
      </c>
      <c r="I13" s="12">
        <v>36717</v>
      </c>
      <c r="J13" s="17">
        <v>1.7270000000000001</v>
      </c>
      <c r="K13" s="17">
        <v>2.6626111099999998</v>
      </c>
      <c r="L13" s="17">
        <v>1.2007187500000001</v>
      </c>
      <c r="M13" s="1">
        <f t="shared" si="6"/>
        <v>0.38630136986301372</v>
      </c>
      <c r="N13" s="1">
        <f t="shared" si="7"/>
        <v>1.0794520547945206</v>
      </c>
      <c r="O13">
        <f t="shared" si="0"/>
        <v>1.4100939253409275</v>
      </c>
      <c r="P13" s="30">
        <v>1.4100939253409275</v>
      </c>
      <c r="Q13">
        <f t="shared" si="14"/>
        <v>1.4100939253409275</v>
      </c>
      <c r="R13">
        <f t="shared" si="18"/>
        <v>2.1858957128298484</v>
      </c>
      <c r="S13">
        <f t="shared" si="19"/>
        <v>0.74599020877332967</v>
      </c>
      <c r="T13">
        <f t="shared" si="15"/>
        <v>4.3419798469441062</v>
      </c>
      <c r="U13">
        <f t="shared" si="8"/>
        <v>6.7136335466194449E-2</v>
      </c>
      <c r="V13">
        <f t="shared" si="9"/>
        <v>5.116759155977816E-2</v>
      </c>
      <c r="W13">
        <f t="shared" si="10"/>
        <v>5.2590868088883642E-2</v>
      </c>
      <c r="X13">
        <v>10</v>
      </c>
      <c r="Y13">
        <f t="shared" si="11"/>
        <v>1.7089479511485626</v>
      </c>
      <c r="AA13">
        <f t="shared" si="1"/>
        <v>2000</v>
      </c>
      <c r="AB13" s="5">
        <f t="shared" si="16"/>
        <v>30686.91307442465</v>
      </c>
      <c r="AC13" s="5">
        <f t="shared" si="12"/>
        <v>141487.69676069458</v>
      </c>
      <c r="AD13" s="5">
        <f t="shared" si="2"/>
        <v>172174.60983511922</v>
      </c>
      <c r="AE13" s="5">
        <f t="shared" si="3"/>
        <v>34434.921967023845</v>
      </c>
      <c r="AH13" s="15">
        <f t="shared" si="17"/>
        <v>-0.3149015721075869</v>
      </c>
      <c r="AI13">
        <f t="shared" si="13"/>
        <v>77311.576189959989</v>
      </c>
      <c r="AJ13" s="54">
        <v>77286</v>
      </c>
      <c r="AK13">
        <f t="shared" si="4"/>
        <v>0.74599020877332967</v>
      </c>
      <c r="AL13">
        <f t="shared" si="5"/>
        <v>0.938271604938272</v>
      </c>
    </row>
    <row r="14" spans="1:38" ht="14.4" x14ac:dyDescent="0.3">
      <c r="A14">
        <v>2001</v>
      </c>
      <c r="B14" t="s">
        <v>28</v>
      </c>
      <c r="C14" s="16">
        <v>1.5967741935483899</v>
      </c>
      <c r="D14" s="16">
        <v>0.64516129032258096</v>
      </c>
      <c r="E14" s="16">
        <v>0.59677419354838701</v>
      </c>
      <c r="G14" s="53">
        <v>18103</v>
      </c>
      <c r="H14" s="4">
        <v>37307</v>
      </c>
      <c r="I14" s="12">
        <v>37084</v>
      </c>
      <c r="J14" s="17">
        <v>2.1410144899999999</v>
      </c>
      <c r="K14" s="17">
        <v>2.9247777799999999</v>
      </c>
      <c r="L14" s="17">
        <v>1.286</v>
      </c>
      <c r="M14" s="1">
        <f t="shared" si="6"/>
        <v>0.38904109589041097</v>
      </c>
      <c r="N14" s="1">
        <f t="shared" si="7"/>
        <v>1.0054794520547945</v>
      </c>
      <c r="O14">
        <f t="shared" si="0"/>
        <v>2.2051476702889121</v>
      </c>
      <c r="P14" s="30">
        <v>2.2051476702889121</v>
      </c>
      <c r="Q14">
        <f t="shared" si="14"/>
        <v>2.2051476702889121</v>
      </c>
      <c r="R14">
        <f t="shared" si="18"/>
        <v>0.89808299902361077</v>
      </c>
      <c r="S14">
        <f t="shared" si="19"/>
        <v>0.74286737929057223</v>
      </c>
      <c r="T14">
        <f t="shared" si="15"/>
        <v>3.8460980486030949</v>
      </c>
      <c r="U14">
        <f t="shared" si="8"/>
        <v>0.10420565837009252</v>
      </c>
      <c r="V14">
        <f t="shared" si="9"/>
        <v>0.10940359491766143</v>
      </c>
      <c r="W14">
        <f t="shared" si="10"/>
        <v>4.7951683602145516E-2</v>
      </c>
      <c r="X14">
        <v>10</v>
      </c>
      <c r="Y14">
        <f t="shared" si="11"/>
        <v>2.6156093688989945</v>
      </c>
      <c r="AA14">
        <f t="shared" si="1"/>
        <v>2001</v>
      </c>
      <c r="AB14" s="5">
        <f t="shared" si="16"/>
        <v>51397.561561605122</v>
      </c>
      <c r="AC14" s="5">
        <f t="shared" si="12"/>
        <v>86986.567126383394</v>
      </c>
      <c r="AD14" s="5">
        <f t="shared" si="2"/>
        <v>138384.1286879885</v>
      </c>
      <c r="AE14" s="5">
        <f t="shared" si="3"/>
        <v>27676.825737597701</v>
      </c>
      <c r="AH14" s="15">
        <f t="shared" si="17"/>
        <v>-0.3852004865588543</v>
      </c>
      <c r="AI14">
        <f t="shared" si="13"/>
        <v>52947.252151339999</v>
      </c>
      <c r="AJ14" s="54">
        <v>50172</v>
      </c>
      <c r="AK14">
        <f t="shared" si="4"/>
        <v>0.74286737929057223</v>
      </c>
      <c r="AL14">
        <f t="shared" si="5"/>
        <v>0.59677419354838701</v>
      </c>
    </row>
    <row r="15" spans="1:38" ht="14.4" x14ac:dyDescent="0.3">
      <c r="A15">
        <v>2002</v>
      </c>
      <c r="B15" t="s">
        <v>29</v>
      </c>
      <c r="C15" s="16">
        <v>1.3548387096774199</v>
      </c>
      <c r="D15" s="16">
        <v>0.79032258064516103</v>
      </c>
      <c r="E15" s="16">
        <v>0.27419354838709697</v>
      </c>
      <c r="G15" s="53">
        <v>18979</v>
      </c>
      <c r="H15" s="4">
        <v>37672</v>
      </c>
      <c r="I15" s="12">
        <v>37452</v>
      </c>
      <c r="J15" s="17">
        <v>2.1016844400000001</v>
      </c>
      <c r="K15" s="17">
        <v>2.7744291699999999</v>
      </c>
      <c r="L15" s="17">
        <v>1.3328333299999999</v>
      </c>
      <c r="M15" s="1">
        <f t="shared" si="6"/>
        <v>0.39726027397260272</v>
      </c>
      <c r="N15" s="1">
        <f t="shared" si="7"/>
        <v>1.0082191780821919</v>
      </c>
      <c r="O15">
        <f t="shared" si="0"/>
        <v>2.5640482384666914</v>
      </c>
      <c r="P15" s="30">
        <v>2.5640482384666914</v>
      </c>
      <c r="Q15">
        <f t="shared" si="14"/>
        <v>2.5640482384666914</v>
      </c>
      <c r="R15">
        <f t="shared" si="18"/>
        <v>1.4044494465460371</v>
      </c>
      <c r="S15">
        <f t="shared" si="19"/>
        <v>0.32605098110344044</v>
      </c>
      <c r="T15">
        <f t="shared" si="15"/>
        <v>4.2945486661161691</v>
      </c>
      <c r="U15">
        <f t="shared" si="8"/>
        <v>0.40692271099363764</v>
      </c>
      <c r="V15">
        <f t="shared" si="9"/>
        <v>0.33057838056711869</v>
      </c>
      <c r="W15">
        <f t="shared" si="10"/>
        <v>3.0005000342075545E-2</v>
      </c>
      <c r="X15">
        <v>10</v>
      </c>
      <c r="Y15">
        <f t="shared" si="11"/>
        <v>7.6750609190283186</v>
      </c>
      <c r="AA15">
        <f t="shared" si="1"/>
        <v>2002</v>
      </c>
      <c r="AB15" s="5">
        <f t="shared" si="16"/>
        <v>61939.244676496681</v>
      </c>
      <c r="AC15" s="5">
        <f t="shared" si="12"/>
        <v>87018.024949926999</v>
      </c>
      <c r="AD15" s="5">
        <f t="shared" si="2"/>
        <v>148957.26962642369</v>
      </c>
      <c r="AE15" s="5">
        <f t="shared" si="3"/>
        <v>29791.453925284739</v>
      </c>
      <c r="AH15" s="15">
        <f t="shared" si="17"/>
        <v>3.6164001618664104E-4</v>
      </c>
      <c r="AI15">
        <f t="shared" si="13"/>
        <v>52655.891217429999</v>
      </c>
      <c r="AJ15" s="54">
        <v>45306</v>
      </c>
      <c r="AK15">
        <f t="shared" si="4"/>
        <v>0.32605098110344044</v>
      </c>
      <c r="AL15">
        <f t="shared" si="5"/>
        <v>0.27419354838709697</v>
      </c>
    </row>
    <row r="16" spans="1:38" ht="14.4" x14ac:dyDescent="0.3">
      <c r="A16">
        <v>2003</v>
      </c>
      <c r="B16" t="s">
        <v>22</v>
      </c>
      <c r="C16" s="21">
        <v>2.8953488372092999</v>
      </c>
      <c r="D16" s="21">
        <v>1.68604651162791</v>
      </c>
      <c r="E16" s="16">
        <v>0.418604651162791</v>
      </c>
      <c r="G16" s="53">
        <v>18922</v>
      </c>
      <c r="H16" s="4">
        <v>38037</v>
      </c>
      <c r="I16" s="12">
        <v>37819</v>
      </c>
      <c r="J16" s="17">
        <v>1.87486047</v>
      </c>
      <c r="K16" s="17">
        <v>2.92729412</v>
      </c>
      <c r="L16" s="17">
        <v>1.18673077</v>
      </c>
      <c r="M16" s="1">
        <f t="shared" si="6"/>
        <v>0.40273972602739727</v>
      </c>
      <c r="N16" s="1">
        <f t="shared" si="7"/>
        <v>1.0054794520547945</v>
      </c>
      <c r="O16">
        <f t="shared" si="0"/>
        <v>3.0160861058098534</v>
      </c>
      <c r="P16" s="30">
        <v>3.0160861058098534</v>
      </c>
      <c r="Q16">
        <f t="shared" si="14"/>
        <v>3.0160861058098534</v>
      </c>
      <c r="R16">
        <f t="shared" si="18"/>
        <v>1.6330317365821054</v>
      </c>
      <c r="S16">
        <f t="shared" si="19"/>
        <v>0.35190370611860844</v>
      </c>
      <c r="T16">
        <f t="shared" si="15"/>
        <v>5.0010215485105673</v>
      </c>
      <c r="U16">
        <f t="shared" si="8"/>
        <v>1.6690819338849828E-3</v>
      </c>
      <c r="V16">
        <f t="shared" si="9"/>
        <v>1.0206873452803706E-3</v>
      </c>
      <c r="W16">
        <f t="shared" si="10"/>
        <v>3.0126317584353735E-2</v>
      </c>
      <c r="X16">
        <v>10</v>
      </c>
      <c r="Y16">
        <f t="shared" si="11"/>
        <v>0.32816086863519089</v>
      </c>
      <c r="AA16">
        <f t="shared" si="1"/>
        <v>2003</v>
      </c>
      <c r="AB16" s="5">
        <f t="shared" si="16"/>
        <v>64872.37651448814</v>
      </c>
      <c r="AC16" s="5">
        <f t="shared" si="12"/>
        <v>105311.69816107397</v>
      </c>
      <c r="AD16" s="5">
        <f t="shared" si="2"/>
        <v>170184.07467556212</v>
      </c>
      <c r="AE16" s="5">
        <f t="shared" si="3"/>
        <v>34036.814935112423</v>
      </c>
      <c r="AF16" s="5">
        <f>AC16*0.5</f>
        <v>52655.849080536987</v>
      </c>
      <c r="AG16" s="5">
        <f>AF16/K16</f>
        <v>17987.891520971247</v>
      </c>
      <c r="AH16" s="15">
        <f t="shared" si="17"/>
        <v>0.21022855002367324</v>
      </c>
      <c r="AI16">
        <f t="shared" si="13"/>
        <v>55390.259338639997</v>
      </c>
      <c r="AJ16" s="54">
        <v>45254</v>
      </c>
      <c r="AK16">
        <f t="shared" si="4"/>
        <v>0.35190370611860844</v>
      </c>
      <c r="AL16">
        <f t="shared" si="5"/>
        <v>0.418604651162791</v>
      </c>
    </row>
    <row r="17" spans="1:38" ht="14.4" x14ac:dyDescent="0.3">
      <c r="A17">
        <v>2004</v>
      </c>
      <c r="B17" t="s">
        <v>21</v>
      </c>
      <c r="C17" s="16">
        <v>2.9550561797752799</v>
      </c>
      <c r="D17" s="16">
        <v>1.3370786516853901</v>
      </c>
      <c r="E17" s="16">
        <v>0.64044943820224698</v>
      </c>
      <c r="G17" s="53">
        <v>22489</v>
      </c>
      <c r="H17" s="4">
        <v>38403</v>
      </c>
      <c r="I17" s="12">
        <v>38181</v>
      </c>
      <c r="J17" s="17">
        <v>2.1764285700000001</v>
      </c>
      <c r="K17" s="17">
        <v>2.7759999999999998</v>
      </c>
      <c r="L17" s="17">
        <v>1.3161739100000001</v>
      </c>
      <c r="M17" s="1">
        <f t="shared" ref="M17:M22" si="20">+(I17-H16)/365</f>
        <v>0.39452054794520547</v>
      </c>
      <c r="N17" s="1">
        <f t="shared" ref="N17:N22" si="21">+(I17-I16)/365</f>
        <v>0.99178082191780825</v>
      </c>
      <c r="O17">
        <f t="shared" si="0"/>
        <v>3.7713891562895019</v>
      </c>
      <c r="P17" s="30">
        <v>3.7713891562895019</v>
      </c>
      <c r="Q17">
        <f t="shared" si="14"/>
        <v>3.7713891562895019</v>
      </c>
      <c r="R17">
        <f t="shared" si="18"/>
        <v>1.9209327879093285</v>
      </c>
      <c r="S17">
        <f t="shared" si="19"/>
        <v>0.54663265680020234</v>
      </c>
      <c r="T17">
        <f t="shared" si="15"/>
        <v>6.2389546009990333</v>
      </c>
      <c r="U17">
        <f t="shared" si="8"/>
        <v>5.9499770348500805E-2</v>
      </c>
      <c r="V17">
        <f t="shared" si="9"/>
        <v>0.13127851555388939</v>
      </c>
      <c r="W17">
        <f t="shared" si="10"/>
        <v>2.5088393147486749E-2</v>
      </c>
      <c r="X17">
        <v>10</v>
      </c>
      <c r="Y17">
        <f t="shared" si="11"/>
        <v>2.1586667904987697</v>
      </c>
      <c r="AA17">
        <f t="shared" si="1"/>
        <v>2004</v>
      </c>
      <c r="AB17" s="5">
        <f t="shared" si="16"/>
        <v>89966.0172092094</v>
      </c>
      <c r="AC17" s="5">
        <f t="shared" si="12"/>
        <v>124151.51130186213</v>
      </c>
      <c r="AD17" s="5">
        <f t="shared" si="2"/>
        <v>214117.52851107152</v>
      </c>
      <c r="AE17" s="5">
        <f t="shared" si="3"/>
        <v>42823.505702214308</v>
      </c>
      <c r="AF17" s="5">
        <f>AC17*0.5</f>
        <v>62075.755650931067</v>
      </c>
      <c r="AG17" s="5">
        <f>AF17/K17</f>
        <v>22361.583447741741</v>
      </c>
      <c r="AH17" s="15">
        <f t="shared" si="17"/>
        <v>0.1788957301967794</v>
      </c>
      <c r="AI17">
        <f t="shared" si="13"/>
        <v>62429.463999999993</v>
      </c>
      <c r="AJ17" s="54">
        <v>53550</v>
      </c>
      <c r="AK17">
        <f t="shared" si="4"/>
        <v>0.54663265680020234</v>
      </c>
      <c r="AL17">
        <f t="shared" si="5"/>
        <v>0.64044943820224698</v>
      </c>
    </row>
    <row r="18" spans="1:38" ht="14.4" x14ac:dyDescent="0.3">
      <c r="A18">
        <v>2005</v>
      </c>
      <c r="B18" t="s">
        <v>30</v>
      </c>
      <c r="C18" s="16">
        <v>3.6111111111111098</v>
      </c>
      <c r="D18" s="16">
        <v>2.2083333333333299</v>
      </c>
      <c r="E18" s="16">
        <v>0.80555555555555602</v>
      </c>
      <c r="G18" s="53">
        <v>28936</v>
      </c>
      <c r="H18" s="8">
        <v>38768</v>
      </c>
      <c r="I18" s="12">
        <v>38547</v>
      </c>
      <c r="J18" s="17">
        <v>2.4992916699999999</v>
      </c>
      <c r="K18" s="17">
        <v>2.8168000000000002</v>
      </c>
      <c r="L18" s="17">
        <v>1.47205882</v>
      </c>
      <c r="M18" s="1">
        <f t="shared" si="20"/>
        <v>0.39452054794520547</v>
      </c>
      <c r="N18" s="1">
        <f t="shared" si="21"/>
        <v>1.0027397260273974</v>
      </c>
      <c r="O18">
        <f t="shared" ref="O18:O25" si="22">+P18</f>
        <v>4.4781992910320598</v>
      </c>
      <c r="P18" s="30">
        <v>4.4781992910320598</v>
      </c>
      <c r="Q18">
        <f t="shared" si="14"/>
        <v>4.4781992910320598</v>
      </c>
      <c r="R18">
        <f t="shared" si="18"/>
        <v>2.4019821822483913</v>
      </c>
      <c r="S18">
        <f t="shared" si="19"/>
        <v>0.72420278971121954</v>
      </c>
      <c r="T18">
        <f t="shared" si="15"/>
        <v>7.6043842629916707</v>
      </c>
      <c r="U18">
        <f t="shared" si="8"/>
        <v>4.6313411388121596E-2</v>
      </c>
      <c r="V18">
        <f t="shared" si="9"/>
        <v>7.0654485484508952E-3</v>
      </c>
      <c r="W18">
        <f t="shared" si="10"/>
        <v>1.1333885128660239E-2</v>
      </c>
      <c r="X18">
        <v>10</v>
      </c>
      <c r="Y18">
        <f t="shared" si="11"/>
        <v>0.64712745065232735</v>
      </c>
      <c r="AA18">
        <f t="shared" si="1"/>
        <v>2005</v>
      </c>
      <c r="AB18" s="5">
        <f t="shared" si="16"/>
        <v>119479.239492504</v>
      </c>
      <c r="AC18" s="5">
        <f t="shared" si="12"/>
        <v>159600.61190109429</v>
      </c>
      <c r="AD18" s="5">
        <f t="shared" ref="AD18:AD23" si="23">+AC18+AB18</f>
        <v>279079.85139359831</v>
      </c>
      <c r="AE18" s="5">
        <f t="shared" si="3"/>
        <v>55815.970278719666</v>
      </c>
      <c r="AF18" s="5">
        <f>AC18*0.5</f>
        <v>79800.305950547146</v>
      </c>
      <c r="AG18" s="5">
        <f>AF18/K18</f>
        <v>28330.128497070131</v>
      </c>
      <c r="AH18" s="15">
        <f t="shared" si="17"/>
        <v>0.28553096315550419</v>
      </c>
      <c r="AI18">
        <f t="shared" si="13"/>
        <v>81506.924800000008</v>
      </c>
      <c r="AJ18" s="54">
        <v>67689</v>
      </c>
      <c r="AK18">
        <f t="shared" si="4"/>
        <v>0.72420278971121954</v>
      </c>
      <c r="AL18">
        <f t="shared" si="5"/>
        <v>0.80555555555555602</v>
      </c>
    </row>
    <row r="19" spans="1:38" ht="14.4" x14ac:dyDescent="0.3">
      <c r="A19">
        <v>2006</v>
      </c>
      <c r="B19" t="s">
        <v>31</v>
      </c>
      <c r="C19" s="16">
        <v>7.2650602409638596</v>
      </c>
      <c r="D19" s="16">
        <v>7.4457831325301198</v>
      </c>
      <c r="E19" s="16">
        <v>1.3373493975903601</v>
      </c>
      <c r="G19" s="53">
        <v>26192</v>
      </c>
      <c r="H19" s="4">
        <v>39125</v>
      </c>
      <c r="I19" s="12">
        <v>38913</v>
      </c>
      <c r="J19" s="17">
        <v>2.25931646</v>
      </c>
      <c r="K19" s="17">
        <v>2.72508163</v>
      </c>
      <c r="L19" s="17">
        <v>1.49856667</v>
      </c>
      <c r="M19" s="1">
        <f t="shared" si="20"/>
        <v>0.39726027397260272</v>
      </c>
      <c r="N19" s="1">
        <f t="shared" si="21"/>
        <v>1.0027397260273974</v>
      </c>
      <c r="O19">
        <f t="shared" si="22"/>
        <v>3.6451144073286641</v>
      </c>
      <c r="P19" s="39">
        <v>3.6451144073286641</v>
      </c>
      <c r="Q19">
        <f t="shared" si="14"/>
        <v>3.6451144073286641</v>
      </c>
      <c r="R19">
        <f t="shared" si="18"/>
        <v>2.8521466387730907</v>
      </c>
      <c r="S19">
        <f t="shared" si="19"/>
        <v>0.89688068479700167</v>
      </c>
      <c r="T19">
        <f t="shared" si="15"/>
        <v>7.3941417308987569</v>
      </c>
      <c r="U19">
        <f t="shared" si="8"/>
        <v>0.47567069118224303</v>
      </c>
      <c r="V19">
        <f t="shared" si="9"/>
        <v>0.92078596987092676</v>
      </c>
      <c r="W19">
        <f t="shared" si="10"/>
        <v>0.15961785654671065</v>
      </c>
      <c r="X19">
        <v>10</v>
      </c>
      <c r="Y19">
        <f t="shared" ref="Y19:Y24" si="24">+SUM(U19:W19)*X19</f>
        <v>15.560745175998802</v>
      </c>
      <c r="AA19">
        <f t="shared" si="1"/>
        <v>2006</v>
      </c>
      <c r="AB19" s="5">
        <f t="shared" si="16"/>
        <v>99003.626240590282</v>
      </c>
      <c r="AC19" s="5">
        <f t="shared" si="12"/>
        <v>185166.31798891872</v>
      </c>
      <c r="AD19" s="5">
        <f t="shared" si="23"/>
        <v>284169.94422950898</v>
      </c>
      <c r="AE19" s="5">
        <f t="shared" si="3"/>
        <v>56833.988845901797</v>
      </c>
      <c r="AF19" s="5">
        <f>AC19*0.5</f>
        <v>92583.158994459358</v>
      </c>
      <c r="AG19" s="5">
        <f>AF19/K19</f>
        <v>33974.453453146416</v>
      </c>
      <c r="AH19" s="15">
        <f t="shared" si="17"/>
        <v>0.16018551422389085</v>
      </c>
      <c r="AI19">
        <f t="shared" si="13"/>
        <v>71375.338052959996</v>
      </c>
      <c r="AJ19" s="54">
        <v>60251</v>
      </c>
    </row>
    <row r="20" spans="1:38" ht="14.4" x14ac:dyDescent="0.3">
      <c r="A20">
        <v>2007</v>
      </c>
      <c r="B20" t="s">
        <v>32</v>
      </c>
      <c r="C20" s="16">
        <v>6.59</v>
      </c>
      <c r="D20" s="16">
        <v>3.09</v>
      </c>
      <c r="E20" s="16">
        <v>1.71</v>
      </c>
      <c r="G20" s="53">
        <v>24362</v>
      </c>
      <c r="H20" s="4">
        <v>39495</v>
      </c>
      <c r="I20" s="12">
        <v>39258</v>
      </c>
      <c r="J20" s="18">
        <v>1.83</v>
      </c>
      <c r="K20" s="18">
        <v>2.4</v>
      </c>
      <c r="L20" s="18">
        <v>1.42</v>
      </c>
      <c r="M20" s="1">
        <f t="shared" si="20"/>
        <v>0.36438356164383562</v>
      </c>
      <c r="N20" s="1">
        <f t="shared" si="21"/>
        <v>0.9452054794520548</v>
      </c>
      <c r="O20">
        <f t="shared" si="22"/>
        <v>3.0615523618393414</v>
      </c>
      <c r="P20" s="39">
        <v>3.0615523618393414</v>
      </c>
      <c r="Q20">
        <f t="shared" si="14"/>
        <v>3.0615523618393414</v>
      </c>
      <c r="R20">
        <f t="shared" si="18"/>
        <v>2.3215583160011239</v>
      </c>
      <c r="S20">
        <f t="shared" si="19"/>
        <v>1.5279026312962503</v>
      </c>
      <c r="T20">
        <f t="shared" ref="T20:T25" si="25">SUM(Q20:S20)</f>
        <v>6.911013309136715</v>
      </c>
      <c r="U20">
        <f t="shared" ref="U20:W22" si="26">+(LN(Q20)-LN(C20))^2</f>
        <v>0.58772347868441943</v>
      </c>
      <c r="V20">
        <f t="shared" si="26"/>
        <v>8.1757361834876904E-2</v>
      </c>
      <c r="W20">
        <f t="shared" si="26"/>
        <v>1.2678175561905949E-2</v>
      </c>
      <c r="X20">
        <v>10</v>
      </c>
      <c r="Y20">
        <f t="shared" si="24"/>
        <v>6.8215901608120237</v>
      </c>
      <c r="AA20">
        <f t="shared" si="1"/>
        <v>2007</v>
      </c>
      <c r="AB20" s="5">
        <f t="shared" si="16"/>
        <v>78794.13731236085</v>
      </c>
      <c r="AC20" s="5">
        <f t="shared" si="12"/>
        <v>167446.09690274752</v>
      </c>
      <c r="AD20" s="5">
        <f t="shared" si="23"/>
        <v>246240.23421510839</v>
      </c>
      <c r="AE20" s="5">
        <f t="shared" si="3"/>
        <v>49248.046843021679</v>
      </c>
      <c r="AF20" s="5">
        <f>AC20*0.5</f>
        <v>83723.048451373761</v>
      </c>
      <c r="AG20" s="5">
        <f>AF20/K20</f>
        <v>34884.603521405734</v>
      </c>
      <c r="AH20" s="15">
        <f t="shared" si="17"/>
        <v>-9.5698943947417375E-2</v>
      </c>
      <c r="AI20">
        <f t="shared" si="13"/>
        <v>58468.799999999996</v>
      </c>
      <c r="AJ20" s="54">
        <v>59851</v>
      </c>
    </row>
    <row r="21" spans="1:38" ht="14.4" x14ac:dyDescent="0.3">
      <c r="A21">
        <v>2008</v>
      </c>
      <c r="B21" t="s">
        <v>44</v>
      </c>
      <c r="C21" s="16">
        <v>4.28</v>
      </c>
      <c r="D21" s="16">
        <v>2.2200000000000002</v>
      </c>
      <c r="E21" s="16">
        <v>1.38</v>
      </c>
      <c r="G21" s="53">
        <v>13829</v>
      </c>
      <c r="H21" s="4">
        <v>39862</v>
      </c>
      <c r="I21" s="12">
        <v>39621</v>
      </c>
      <c r="J21" s="17">
        <v>1.8976300399999999</v>
      </c>
      <c r="K21" s="17">
        <v>2.5589264799999998</v>
      </c>
      <c r="L21" s="17">
        <v>1.3355280700000001</v>
      </c>
      <c r="M21" s="1">
        <f t="shared" si="20"/>
        <v>0.34520547945205482</v>
      </c>
      <c r="N21" s="1">
        <f t="shared" si="21"/>
        <v>0.9945205479452055</v>
      </c>
      <c r="O21">
        <f t="shared" si="22"/>
        <v>2.657250606444709</v>
      </c>
      <c r="P21" s="39">
        <v>2.657250606444709</v>
      </c>
      <c r="Q21">
        <f t="shared" si="14"/>
        <v>2.657250606444709</v>
      </c>
      <c r="R21">
        <f t="shared" si="18"/>
        <v>1.949890058652457</v>
      </c>
      <c r="S21">
        <f t="shared" si="19"/>
        <v>1.644525636356166</v>
      </c>
      <c r="T21">
        <f t="shared" si="25"/>
        <v>6.2516663014533318</v>
      </c>
      <c r="U21">
        <f t="shared" si="26"/>
        <v>0.22720573555634105</v>
      </c>
      <c r="V21">
        <f t="shared" si="26"/>
        <v>1.6830963966748831E-2</v>
      </c>
      <c r="W21">
        <f t="shared" si="26"/>
        <v>3.075410255194368E-2</v>
      </c>
      <c r="X21">
        <v>10</v>
      </c>
      <c r="Y21">
        <f t="shared" si="24"/>
        <v>2.7479080207503355</v>
      </c>
      <c r="AA21">
        <f t="shared" si="1"/>
        <v>2008</v>
      </c>
      <c r="AB21" s="5">
        <f t="shared" si="16"/>
        <v>64320.498884024593</v>
      </c>
      <c r="AC21" s="5">
        <f t="shared" si="12"/>
        <v>166705.5195437987</v>
      </c>
      <c r="AD21" s="5">
        <f t="shared" si="23"/>
        <v>231026.01842782329</v>
      </c>
      <c r="AE21" s="5">
        <f t="shared" si="3"/>
        <v>46205.203685564658</v>
      </c>
      <c r="AF21" s="5"/>
      <c r="AG21" s="5"/>
      <c r="AH21" s="15">
        <f t="shared" si="17"/>
        <v>-4.4227806598498972E-3</v>
      </c>
      <c r="AI21">
        <f t="shared" si="13"/>
        <v>35387.394291919998</v>
      </c>
      <c r="AJ21" s="54">
        <v>32399</v>
      </c>
    </row>
    <row r="22" spans="1:38" ht="14.4" x14ac:dyDescent="0.3">
      <c r="A22">
        <v>2009</v>
      </c>
      <c r="B22" s="20" t="s">
        <v>45</v>
      </c>
      <c r="C22" s="16">
        <v>4.9393939400000004</v>
      </c>
      <c r="D22" s="16">
        <v>2.3939393899999999</v>
      </c>
      <c r="E22" s="16">
        <v>1.5151515200000001</v>
      </c>
      <c r="G22" s="53">
        <v>18142</v>
      </c>
      <c r="H22" s="4">
        <v>40227</v>
      </c>
      <c r="I22" s="12">
        <v>39986</v>
      </c>
      <c r="J22" s="17">
        <v>1.88</v>
      </c>
      <c r="K22" s="17">
        <v>2.4500000000000002</v>
      </c>
      <c r="L22" s="17">
        <v>1.43</v>
      </c>
      <c r="M22" s="1">
        <f t="shared" si="20"/>
        <v>0.33972602739726027</v>
      </c>
      <c r="N22" s="1">
        <f t="shared" si="21"/>
        <v>1</v>
      </c>
      <c r="O22">
        <f t="shared" si="22"/>
        <v>3.5144418613638582</v>
      </c>
      <c r="P22" s="39">
        <v>3.5144418613638582</v>
      </c>
      <c r="Q22">
        <f t="shared" si="14"/>
        <v>3.5144418613638582</v>
      </c>
      <c r="R22">
        <f t="shared" si="18"/>
        <v>1.69239193993137</v>
      </c>
      <c r="S22">
        <f t="shared" si="19"/>
        <v>1.9737366983849038</v>
      </c>
      <c r="T22">
        <f t="shared" si="25"/>
        <v>7.1805704996801314</v>
      </c>
      <c r="U22">
        <f t="shared" si="26"/>
        <v>0.11584623282280489</v>
      </c>
      <c r="V22">
        <f t="shared" si="26"/>
        <v>0.12026844497724337</v>
      </c>
      <c r="W22">
        <f t="shared" si="26"/>
        <v>6.9914287527232097E-2</v>
      </c>
      <c r="X22">
        <v>10</v>
      </c>
      <c r="Y22">
        <f t="shared" si="24"/>
        <v>3.0602896532728034</v>
      </c>
      <c r="AA22">
        <f t="shared" si="1"/>
        <v>2009</v>
      </c>
      <c r="AB22" s="5">
        <f t="shared" si="16"/>
        <v>91086.97297311791</v>
      </c>
      <c r="AC22" s="5">
        <f t="shared" si="12"/>
        <v>162793.72208465415</v>
      </c>
      <c r="AD22" s="5">
        <f t="shared" si="23"/>
        <v>253880.69505777204</v>
      </c>
      <c r="AE22" s="5">
        <f t="shared" ref="AE22:AE28" si="27">+AD22*0.2</f>
        <v>50776.139011554413</v>
      </c>
      <c r="AF22" s="5"/>
      <c r="AG22" s="5"/>
      <c r="AH22" s="15">
        <f t="shared" si="17"/>
        <v>-2.3465314584960713E-2</v>
      </c>
      <c r="AI22">
        <f t="shared" si="13"/>
        <v>44447.9</v>
      </c>
      <c r="AJ22" s="54">
        <v>45432</v>
      </c>
    </row>
    <row r="23" spans="1:38" ht="14.4" x14ac:dyDescent="0.3">
      <c r="A23">
        <v>2010</v>
      </c>
      <c r="B23" s="20" t="s">
        <v>46</v>
      </c>
      <c r="C23" s="16">
        <v>2.6</v>
      </c>
      <c r="D23" s="16">
        <v>2.1231</v>
      </c>
      <c r="E23" s="16">
        <v>0.67689999999999995</v>
      </c>
      <c r="G23" s="53">
        <v>22017</v>
      </c>
      <c r="H23" s="4">
        <v>40596</v>
      </c>
      <c r="I23" s="12">
        <v>40378</v>
      </c>
      <c r="J23" s="17">
        <v>2</v>
      </c>
      <c r="K23" s="17">
        <v>2.61</v>
      </c>
      <c r="L23" s="17">
        <v>1.34</v>
      </c>
      <c r="M23" s="1">
        <f t="shared" ref="M23:M28" si="28">+(I23-H22)/365</f>
        <v>0.41369863013698632</v>
      </c>
      <c r="N23" s="1">
        <f t="shared" ref="N23:N28" si="29">+(I23-I22)/365</f>
        <v>1.0739726027397261</v>
      </c>
      <c r="O23">
        <f t="shared" si="22"/>
        <v>3.4815441954086106</v>
      </c>
      <c r="P23" s="39">
        <v>3.4815441954086106</v>
      </c>
      <c r="Q23">
        <f t="shared" si="14"/>
        <v>3.4815441954086106</v>
      </c>
      <c r="R23">
        <f t="shared" si="18"/>
        <v>2.2383335109997478</v>
      </c>
      <c r="S23">
        <f t="shared" si="19"/>
        <v>1.7721870136047899</v>
      </c>
      <c r="T23">
        <f t="shared" si="25"/>
        <v>7.4920647200131478</v>
      </c>
      <c r="U23">
        <f t="shared" ref="U23:W24" si="30">+(LN(Q23)-LN(C23))^2</f>
        <v>8.5243260297412901E-2</v>
      </c>
      <c r="V23">
        <f t="shared" si="30"/>
        <v>2.7935808248886278E-3</v>
      </c>
      <c r="W23">
        <f t="shared" si="30"/>
        <v>0.92630251895317239</v>
      </c>
      <c r="X23">
        <v>10</v>
      </c>
      <c r="Y23">
        <f t="shared" si="24"/>
        <v>10.14339360075474</v>
      </c>
      <c r="AA23">
        <f t="shared" si="1"/>
        <v>2010</v>
      </c>
      <c r="AB23" s="5">
        <f t="shared" si="16"/>
        <v>84555.250385916515</v>
      </c>
      <c r="AC23" s="5">
        <f t="shared" si="12"/>
        <v>189716.50683728675</v>
      </c>
      <c r="AD23" s="5">
        <f t="shared" si="23"/>
        <v>274271.75722320325</v>
      </c>
      <c r="AE23" s="5">
        <f t="shared" si="27"/>
        <v>54854.351444640655</v>
      </c>
      <c r="AF23" s="5"/>
      <c r="AG23" s="5"/>
      <c r="AH23" s="15">
        <f t="shared" si="17"/>
        <v>0.16537974811235365</v>
      </c>
      <c r="AI23">
        <f t="shared" si="13"/>
        <v>57464.369999999995</v>
      </c>
      <c r="AJ23" s="54">
        <v>58305</v>
      </c>
    </row>
    <row r="24" spans="1:38" ht="14.4" x14ac:dyDescent="0.3">
      <c r="A24">
        <v>2011</v>
      </c>
      <c r="B24" s="20" t="s">
        <v>47</v>
      </c>
      <c r="C24" s="16">
        <v>2.7424242423999998</v>
      </c>
      <c r="D24" s="16">
        <v>2.4090909091000001</v>
      </c>
      <c r="E24" s="16">
        <v>1.1363636364</v>
      </c>
      <c r="G24" s="53">
        <v>26302</v>
      </c>
      <c r="H24" s="33">
        <v>40958</v>
      </c>
      <c r="I24" s="12">
        <v>40749</v>
      </c>
      <c r="J24" s="21">
        <v>2</v>
      </c>
      <c r="K24" s="21">
        <v>2.61</v>
      </c>
      <c r="L24" s="21">
        <v>1.34</v>
      </c>
      <c r="M24" s="1">
        <f t="shared" si="28"/>
        <v>0.41917808219178082</v>
      </c>
      <c r="N24" s="1">
        <f t="shared" si="29"/>
        <v>1.0164383561643835</v>
      </c>
      <c r="O24">
        <f t="shared" si="22"/>
        <v>5.190631369023996</v>
      </c>
      <c r="P24" s="39">
        <v>5.190631369023996</v>
      </c>
      <c r="Q24">
        <f t="shared" si="14"/>
        <v>5.190631369023996</v>
      </c>
      <c r="R24">
        <f t="shared" si="18"/>
        <v>2.2173811233814393</v>
      </c>
      <c r="S24">
        <f t="shared" si="19"/>
        <v>1.8852270084113758</v>
      </c>
      <c r="T24">
        <f t="shared" si="25"/>
        <v>9.2932395008168101</v>
      </c>
      <c r="U24">
        <f t="shared" si="30"/>
        <v>0.40706065402814984</v>
      </c>
      <c r="V24">
        <f t="shared" si="30"/>
        <v>6.876163367009862E-3</v>
      </c>
      <c r="W24">
        <f t="shared" si="30"/>
        <v>0.25625349559377253</v>
      </c>
      <c r="X24">
        <v>10</v>
      </c>
      <c r="Y24">
        <f t="shared" si="24"/>
        <v>6.7019031298893221</v>
      </c>
      <c r="AA24">
        <f t="shared" si="1"/>
        <v>2011</v>
      </c>
      <c r="AB24" s="5">
        <f t="shared" si="16"/>
        <v>126063.35305110375</v>
      </c>
      <c r="AC24" s="5">
        <f t="shared" si="12"/>
        <v>194072.68430890984</v>
      </c>
      <c r="AD24" s="5">
        <f t="shared" ref="AD24:AD29" si="31">+AC24+AB24</f>
        <v>320136.03736001358</v>
      </c>
      <c r="AE24" s="5">
        <f t="shared" si="27"/>
        <v>64027.207472002716</v>
      </c>
      <c r="AF24" s="5"/>
      <c r="AG24" s="5"/>
      <c r="AH24" s="15">
        <f t="shared" si="17"/>
        <v>2.2961510014303754E-2</v>
      </c>
      <c r="AI24">
        <f t="shared" si="13"/>
        <v>68648.22</v>
      </c>
      <c r="AJ24" s="54">
        <v>63797</v>
      </c>
    </row>
    <row r="25" spans="1:38" ht="14.4" x14ac:dyDescent="0.3">
      <c r="A25">
        <v>2012</v>
      </c>
      <c r="B25" s="31" t="s">
        <v>61</v>
      </c>
      <c r="C25" s="32">
        <v>3.72</v>
      </c>
      <c r="D25" s="32">
        <v>4.22</v>
      </c>
      <c r="E25" s="32">
        <v>1.78</v>
      </c>
      <c r="G25" s="53">
        <v>39269</v>
      </c>
      <c r="H25" s="47">
        <v>41325</v>
      </c>
      <c r="I25" s="33">
        <v>41121</v>
      </c>
      <c r="J25" s="34">
        <v>2.2988723913000002</v>
      </c>
      <c r="K25" s="34">
        <v>2.8652219709</v>
      </c>
      <c r="L25" s="34">
        <v>1.3854053273</v>
      </c>
      <c r="M25" s="1">
        <f t="shared" si="28"/>
        <v>0.44657534246575342</v>
      </c>
      <c r="N25" s="1">
        <f t="shared" si="29"/>
        <v>1.0191780821917809</v>
      </c>
      <c r="O25">
        <f t="shared" si="22"/>
        <v>6.4121704074814954</v>
      </c>
      <c r="P25" s="30">
        <v>6.4121704074814954</v>
      </c>
      <c r="Q25">
        <f t="shared" si="14"/>
        <v>6.4121704074814954</v>
      </c>
      <c r="R25">
        <f t="shared" si="18"/>
        <v>3.3058916877413194</v>
      </c>
      <c r="S25">
        <f t="shared" si="19"/>
        <v>1.7526177927412283</v>
      </c>
      <c r="T25">
        <f t="shared" si="25"/>
        <v>11.470679887964042</v>
      </c>
      <c r="U25">
        <f t="shared" ref="U25:W26" si="32">+(LN(Q25)-LN(C25))^2</f>
        <v>0.29645209179389254</v>
      </c>
      <c r="V25">
        <f t="shared" si="32"/>
        <v>5.9598915672090871E-2</v>
      </c>
      <c r="W25">
        <f t="shared" si="32"/>
        <v>2.4033719598303563E-4</v>
      </c>
      <c r="X25">
        <v>10</v>
      </c>
      <c r="Y25">
        <f t="shared" ref="Y25:Y30" si="33">+SUM(U25:W25)*X25</f>
        <v>3.5629134466196644</v>
      </c>
      <c r="AA25">
        <f t="shared" si="1"/>
        <v>2012</v>
      </c>
      <c r="AB25" s="5">
        <f t="shared" ref="AB25:AB30" si="34">+(Q25/O$2)*L25</f>
        <v>161007.37806459601</v>
      </c>
      <c r="AC25" s="35">
        <f t="shared" ref="AC25:AC30" si="35">+((R25+S25)/O$2)*K25</f>
        <v>262690.7073710761</v>
      </c>
      <c r="AD25" s="35">
        <f t="shared" si="31"/>
        <v>423698.08543567208</v>
      </c>
      <c r="AE25" s="5">
        <f t="shared" si="27"/>
        <v>84739.617087134422</v>
      </c>
      <c r="AF25" s="2"/>
      <c r="AH25" s="15">
        <f t="shared" si="17"/>
        <v>0.35356868127276181</v>
      </c>
      <c r="AI25">
        <f t="shared" si="13"/>
        <v>112514.4015752721</v>
      </c>
      <c r="AJ25" s="54">
        <v>107605</v>
      </c>
    </row>
    <row r="26" spans="1:38" ht="14.4" x14ac:dyDescent="0.3">
      <c r="A26">
        <v>2013</v>
      </c>
      <c r="B26" s="46" t="s">
        <v>73</v>
      </c>
      <c r="C26" s="48">
        <v>4.4363636364000003</v>
      </c>
      <c r="D26" s="48">
        <v>4.7090909091000004</v>
      </c>
      <c r="E26" s="48">
        <v>2.0727272726999999</v>
      </c>
      <c r="G26" s="58">
        <v>59806</v>
      </c>
      <c r="H26" s="33">
        <v>41685</v>
      </c>
      <c r="I26" s="47">
        <v>41488</v>
      </c>
      <c r="J26" s="50">
        <v>2.2443143857000001</v>
      </c>
      <c r="K26" s="50">
        <v>2.8049139460000001</v>
      </c>
      <c r="L26" s="48">
        <v>1.387332271</v>
      </c>
      <c r="M26" s="1">
        <f t="shared" si="28"/>
        <v>0.44657534246575342</v>
      </c>
      <c r="N26" s="1">
        <f t="shared" si="29"/>
        <v>1.0054794520547945</v>
      </c>
      <c r="O26">
        <f t="shared" ref="O26:O31" si="36">+P26</f>
        <v>5.8572599502489515</v>
      </c>
      <c r="P26" s="30">
        <v>5.8572599502489515</v>
      </c>
      <c r="Q26">
        <f t="shared" si="14"/>
        <v>5.8572599502489515</v>
      </c>
      <c r="R26">
        <f t="shared" si="18"/>
        <v>4.083884857818334</v>
      </c>
      <c r="S26">
        <f t="shared" si="19"/>
        <v>1.8463105701762188</v>
      </c>
      <c r="T26">
        <f t="shared" ref="T26:T31" si="37">SUM(Q26:S26)</f>
        <v>11.787455378243504</v>
      </c>
      <c r="U26">
        <f t="shared" si="32"/>
        <v>7.7198882549841724E-2</v>
      </c>
      <c r="V26">
        <f t="shared" si="32"/>
        <v>2.0290911360862324E-2</v>
      </c>
      <c r="W26">
        <f t="shared" si="32"/>
        <v>1.3380914231056447E-2</v>
      </c>
      <c r="X26">
        <v>10</v>
      </c>
      <c r="Y26">
        <f t="shared" si="33"/>
        <v>1.108707081417605</v>
      </c>
      <c r="AA26">
        <f t="shared" si="1"/>
        <v>2013</v>
      </c>
      <c r="AB26" s="5">
        <f t="shared" si="34"/>
        <v>147278.3318235864</v>
      </c>
      <c r="AC26" s="35">
        <f t="shared" si="35"/>
        <v>301475.77231536282</v>
      </c>
      <c r="AD26" s="35">
        <f t="shared" si="31"/>
        <v>448754.10413894919</v>
      </c>
      <c r="AE26" s="5">
        <f t="shared" si="27"/>
        <v>89750.820827789837</v>
      </c>
    </row>
    <row r="27" spans="1:38" ht="14.4" x14ac:dyDescent="0.3">
      <c r="A27">
        <v>2014</v>
      </c>
      <c r="B27" s="46" t="s">
        <v>80</v>
      </c>
      <c r="C27" s="34">
        <v>5.6851851851999999</v>
      </c>
      <c r="D27" s="34">
        <v>3.7407407407000002</v>
      </c>
      <c r="E27" s="34">
        <v>1.6666666667000001</v>
      </c>
      <c r="G27" s="60">
        <v>48387</v>
      </c>
      <c r="H27" s="33">
        <v>42054</v>
      </c>
      <c r="I27" s="33">
        <v>41849</v>
      </c>
      <c r="J27" s="34">
        <v>1.9760796442999999</v>
      </c>
      <c r="K27" s="34">
        <v>2.5762568118</v>
      </c>
      <c r="L27" s="34">
        <v>1.4052270941</v>
      </c>
      <c r="M27" s="1">
        <f t="shared" si="28"/>
        <v>0.44931506849315067</v>
      </c>
      <c r="N27" s="1">
        <f t="shared" si="29"/>
        <v>0.989041095890411</v>
      </c>
      <c r="O27">
        <f t="shared" si="36"/>
        <v>6.2535591695293267</v>
      </c>
      <c r="P27" s="30">
        <v>6.2535591695293267</v>
      </c>
      <c r="Q27">
        <f t="shared" ref="Q27:Q32" si="38">+O27</f>
        <v>6.2535591695293267</v>
      </c>
      <c r="R27">
        <f t="shared" ref="R27:R32" si="39">+Q26*O$3</f>
        <v>3.7304646787331173</v>
      </c>
      <c r="S27">
        <f t="shared" ref="S27:S32" si="40">+(R26+S26)*EXP(P$5*N27)-O$2*G26*EXP(M27*P$5)</f>
        <v>1.5240284299981948</v>
      </c>
      <c r="T27">
        <f t="shared" si="37"/>
        <v>11.508052278260639</v>
      </c>
      <c r="U27">
        <f t="shared" ref="U27:W28" si="41">+(LN(Q27)-LN(C27))^2</f>
        <v>9.0796252827947659E-3</v>
      </c>
      <c r="V27">
        <f t="shared" si="41"/>
        <v>7.5671547103004777E-6</v>
      </c>
      <c r="W27">
        <f t="shared" si="41"/>
        <v>8.0046146110569882E-3</v>
      </c>
      <c r="X27">
        <v>10</v>
      </c>
      <c r="Y27">
        <f t="shared" si="33"/>
        <v>0.17091807048562055</v>
      </c>
      <c r="AA27">
        <f t="shared" si="1"/>
        <v>2014</v>
      </c>
      <c r="AB27" s="5">
        <f t="shared" si="34"/>
        <v>159271.34485545038</v>
      </c>
      <c r="AC27" s="35">
        <f t="shared" si="35"/>
        <v>245348.74954224881</v>
      </c>
      <c r="AD27" s="35">
        <f t="shared" si="31"/>
        <v>404620.09439769923</v>
      </c>
      <c r="AE27" s="5">
        <f t="shared" si="27"/>
        <v>80924.018879539857</v>
      </c>
      <c r="AF27" s="10"/>
    </row>
    <row r="28" spans="1:38" ht="14.4" x14ac:dyDescent="0.3">
      <c r="A28">
        <v>2015</v>
      </c>
      <c r="B28" s="46" t="s">
        <v>82</v>
      </c>
      <c r="C28">
        <v>7.4905660376999998</v>
      </c>
      <c r="D28">
        <v>4.4716981132000004</v>
      </c>
      <c r="E28">
        <v>1.8301886791999999</v>
      </c>
      <c r="G28" s="53">
        <v>48973</v>
      </c>
      <c r="H28" s="4">
        <v>42422</v>
      </c>
      <c r="I28" s="4">
        <v>42211</v>
      </c>
      <c r="J28">
        <v>1.93099117</v>
      </c>
      <c r="K28">
        <v>2.6133553416000002</v>
      </c>
      <c r="L28">
        <v>1.3569114892</v>
      </c>
      <c r="M28" s="1">
        <f t="shared" si="28"/>
        <v>0.43013698630136987</v>
      </c>
      <c r="N28" s="1">
        <f t="shared" si="29"/>
        <v>0.99178082191780825</v>
      </c>
      <c r="O28">
        <f t="shared" si="36"/>
        <v>5.7044833212283859</v>
      </c>
      <c r="P28" s="30">
        <v>5.7044833212283859</v>
      </c>
      <c r="Q28">
        <f t="shared" si="38"/>
        <v>5.7044833212283859</v>
      </c>
      <c r="R28">
        <f t="shared" si="39"/>
        <v>3.9828660152440767</v>
      </c>
      <c r="S28">
        <f t="shared" si="40"/>
        <v>1.5557211833904843</v>
      </c>
      <c r="T28">
        <f t="shared" si="37"/>
        <v>11.243070519862947</v>
      </c>
      <c r="U28">
        <f t="shared" si="41"/>
        <v>7.4197376534367324E-2</v>
      </c>
      <c r="V28">
        <f t="shared" si="41"/>
        <v>1.3401897132684335E-2</v>
      </c>
      <c r="W28">
        <f t="shared" si="41"/>
        <v>2.6399699471904688E-2</v>
      </c>
      <c r="X28">
        <v>10</v>
      </c>
      <c r="Y28">
        <f t="shared" si="33"/>
        <v>1.1399897313895635</v>
      </c>
      <c r="AA28">
        <f t="shared" si="1"/>
        <v>2015</v>
      </c>
      <c r="AB28" s="5">
        <f t="shared" si="34"/>
        <v>140291.61133508375</v>
      </c>
      <c r="AC28" s="35">
        <f t="shared" si="35"/>
        <v>262338.07771530014</v>
      </c>
      <c r="AD28" s="35">
        <f t="shared" si="31"/>
        <v>402629.68905038387</v>
      </c>
      <c r="AE28" s="5">
        <f t="shared" si="27"/>
        <v>80525.937810076779</v>
      </c>
      <c r="AF28" s="10"/>
    </row>
    <row r="29" spans="1:38" ht="14.4" x14ac:dyDescent="0.3">
      <c r="A29">
        <v>2016</v>
      </c>
      <c r="B29" s="46" t="s">
        <v>83</v>
      </c>
      <c r="C29">
        <v>10.18519</v>
      </c>
      <c r="D29">
        <v>3.3703699999999999</v>
      </c>
      <c r="E29">
        <v>1.8703700000000001</v>
      </c>
      <c r="G29" s="66">
        <v>41997</v>
      </c>
      <c r="H29" s="4">
        <v>42789</v>
      </c>
      <c r="I29" s="4">
        <v>42575</v>
      </c>
      <c r="J29" s="61">
        <v>1.7896981409169599</v>
      </c>
      <c r="K29" s="61">
        <v>2.6086805821917101</v>
      </c>
      <c r="L29" s="61">
        <v>1.3754753711234899</v>
      </c>
      <c r="M29" s="1">
        <f>+(I29-H28)/365</f>
        <v>0.41917808219178082</v>
      </c>
      <c r="N29" s="1">
        <f>+(I29-I28)/365</f>
        <v>0.99726027397260275</v>
      </c>
      <c r="O29">
        <f t="shared" si="36"/>
        <v>8.283043481659325</v>
      </c>
      <c r="P29" s="30">
        <v>8.283043481659325</v>
      </c>
      <c r="Q29">
        <f t="shared" si="38"/>
        <v>8.283043481659325</v>
      </c>
      <c r="R29">
        <f t="shared" si="39"/>
        <v>3.6331618744973402</v>
      </c>
      <c r="S29">
        <f t="shared" si="40"/>
        <v>1.7237082158681947</v>
      </c>
      <c r="T29">
        <f t="shared" si="37"/>
        <v>13.639913572024859</v>
      </c>
      <c r="U29">
        <f t="shared" ref="U29:W30" si="42">+(LN(Q29)-LN(C29))^2</f>
        <v>4.2734908625583608E-2</v>
      </c>
      <c r="V29">
        <f t="shared" si="42"/>
        <v>5.6371232740014942E-3</v>
      </c>
      <c r="W29">
        <f t="shared" si="42"/>
        <v>6.6680881949401838E-3</v>
      </c>
      <c r="X29">
        <v>10</v>
      </c>
      <c r="Y29">
        <f t="shared" si="33"/>
        <v>0.55040120094525291</v>
      </c>
      <c r="AA29">
        <f t="shared" si="1"/>
        <v>2016</v>
      </c>
      <c r="AB29" s="5">
        <f t="shared" si="34"/>
        <v>206493.6155949198</v>
      </c>
      <c r="AC29" s="35">
        <f t="shared" si="35"/>
        <v>253277.07900254003</v>
      </c>
      <c r="AD29" s="35">
        <f t="shared" si="31"/>
        <v>459770.69459745986</v>
      </c>
      <c r="AE29" s="5">
        <f>+AD29*0.2</f>
        <v>91954.138919491976</v>
      </c>
      <c r="AF29" s="10"/>
    </row>
    <row r="30" spans="1:38" ht="14.4" x14ac:dyDescent="0.3">
      <c r="A30">
        <v>2017</v>
      </c>
      <c r="B30" s="46" t="s">
        <v>87</v>
      </c>
      <c r="C30" s="62">
        <v>17.2264150943396</v>
      </c>
      <c r="D30" s="63">
        <v>8.1320754716981103</v>
      </c>
      <c r="E30" s="64">
        <v>2.0943396226415101</v>
      </c>
      <c r="G30" s="67">
        <v>79836</v>
      </c>
      <c r="H30" s="4">
        <v>43145</v>
      </c>
      <c r="I30" s="4">
        <v>42946</v>
      </c>
      <c r="J30" s="65">
        <v>1.8188677335155199</v>
      </c>
      <c r="K30" s="65">
        <v>2.5241193526429302</v>
      </c>
      <c r="L30" s="65">
        <v>1.4001970023358301</v>
      </c>
      <c r="M30" s="1">
        <f>+(I30-H29)/365</f>
        <v>0.43013698630136987</v>
      </c>
      <c r="N30" s="1">
        <f>+(I30-I29)/365</f>
        <v>1.0164383561643835</v>
      </c>
      <c r="O30">
        <f t="shared" si="36"/>
        <v>10.157473211020726</v>
      </c>
      <c r="P30" s="30">
        <v>10.157473211020726</v>
      </c>
      <c r="Q30">
        <f t="shared" si="38"/>
        <v>10.157473211020726</v>
      </c>
      <c r="R30">
        <f t="shared" si="39"/>
        <v>5.2754361942613404</v>
      </c>
      <c r="S30">
        <f t="shared" si="40"/>
        <v>1.9123126227681748</v>
      </c>
      <c r="T30">
        <f t="shared" si="37"/>
        <v>17.345222028050241</v>
      </c>
      <c r="U30">
        <f t="shared" si="42"/>
        <v>0.27903142871120623</v>
      </c>
      <c r="V30">
        <f t="shared" si="42"/>
        <v>0.1872767253643251</v>
      </c>
      <c r="W30">
        <f t="shared" si="42"/>
        <v>8.2673521452463275E-3</v>
      </c>
      <c r="X30">
        <v>10</v>
      </c>
      <c r="Y30">
        <f t="shared" si="33"/>
        <v>4.7457550622077767</v>
      </c>
      <c r="AA30">
        <f>+A30</f>
        <v>2017</v>
      </c>
      <c r="AB30" s="5">
        <f t="shared" si="34"/>
        <v>257773.75509521292</v>
      </c>
      <c r="AC30" s="35">
        <f t="shared" si="35"/>
        <v>328826.37699986465</v>
      </c>
      <c r="AD30" s="35">
        <f>+AC30+AB30</f>
        <v>586600.13209507754</v>
      </c>
      <c r="AE30" s="5">
        <f>+AD30*0.2</f>
        <v>117320.02641901551</v>
      </c>
    </row>
    <row r="31" spans="1:38" ht="14.4" x14ac:dyDescent="0.3">
      <c r="A31">
        <v>2018</v>
      </c>
      <c r="B31" s="46" t="s">
        <v>88</v>
      </c>
      <c r="C31">
        <v>7.1176470588235299</v>
      </c>
      <c r="D31">
        <v>6.8823529411764701</v>
      </c>
      <c r="E31">
        <v>1.31372549019608</v>
      </c>
      <c r="G31" s="67">
        <v>74838</v>
      </c>
      <c r="H31" s="4">
        <v>43515</v>
      </c>
      <c r="I31" s="4">
        <v>43325</v>
      </c>
      <c r="J31">
        <v>1.9563776188804001</v>
      </c>
      <c r="K31">
        <v>2.4867152920369602</v>
      </c>
      <c r="L31">
        <v>1.34568575282134</v>
      </c>
      <c r="M31" s="1">
        <f>+(I31-H30)/365</f>
        <v>0.49315068493150682</v>
      </c>
      <c r="N31" s="1">
        <f>+(I31-I30)/365</f>
        <v>1.0383561643835617</v>
      </c>
      <c r="O31">
        <f t="shared" si="36"/>
        <v>5.7227103855357742</v>
      </c>
      <c r="P31" s="30">
        <v>5.7227103855357742</v>
      </c>
      <c r="Q31">
        <f t="shared" si="38"/>
        <v>5.7227103855357742</v>
      </c>
      <c r="R31">
        <f t="shared" si="39"/>
        <v>6.4692527497059693</v>
      </c>
      <c r="S31">
        <f t="shared" si="40"/>
        <v>1.4647737190366437</v>
      </c>
      <c r="T31">
        <f t="shared" si="37"/>
        <v>13.656736854278385</v>
      </c>
      <c r="U31">
        <f t="shared" ref="U31:W32" si="43">+(LN(Q31)-LN(C31))^2</f>
        <v>4.7582731966520977E-2</v>
      </c>
      <c r="V31">
        <f t="shared" si="43"/>
        <v>3.8316079615852796E-3</v>
      </c>
      <c r="W31">
        <f t="shared" si="43"/>
        <v>1.1844792948333635E-2</v>
      </c>
      <c r="X31">
        <v>10</v>
      </c>
      <c r="Y31">
        <f>+SUM(U31:W31)*X31</f>
        <v>0.63259132876439894</v>
      </c>
      <c r="AA31">
        <f>+A31</f>
        <v>2018</v>
      </c>
      <c r="AB31" s="5">
        <f>+(Q31/O$2)*L31</f>
        <v>139575.53176629555</v>
      </c>
      <c r="AC31" s="35">
        <f>+((R31+S31)/O$2)*K31</f>
        <v>357588.52926051681</v>
      </c>
      <c r="AD31" s="35">
        <f>+AC31+AB31</f>
        <v>497164.06102681236</v>
      </c>
      <c r="AE31" s="5">
        <f>+AD31*0.2</f>
        <v>99432.812205362483</v>
      </c>
    </row>
    <row r="32" spans="1:38" ht="14.4" x14ac:dyDescent="0.3">
      <c r="A32">
        <v>2019</v>
      </c>
      <c r="B32" s="46" t="s">
        <v>91</v>
      </c>
      <c r="C32" s="68">
        <v>8.3846150000000002</v>
      </c>
      <c r="D32" s="68">
        <v>4.4807689999999996</v>
      </c>
      <c r="E32" s="68">
        <v>2.269231</v>
      </c>
      <c r="G32" s="67">
        <v>51735</v>
      </c>
      <c r="H32" s="4">
        <v>43884</v>
      </c>
      <c r="I32" s="4">
        <v>43689</v>
      </c>
      <c r="J32">
        <v>1.911</v>
      </c>
      <c r="K32">
        <v>2.4929999999999999</v>
      </c>
      <c r="L32">
        <v>1.4419999999999999</v>
      </c>
      <c r="M32" s="1">
        <f>+(I32-H31)/365</f>
        <v>0.47671232876712327</v>
      </c>
      <c r="N32" s="1">
        <f>+(I32-I31)/365</f>
        <v>0.99726027397260275</v>
      </c>
      <c r="O32">
        <f>+P32</f>
        <v>3.6903371017505084</v>
      </c>
      <c r="P32" s="30">
        <v>3.6903371017505084</v>
      </c>
      <c r="Q32">
        <f t="shared" si="38"/>
        <v>3.6903371017505084</v>
      </c>
      <c r="R32">
        <f t="shared" si="39"/>
        <v>3.6447706164984219</v>
      </c>
      <c r="S32">
        <f t="shared" si="40"/>
        <v>2.3036151986882594</v>
      </c>
      <c r="T32">
        <f>SUM(Q32:S32)</f>
        <v>9.6387229169371906</v>
      </c>
      <c r="U32">
        <f t="shared" si="43"/>
        <v>0.67351676133746208</v>
      </c>
      <c r="V32">
        <f t="shared" si="43"/>
        <v>4.2642766666030146E-2</v>
      </c>
      <c r="W32">
        <f t="shared" si="43"/>
        <v>2.2616270365433239E-4</v>
      </c>
      <c r="X32">
        <v>10</v>
      </c>
      <c r="Y32">
        <f>+SUM(U32:W32)*X32</f>
        <v>7.1638569070714659</v>
      </c>
      <c r="AA32">
        <f>+A32</f>
        <v>2019</v>
      </c>
      <c r="AB32" s="5">
        <f>+(Q32/O$2)*L32</f>
        <v>96448.431413077618</v>
      </c>
      <c r="AC32" s="35">
        <f>+((R32+S32)/O$2)*K32</f>
        <v>268772.7759315304</v>
      </c>
      <c r="AD32" s="35">
        <f>+AC32+AB32</f>
        <v>365221.20734460803</v>
      </c>
      <c r="AE32" s="5">
        <f>+AD32*0.2</f>
        <v>73044.241468921609</v>
      </c>
      <c r="AF32" s="13"/>
    </row>
    <row r="33" spans="1:32" ht="14.4" x14ac:dyDescent="0.3">
      <c r="A33">
        <v>2020</v>
      </c>
      <c r="B33" s="46" t="s">
        <v>92</v>
      </c>
      <c r="C33" s="68">
        <v>5.1538459999999997</v>
      </c>
      <c r="D33" s="68">
        <v>0.88461500000000004</v>
      </c>
      <c r="E33" s="68">
        <v>1.25</v>
      </c>
      <c r="G33" s="67">
        <v>23833</v>
      </c>
      <c r="H33" s="4">
        <v>44246</v>
      </c>
      <c r="I33" s="4">
        <v>44055</v>
      </c>
      <c r="J33">
        <v>1.7</v>
      </c>
      <c r="K33">
        <v>2.4470000000000001</v>
      </c>
      <c r="L33">
        <v>1.39</v>
      </c>
      <c r="M33" s="1">
        <f>+(I33-H32)/365</f>
        <v>0.46849315068493153</v>
      </c>
      <c r="N33" s="1">
        <f>+(I33-I32)/365</f>
        <v>1.0027397260273974</v>
      </c>
      <c r="O33">
        <f>+P33</f>
        <v>6.6278687810409229</v>
      </c>
      <c r="P33" s="30">
        <v>6.6278687810409229</v>
      </c>
      <c r="Q33">
        <f>+O33</f>
        <v>6.6278687810409229</v>
      </c>
      <c r="R33">
        <f>+Q32*O$3</f>
        <v>2.3503604633619664</v>
      </c>
      <c r="S33">
        <f>+(R32+S32)*EXP(P$5*N33)-O$2*G32*EXP(M33*P$5)</f>
        <v>1.9228825183964098</v>
      </c>
      <c r="T33">
        <f>SUM(Q33:S33)</f>
        <v>10.901111762799299</v>
      </c>
      <c r="U33">
        <f>+(LN(Q33)-LN(C33))^2</f>
        <v>6.32724066240863E-2</v>
      </c>
      <c r="V33">
        <f>+(LN(R33)-LN(D33))^2</f>
        <v>0.95486406601614215</v>
      </c>
      <c r="W33">
        <f>+(LN(S33)-LN(E33))^2</f>
        <v>0.1854868305510608</v>
      </c>
      <c r="X33">
        <v>10</v>
      </c>
      <c r="Y33">
        <f>+SUM(U33:W33)*X33</f>
        <v>12.036233031912893</v>
      </c>
      <c r="AA33">
        <f>+A33</f>
        <v>2020</v>
      </c>
      <c r="AB33" s="5">
        <f>+(Q33/O$2)*L33</f>
        <v>166975.43012892353</v>
      </c>
      <c r="AC33" s="35">
        <f>+((R33+S33)/O$2)*K33</f>
        <v>189520.16523732038</v>
      </c>
      <c r="AD33" s="35">
        <f>+AC33+AB33</f>
        <v>356495.59536624391</v>
      </c>
      <c r="AE33" s="5">
        <f>+AD33*0.2</f>
        <v>71299.119073248788</v>
      </c>
      <c r="AF33" s="7"/>
    </row>
    <row r="34" spans="1:32" x14ac:dyDescent="0.25">
      <c r="A34">
        <v>2021</v>
      </c>
      <c r="B34" s="46" t="s">
        <v>94</v>
      </c>
      <c r="C34">
        <v>7.3265310000000001</v>
      </c>
      <c r="D34">
        <v>5.4285709999999998</v>
      </c>
      <c r="E34">
        <v>2.4285709999999998</v>
      </c>
      <c r="H34" s="4"/>
      <c r="I34" s="4">
        <v>44421</v>
      </c>
      <c r="J34">
        <v>1.988</v>
      </c>
      <c r="K34">
        <v>2.5379999999999998</v>
      </c>
      <c r="L34">
        <v>1.3979999999999999</v>
      </c>
      <c r="M34" s="1">
        <f>+(I34-H33)/365</f>
        <v>0.47945205479452052</v>
      </c>
      <c r="N34" s="1">
        <f>+(I34-I33)/365</f>
        <v>1.0027397260273974</v>
      </c>
      <c r="O34">
        <f>+P34</f>
        <v>7.326543358995333</v>
      </c>
      <c r="P34" s="30">
        <v>7.326543358995333</v>
      </c>
      <c r="Q34">
        <f>+O34</f>
        <v>7.326543358995333</v>
      </c>
      <c r="R34">
        <f>+Q33*O$3</f>
        <v>4.2212622613582642</v>
      </c>
      <c r="S34">
        <f>+(R33+S33)*EXP(P$5*N34)-O$2*G33*EXP(M34*P$5)</f>
        <v>2.0242944162925731</v>
      </c>
      <c r="T34">
        <f>SUM(Q34:S34)</f>
        <v>13.572100036646169</v>
      </c>
      <c r="U34">
        <f>+(LN(Q34)-LN(C34))^2</f>
        <v>2.8455670332015962E-12</v>
      </c>
      <c r="V34">
        <f>+(LN(R34)-LN(D34))^2</f>
        <v>6.3273244112528784E-2</v>
      </c>
      <c r="W34">
        <f>+(LN(S34)-LN(E34))^2</f>
        <v>3.3153787385956375E-2</v>
      </c>
      <c r="X34">
        <v>10</v>
      </c>
      <c r="Y34">
        <f>+SUM(U34:W34)*X34</f>
        <v>0.96427031501330718</v>
      </c>
      <c r="AA34">
        <f>+A34</f>
        <v>2021</v>
      </c>
      <c r="AB34" s="5">
        <f>+(Q34/O$2)*L34</f>
        <v>185639.40361345999</v>
      </c>
      <c r="AC34" s="35">
        <f>+((R34+S34)/O$2)*K34</f>
        <v>287294.05594613968</v>
      </c>
      <c r="AD34" s="35">
        <f>+AC34+AB34</f>
        <v>472933.45955959964</v>
      </c>
      <c r="AE34" s="5">
        <f>+AD34*0.2</f>
        <v>94586.69191191993</v>
      </c>
      <c r="AF34" s="7"/>
    </row>
    <row r="35" spans="1:32" x14ac:dyDescent="0.25">
      <c r="H35" s="4"/>
      <c r="I35" s="4"/>
      <c r="AA35">
        <v>2022</v>
      </c>
      <c r="AB35" s="14"/>
      <c r="AD35" s="19"/>
      <c r="AE35" s="19"/>
      <c r="AF35" s="7"/>
    </row>
    <row r="36" spans="1:32" x14ac:dyDescent="0.25">
      <c r="H36" s="4"/>
      <c r="I36" s="4"/>
      <c r="AB36" s="14"/>
      <c r="AC36" s="15"/>
      <c r="AD36" s="19"/>
      <c r="AE36" s="19"/>
      <c r="AF36" s="7"/>
    </row>
    <row r="37" spans="1:32" x14ac:dyDescent="0.25">
      <c r="H37" s="4"/>
      <c r="I37" s="4"/>
    </row>
    <row r="38" spans="1:32" x14ac:dyDescent="0.25">
      <c r="H38" s="4"/>
      <c r="I38" s="4"/>
    </row>
    <row r="39" spans="1:32" x14ac:dyDescent="0.25">
      <c r="H39" s="4"/>
      <c r="I39" s="4"/>
    </row>
    <row r="40" spans="1:32" x14ac:dyDescent="0.25">
      <c r="H40" s="4"/>
      <c r="I40" s="4"/>
    </row>
    <row r="41" spans="1:32" x14ac:dyDescent="0.25">
      <c r="H41" s="4"/>
      <c r="I41" s="4"/>
    </row>
    <row r="42" spans="1:32" x14ac:dyDescent="0.25">
      <c r="H42" s="4"/>
      <c r="I42" s="4"/>
      <c r="AA42">
        <v>2011</v>
      </c>
      <c r="AB42" s="51">
        <v>94545.286570574826</v>
      </c>
      <c r="AC42" s="52">
        <v>177383.94427137644</v>
      </c>
      <c r="AD42" s="52">
        <v>271929.23084195127</v>
      </c>
    </row>
    <row r="43" spans="1:32" x14ac:dyDescent="0.25">
      <c r="H43" s="4"/>
      <c r="I43" s="4"/>
      <c r="AA43">
        <v>2012</v>
      </c>
      <c r="AB43" s="52">
        <v>87911.450684043491</v>
      </c>
      <c r="AC43" s="52">
        <v>213311.80617087014</v>
      </c>
      <c r="AD43" s="52">
        <v>301223.25685491366</v>
      </c>
    </row>
    <row r="44" spans="1:32" x14ac:dyDescent="0.25">
      <c r="H44" s="4"/>
      <c r="I44" s="4"/>
    </row>
    <row r="45" spans="1:32" x14ac:dyDescent="0.25">
      <c r="H45" s="4"/>
      <c r="I45" s="4"/>
    </row>
    <row r="46" spans="1:32" x14ac:dyDescent="0.25">
      <c r="H46" s="4"/>
      <c r="I46" s="4"/>
    </row>
    <row r="47" spans="1:32" x14ac:dyDescent="0.25">
      <c r="H47" s="4"/>
      <c r="I47" s="4"/>
    </row>
    <row r="48" spans="1:32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</sheetData>
  <mergeCells count="19">
    <mergeCell ref="A7:A8"/>
    <mergeCell ref="B7:B8"/>
    <mergeCell ref="C7:C8"/>
    <mergeCell ref="D7:D8"/>
    <mergeCell ref="J7:J8"/>
    <mergeCell ref="K7:K8"/>
    <mergeCell ref="L7:L8"/>
    <mergeCell ref="M7:M8"/>
    <mergeCell ref="E7:E8"/>
    <mergeCell ref="G7:G8"/>
    <mergeCell ref="H7:H8"/>
    <mergeCell ref="I7:I8"/>
    <mergeCell ref="AJ6:AJ8"/>
    <mergeCell ref="AI7:AI8"/>
    <mergeCell ref="AE7:AE8"/>
    <mergeCell ref="N7:N8"/>
    <mergeCell ref="AB7:AB8"/>
    <mergeCell ref="AC7:AC8"/>
    <mergeCell ref="AD7:AD8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15" sqref="G15"/>
    </sheetView>
  </sheetViews>
  <sheetFormatPr defaultRowHeight="13.2" x14ac:dyDescent="0.25"/>
  <cols>
    <col min="3" max="3" width="12.44140625" bestFit="1" customWidth="1"/>
  </cols>
  <sheetData>
    <row r="1" spans="1:14" x14ac:dyDescent="0.25">
      <c r="L1" s="20" t="s">
        <v>75</v>
      </c>
    </row>
    <row r="2" spans="1:14" ht="52.8" x14ac:dyDescent="0.25">
      <c r="A2" s="40"/>
      <c r="B2" s="40"/>
      <c r="C2" s="41" t="s">
        <v>66</v>
      </c>
      <c r="D2" s="40"/>
      <c r="E2" s="40"/>
      <c r="F2" s="41" t="s">
        <v>67</v>
      </c>
      <c r="L2" s="55" t="s">
        <v>76</v>
      </c>
      <c r="M2" s="55" t="s">
        <v>77</v>
      </c>
      <c r="N2" s="55" t="s">
        <v>78</v>
      </c>
    </row>
    <row r="3" spans="1:14" x14ac:dyDescent="0.25">
      <c r="A3" s="41" t="s">
        <v>68</v>
      </c>
      <c r="B3" s="41" t="s">
        <v>1</v>
      </c>
      <c r="C3" s="41" t="s">
        <v>51</v>
      </c>
      <c r="D3" s="41" t="s">
        <v>69</v>
      </c>
      <c r="E3" s="40"/>
      <c r="F3" s="41" t="s">
        <v>51</v>
      </c>
      <c r="G3" s="41" t="s">
        <v>69</v>
      </c>
      <c r="I3" s="20" t="s">
        <v>89</v>
      </c>
      <c r="J3" s="20" t="s">
        <v>90</v>
      </c>
      <c r="L3">
        <v>414032.9558</v>
      </c>
      <c r="M3">
        <v>149686</v>
      </c>
      <c r="N3">
        <v>1997</v>
      </c>
    </row>
    <row r="4" spans="1:14" x14ac:dyDescent="0.25">
      <c r="A4" s="41" t="s">
        <v>70</v>
      </c>
      <c r="B4" s="40">
        <v>2011</v>
      </c>
      <c r="C4" s="40"/>
      <c r="D4" s="40"/>
      <c r="E4" s="40"/>
      <c r="F4" s="40"/>
      <c r="J4" s="30"/>
      <c r="L4">
        <v>246910.4742</v>
      </c>
      <c r="M4">
        <v>158053</v>
      </c>
      <c r="N4">
        <v>1998</v>
      </c>
    </row>
    <row r="5" spans="1:14" x14ac:dyDescent="0.25">
      <c r="A5" s="41" t="s">
        <v>70</v>
      </c>
      <c r="B5" s="40">
        <v>2012</v>
      </c>
      <c r="C5">
        <f>54.849701/1000000</f>
        <v>5.4849701E-5</v>
      </c>
      <c r="D5" s="40">
        <f>62.660997/100</f>
        <v>0.62660997000000007</v>
      </c>
      <c r="E5" s="40"/>
      <c r="F5" s="56" t="e">
        <f>(D5-C4)/C4</f>
        <v>#DIV/0!</v>
      </c>
      <c r="G5" s="56" t="e">
        <f t="shared" ref="G5:G11" si="0">(D5-D4)/D4</f>
        <v>#DIV/0!</v>
      </c>
      <c r="J5" s="30"/>
      <c r="L5">
        <v>185754.2873</v>
      </c>
      <c r="M5">
        <v>113880</v>
      </c>
      <c r="N5">
        <v>1999</v>
      </c>
    </row>
    <row r="6" spans="1:14" x14ac:dyDescent="0.25">
      <c r="A6" s="41" t="s">
        <v>70</v>
      </c>
      <c r="B6" s="40">
        <v>2013</v>
      </c>
      <c r="C6" s="42">
        <f>58.62384/1000000</f>
        <v>5.8623840000000002E-5</v>
      </c>
      <c r="D6" s="42">
        <f>67.60966/100</f>
        <v>0.67609660000000005</v>
      </c>
      <c r="E6" s="40"/>
      <c r="F6" s="59">
        <f t="shared" ref="F6:F11" si="1">(C6-C5)/C5</f>
        <v>6.8808743369448838E-2</v>
      </c>
      <c r="G6" s="59">
        <f t="shared" si="0"/>
        <v>7.8975171748384365E-2</v>
      </c>
      <c r="L6">
        <v>131113.3285</v>
      </c>
      <c r="M6">
        <v>77286</v>
      </c>
      <c r="N6">
        <v>2000</v>
      </c>
    </row>
    <row r="7" spans="1:14" x14ac:dyDescent="0.25">
      <c r="B7" s="57">
        <v>2014</v>
      </c>
      <c r="C7" s="23">
        <v>5.4614944538537075E-5</v>
      </c>
      <c r="D7" s="23">
        <v>0.70062508584431182</v>
      </c>
      <c r="F7" s="59">
        <f t="shared" si="1"/>
        <v>-6.8383365222457748E-2</v>
      </c>
      <c r="G7" s="59">
        <f t="shared" si="0"/>
        <v>3.6279558045864711E-2</v>
      </c>
      <c r="L7">
        <v>88222.104800000001</v>
      </c>
      <c r="M7">
        <v>50172</v>
      </c>
      <c r="N7">
        <v>2001</v>
      </c>
    </row>
    <row r="8" spans="1:14" x14ac:dyDescent="0.25">
      <c r="B8" s="57">
        <v>2015</v>
      </c>
      <c r="C8">
        <v>5.4260511215113975E-5</v>
      </c>
      <c r="D8">
        <v>0.70576093783218086</v>
      </c>
      <c r="F8" s="59">
        <f t="shared" si="1"/>
        <v>-6.4896765238497463E-3</v>
      </c>
      <c r="G8" s="59">
        <f t="shared" si="0"/>
        <v>7.3303855252055414E-3</v>
      </c>
      <c r="L8">
        <v>87225.000700000004</v>
      </c>
      <c r="M8">
        <v>45306</v>
      </c>
      <c r="N8">
        <v>2002</v>
      </c>
    </row>
    <row r="9" spans="1:14" x14ac:dyDescent="0.25">
      <c r="B9" s="57">
        <v>2016</v>
      </c>
      <c r="C9">
        <v>5.3672320216256333E-5</v>
      </c>
      <c r="D9">
        <v>0.68954959133498217</v>
      </c>
      <c r="F9" s="59">
        <f t="shared" si="1"/>
        <v>-1.0840130063017248E-2</v>
      </c>
      <c r="G9" s="59">
        <f t="shared" si="0"/>
        <v>-2.2970025157517993E-2</v>
      </c>
      <c r="K9" s="59" t="e">
        <f>(I9-I8)/I8</f>
        <v>#DIV/0!</v>
      </c>
      <c r="L9">
        <v>105470.311</v>
      </c>
      <c r="M9">
        <v>45254</v>
      </c>
      <c r="N9">
        <v>2003</v>
      </c>
    </row>
    <row r="10" spans="1:14" x14ac:dyDescent="0.25">
      <c r="B10" s="57">
        <v>2017</v>
      </c>
      <c r="C10" s="23">
        <v>5.4123564426506933E-5</v>
      </c>
      <c r="D10" s="23">
        <v>0.69342125795716303</v>
      </c>
      <c r="F10" s="59">
        <f t="shared" si="1"/>
        <v>8.4073915275592378E-3</v>
      </c>
      <c r="G10" s="59">
        <f t="shared" si="0"/>
        <v>5.6147761826458803E-3</v>
      </c>
      <c r="I10">
        <v>460061.19394735055</v>
      </c>
      <c r="J10">
        <v>905714.86657205643</v>
      </c>
      <c r="K10" s="59" t="e">
        <f>(I10-I9)/I9</f>
        <v>#DIV/0!</v>
      </c>
      <c r="L10">
        <v>124165.5395</v>
      </c>
      <c r="M10">
        <v>53550</v>
      </c>
      <c r="N10">
        <v>2004</v>
      </c>
    </row>
    <row r="11" spans="1:14" x14ac:dyDescent="0.25">
      <c r="B11" s="57">
        <v>2018</v>
      </c>
      <c r="C11">
        <v>5.5131150817471323E-5</v>
      </c>
      <c r="D11">
        <v>0.6765814632246403</v>
      </c>
      <c r="F11" s="59">
        <f t="shared" si="1"/>
        <v>1.8616408613157151E-2</v>
      </c>
      <c r="G11" s="59">
        <f t="shared" si="0"/>
        <v>-2.4285085781957708E-2</v>
      </c>
      <c r="I11">
        <v>480507.87698649924</v>
      </c>
      <c r="J11">
        <v>654240.95522618492</v>
      </c>
      <c r="K11" s="59">
        <f>(I11-I10)/I10</f>
        <v>4.4443398635114199E-2</v>
      </c>
      <c r="L11">
        <v>160055.0221</v>
      </c>
      <c r="M11">
        <v>67689</v>
      </c>
      <c r="N11">
        <v>2005</v>
      </c>
    </row>
    <row r="12" spans="1:14" x14ac:dyDescent="0.25">
      <c r="B12" s="57">
        <v>2019</v>
      </c>
      <c r="C12">
        <v>5.5785327445342192E-5</v>
      </c>
      <c r="D12">
        <v>0.67210170787562684</v>
      </c>
      <c r="F12" s="59">
        <f>(C12-C11)/C11</f>
        <v>1.1865825729572061E-2</v>
      </c>
      <c r="G12" s="59">
        <f>(D12-D11)/D11</f>
        <v>-6.6211618149610452E-3</v>
      </c>
      <c r="I12" s="35">
        <v>334648.0823079751</v>
      </c>
      <c r="J12" s="35">
        <v>551382.47265824303</v>
      </c>
      <c r="K12" s="59">
        <f>(I12-I11)/I11</f>
        <v>-0.303553389370602</v>
      </c>
      <c r="L12">
        <v>187355.01449999999</v>
      </c>
      <c r="M12">
        <v>60251</v>
      </c>
      <c r="N12">
        <v>2006</v>
      </c>
    </row>
    <row r="13" spans="1:14" x14ac:dyDescent="0.25">
      <c r="L13">
        <v>171565.10430000001</v>
      </c>
      <c r="M13">
        <v>59851</v>
      </c>
      <c r="N13">
        <v>2007</v>
      </c>
    </row>
    <row r="14" spans="1:14" x14ac:dyDescent="0.25">
      <c r="L14">
        <v>173478.68160000001</v>
      </c>
      <c r="M14">
        <v>32399</v>
      </c>
      <c r="N14">
        <v>2008</v>
      </c>
    </row>
    <row r="15" spans="1:14" x14ac:dyDescent="0.25">
      <c r="L15">
        <v>172223.5822</v>
      </c>
      <c r="M15">
        <v>45432</v>
      </c>
      <c r="N15">
        <v>2009</v>
      </c>
    </row>
    <row r="16" spans="1:14" x14ac:dyDescent="0.25">
      <c r="L16">
        <v>213127.7977</v>
      </c>
      <c r="M16">
        <v>58305</v>
      </c>
      <c r="N16">
        <v>2010</v>
      </c>
    </row>
    <row r="17" spans="12:14" x14ac:dyDescent="0.25">
      <c r="L17">
        <v>183962.31109999999</v>
      </c>
      <c r="M17">
        <v>63797</v>
      </c>
      <c r="N17">
        <v>2011</v>
      </c>
    </row>
    <row r="18" spans="12:14" x14ac:dyDescent="0.25">
      <c r="L18">
        <v>213311.80619999999</v>
      </c>
      <c r="M18">
        <v>107605</v>
      </c>
      <c r="N18">
        <v>2012</v>
      </c>
    </row>
    <row r="19" spans="12:14" x14ac:dyDescent="0.25">
      <c r="L19">
        <v>265853.23349999997</v>
      </c>
      <c r="N19">
        <v>2013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workbookViewId="0">
      <selection activeCell="F4" sqref="F4:F15"/>
    </sheetView>
  </sheetViews>
  <sheetFormatPr defaultRowHeight="13.2" x14ac:dyDescent="0.25"/>
  <cols>
    <col min="2" max="7" width="10.5546875" customWidth="1"/>
  </cols>
  <sheetData>
    <row r="2" spans="1:9" x14ac:dyDescent="0.25">
      <c r="A2" t="s">
        <v>1</v>
      </c>
      <c r="B2" s="77" t="s">
        <v>35</v>
      </c>
      <c r="C2" s="77"/>
      <c r="D2" s="77" t="s">
        <v>16</v>
      </c>
      <c r="E2" s="77"/>
      <c r="F2" s="77" t="s">
        <v>17</v>
      </c>
      <c r="G2" s="77"/>
      <c r="H2" t="s">
        <v>36</v>
      </c>
      <c r="I2" t="s">
        <v>37</v>
      </c>
    </row>
    <row r="3" spans="1:9" x14ac:dyDescent="0.25">
      <c r="B3" s="2" t="s">
        <v>33</v>
      </c>
      <c r="C3" s="2" t="s">
        <v>34</v>
      </c>
      <c r="D3" s="2" t="s">
        <v>33</v>
      </c>
      <c r="E3" s="2" t="s">
        <v>34</v>
      </c>
      <c r="F3" s="2" t="s">
        <v>33</v>
      </c>
      <c r="G3" s="2" t="s">
        <v>34</v>
      </c>
      <c r="H3">
        <v>0.5</v>
      </c>
    </row>
    <row r="4" spans="1:9" x14ac:dyDescent="0.25">
      <c r="A4">
        <v>1997</v>
      </c>
      <c r="B4" s="5">
        <f>('Estimates 3 Stage'!Q10/'Estimates 3 Stage'!O$26)</f>
        <v>0.75244837300196632</v>
      </c>
      <c r="C4" s="5">
        <f>('Estimates 3 Stage'!Q10/'Estimates 3 Stage'!O$26)*'Estimates 3 Stage'!L10</f>
        <v>1.0194027951742883</v>
      </c>
      <c r="D4" s="5">
        <f>+(('Estimates 3 Stage'!R10+'Estimates 3 Stage'!S10)/'Estimates 3 Stage'!O$26)</f>
        <v>1.5285118678977563</v>
      </c>
      <c r="E4" s="5">
        <f>+(('Estimates 3 Stage'!R10+'Estimates 3 Stage'!S10)/'Estimates 3 Stage'!O$26)*'Estimates 3 Stage'!K10</f>
        <v>4.2109063461080849</v>
      </c>
      <c r="F4" s="5">
        <f>B4+D4</f>
        <v>2.2809602408997227</v>
      </c>
      <c r="G4" s="5">
        <f>+'Estimates 3 Stage'!AC10+'Estimates 3 Stage'!AB10</f>
        <v>555246.36840926076</v>
      </c>
      <c r="I4" s="5">
        <f>E4*$H$3</f>
        <v>2.1054531730540424</v>
      </c>
    </row>
    <row r="5" spans="1:9" x14ac:dyDescent="0.25">
      <c r="A5">
        <v>1998</v>
      </c>
      <c r="B5" s="5">
        <f>('Estimates 3 Stage'!Q11/'Estimates 3 Stage'!O$26)</f>
        <v>0.5363692075240416</v>
      </c>
      <c r="C5" s="5">
        <f>('Estimates 3 Stage'!Q11/'Estimates 3 Stage'!O$26)*'Estimates 3 Stage'!L11</f>
        <v>0.75944714549935843</v>
      </c>
      <c r="D5" s="5">
        <f>+(('Estimates 3 Stage'!R11+'Estimates 3 Stage'!S11)/'Estimates 3 Stage'!O$26)</f>
        <v>1.111546839862142</v>
      </c>
      <c r="E5" s="5">
        <f>+(('Estimates 3 Stage'!R11+'Estimates 3 Stage'!S11)/'Estimates 3 Stage'!O$26)*'Estimates 3 Stage'!K11</f>
        <v>2.5386000700187235</v>
      </c>
      <c r="F5" s="5">
        <f t="shared" ref="F5:F14" si="0">B5+D5</f>
        <v>1.6479160473861836</v>
      </c>
      <c r="G5" s="5">
        <f>+'Estimates 3 Stage'!AC11+'Estimates 3 Stage'!AB11</f>
        <v>350118.64304634719</v>
      </c>
      <c r="I5" s="5">
        <f t="shared" ref="I5:I14" si="1">E5*$H$3</f>
        <v>1.2693000350093617</v>
      </c>
    </row>
    <row r="6" spans="1:9" x14ac:dyDescent="0.25">
      <c r="A6">
        <v>1999</v>
      </c>
      <c r="B6" s="5">
        <f>('Estimates 3 Stage'!Q12/'Estimates 3 Stage'!O$26)</f>
        <v>0.58595802428886368</v>
      </c>
      <c r="C6" s="5">
        <f>('Estimates 3 Stage'!Q12/'Estimates 3 Stage'!O$26)*'Estimates 3 Stage'!L12</f>
        <v>0.8695871854995697</v>
      </c>
      <c r="D6" s="5">
        <f>+(('Estimates 3 Stage'!R12+'Estimates 3 Stage'!S12)/'Estimates 3 Stage'!O$26)</f>
        <v>0.67005926658889792</v>
      </c>
      <c r="E6" s="5">
        <f>+(('Estimates 3 Stage'!R12+'Estimates 3 Stage'!S12)/'Estimates 3 Stage'!O$26)*'Estimates 3 Stage'!K12</f>
        <v>1.9453929520617295</v>
      </c>
      <c r="F6" s="5">
        <f t="shared" si="0"/>
        <v>1.2560172908777616</v>
      </c>
      <c r="G6" s="5">
        <f>+'Estimates 3 Stage'!AC12+'Estimates 3 Stage'!AB12</f>
        <v>298836.54222050309</v>
      </c>
      <c r="I6" s="5">
        <f t="shared" si="1"/>
        <v>0.97269647603086473</v>
      </c>
    </row>
    <row r="7" spans="1:9" x14ac:dyDescent="0.25">
      <c r="A7">
        <v>2000</v>
      </c>
      <c r="B7" s="5">
        <f>('Estimates 3 Stage'!Q13/'Estimates 3 Stage'!O$26)</f>
        <v>0.24074293053716939</v>
      </c>
      <c r="C7" s="5">
        <f>('Estimates 3 Stage'!Q13/'Estimates 3 Stage'!O$26)*'Estimates 3 Stage'!L13</f>
        <v>0.28906455062592684</v>
      </c>
      <c r="D7" s="5">
        <f>+(('Estimates 3 Stage'!R13+'Estimates 3 Stage'!S13)/'Estimates 3 Stage'!O$26)</f>
        <v>0.50055588218831981</v>
      </c>
      <c r="E7" s="5">
        <f>+(('Estimates 3 Stage'!R13+'Estimates 3 Stage'!S13)/'Estimates 3 Stage'!O$26)*'Estimates 3 Stage'!K13</f>
        <v>1.3327856530904714</v>
      </c>
      <c r="F7" s="5">
        <f t="shared" si="0"/>
        <v>0.74129881272548914</v>
      </c>
      <c r="G7" s="5">
        <f>+'Estimates 3 Stage'!AC13+'Estimates 3 Stage'!AB13</f>
        <v>172174.60983511922</v>
      </c>
      <c r="I7" s="5">
        <f t="shared" si="1"/>
        <v>0.66639282654523568</v>
      </c>
    </row>
    <row r="8" spans="1:9" x14ac:dyDescent="0.25">
      <c r="A8">
        <v>2001</v>
      </c>
      <c r="B8" s="5">
        <f>('Estimates 3 Stage'!Q14/'Estimates 3 Stage'!O$26)</f>
        <v>0.37648110021054926</v>
      </c>
      <c r="C8" s="5">
        <f>('Estimates 3 Stage'!Q14/'Estimates 3 Stage'!O$26)*'Estimates 3 Stage'!L14</f>
        <v>0.48415469487076634</v>
      </c>
      <c r="D8" s="5">
        <f>+(('Estimates 3 Stage'!R14+'Estimates 3 Stage'!S14)/'Estimates 3 Stage'!O$26)</f>
        <v>0.28015665895867187</v>
      </c>
      <c r="E8" s="5">
        <f>+(('Estimates 3 Stage'!R14+'Estimates 3 Stage'!S14)/'Estimates 3 Stage'!O$26)*'Estimates 3 Stage'!K14</f>
        <v>0.81939597104136142</v>
      </c>
      <c r="F8" s="5">
        <f t="shared" si="0"/>
        <v>0.65663775916922118</v>
      </c>
      <c r="G8" s="5">
        <f>+'Estimates 3 Stage'!AC14+'Estimates 3 Stage'!AB14</f>
        <v>138384.1286879885</v>
      </c>
      <c r="I8" s="5">
        <f t="shared" si="1"/>
        <v>0.40969798552068071</v>
      </c>
    </row>
    <row r="9" spans="1:9" x14ac:dyDescent="0.25">
      <c r="A9">
        <v>2002</v>
      </c>
      <c r="B9" s="5">
        <f>('Estimates 3 Stage'!Q15/'Estimates 3 Stage'!O$26)</f>
        <v>0.43775558200344367</v>
      </c>
      <c r="C9" s="5">
        <f>('Estimates 3 Stage'!Q15/'Estimates 3 Stage'!O$26)*'Estimates 3 Stage'!L15</f>
        <v>0.58345523008773781</v>
      </c>
      <c r="D9" s="5">
        <f>+(('Estimates 3 Stage'!R15+'Estimates 3 Stage'!S15)/'Estimates 3 Stage'!O$26)</f>
        <v>0.29544538612733517</v>
      </c>
      <c r="E9" s="5">
        <f>+(('Estimates 3 Stage'!R15+'Estimates 3 Stage'!S15)/'Estimates 3 Stage'!O$26)*'Estimates 3 Stage'!K15</f>
        <v>0.81969229741359206</v>
      </c>
      <c r="F9" s="5">
        <f t="shared" si="0"/>
        <v>0.73320096813077884</v>
      </c>
      <c r="G9" s="5">
        <f>+'Estimates 3 Stage'!AC15+'Estimates 3 Stage'!AB15</f>
        <v>148957.26962642369</v>
      </c>
      <c r="I9" s="5">
        <f t="shared" si="1"/>
        <v>0.40984614870679603</v>
      </c>
    </row>
    <row r="10" spans="1:9" x14ac:dyDescent="0.25">
      <c r="A10">
        <v>2003</v>
      </c>
      <c r="B10" s="5">
        <f>('Estimates 3 Stage'!Q16/'Estimates 3 Stage'!O$26)</f>
        <v>0.51493123600936652</v>
      </c>
      <c r="C10" s="5">
        <f>('Estimates 3 Stage'!Q16/'Estimates 3 Stage'!O$26)*'Estimates 3 Stage'!L16</f>
        <v>0.61108474220644726</v>
      </c>
      <c r="D10" s="5">
        <f>+(('Estimates 3 Stage'!R16+'Estimates 3 Stage'!S16)/'Estimates 3 Stage'!O$26)</f>
        <v>0.33888464223213249</v>
      </c>
      <c r="E10" s="5">
        <f>+(('Estimates 3 Stage'!R16+'Estimates 3 Stage'!S16)/'Estimates 3 Stage'!O$26)*'Estimates 3 Stage'!K16</f>
        <v>0.99201502056442514</v>
      </c>
      <c r="F10" s="5">
        <f t="shared" si="0"/>
        <v>0.85381587824149907</v>
      </c>
      <c r="G10" s="5">
        <f>+'Estimates 3 Stage'!AC16+'Estimates 3 Stage'!AB16</f>
        <v>170184.07467556212</v>
      </c>
      <c r="I10" s="5">
        <f t="shared" si="1"/>
        <v>0.49600751028221257</v>
      </c>
    </row>
    <row r="11" spans="1:9" x14ac:dyDescent="0.25">
      <c r="A11">
        <v>2004</v>
      </c>
      <c r="B11" s="5">
        <f>('Estimates 3 Stage'!Q17/'Estimates 3 Stage'!O$26)</f>
        <v>0.64388283742284758</v>
      </c>
      <c r="C11" s="5">
        <f>('Estimates 3 Stage'!Q17/'Estimates 3 Stage'!O$26)*'Estimates 3 Stage'!L17</f>
        <v>0.84746179171272362</v>
      </c>
      <c r="D11" s="5">
        <f>+(('Estimates 3 Stage'!R17+'Estimates 3 Stage'!S17)/'Estimates 3 Stage'!O$26)</f>
        <v>0.4212832392055012</v>
      </c>
      <c r="E11" s="5">
        <f>+(('Estimates 3 Stage'!R17+'Estimates 3 Stage'!S17)/'Estimates 3 Stage'!O$26)*'Estimates 3 Stage'!K17</f>
        <v>1.1694822720344713</v>
      </c>
      <c r="F11" s="5">
        <f t="shared" si="0"/>
        <v>1.0651660766283488</v>
      </c>
      <c r="G11" s="5">
        <f>+'Estimates 3 Stage'!AC17+'Estimates 3 Stage'!AB17</f>
        <v>214117.52851107152</v>
      </c>
      <c r="I11" s="5">
        <f t="shared" si="1"/>
        <v>0.58474113601723565</v>
      </c>
    </row>
    <row r="12" spans="1:9" x14ac:dyDescent="0.25">
      <c r="A12">
        <v>2005</v>
      </c>
      <c r="B12" s="5">
        <f>('Estimates 3 Stage'!Q18/'Estimates 3 Stage'!O$26)</f>
        <v>0.76455532605168441</v>
      </c>
      <c r="C12" s="5">
        <f>('Estimates 3 Stage'!Q18/'Estimates 3 Stage'!O$26)*'Estimates 3 Stage'!L18</f>
        <v>1.1254704110923579</v>
      </c>
      <c r="D12" s="5">
        <f>+(('Estimates 3 Stage'!R18+'Estimates 3 Stage'!S18)/'Estimates 3 Stage'!O$26)</f>
        <v>0.53372822762061956</v>
      </c>
      <c r="E12" s="5">
        <f>+(('Estimates 3 Stage'!R18+'Estimates 3 Stage'!S18)/'Estimates 3 Stage'!O$26)*'Estimates 3 Stage'!K18</f>
        <v>1.5034056715617612</v>
      </c>
      <c r="F12" s="5">
        <f t="shared" si="0"/>
        <v>1.2982835536723041</v>
      </c>
      <c r="G12" s="5">
        <f>+'Estimates 3 Stage'!AC18+'Estimates 3 Stage'!AB18</f>
        <v>279079.85139359831</v>
      </c>
      <c r="I12" s="5">
        <f t="shared" si="1"/>
        <v>0.7517028357808806</v>
      </c>
    </row>
    <row r="13" spans="1:9" x14ac:dyDescent="0.25">
      <c r="A13">
        <v>2006</v>
      </c>
      <c r="B13" s="5">
        <f>('Estimates 3 Stage'!Q19/'Estimates 3 Stage'!O$26)</f>
        <v>0.62232416493205767</v>
      </c>
      <c r="C13" s="5">
        <f>('Estimates 3 Stage'!Q19/'Estimates 3 Stage'!O$26)*'Estimates 3 Stage'!L19</f>
        <v>0.93259425150276443</v>
      </c>
      <c r="D13" s="5">
        <f>+(('Estimates 3 Stage'!R19+'Estimates 3 Stage'!S19)/'Estimates 3 Stage'!O$26)</f>
        <v>0.64006503986744645</v>
      </c>
      <c r="E13" s="5">
        <f>+(('Estimates 3 Stage'!R19+'Estimates 3 Stage'!S19)/'Estimates 3 Stage'!O$26)*'Estimates 3 Stage'!K19</f>
        <v>1.744229482147996</v>
      </c>
      <c r="F13" s="5">
        <f t="shared" si="0"/>
        <v>1.2623892047995042</v>
      </c>
      <c r="G13" s="5">
        <f>+'Estimates 3 Stage'!AC19+'Estimates 3 Stage'!AB19</f>
        <v>284169.94422950898</v>
      </c>
      <c r="I13" s="5">
        <f t="shared" si="1"/>
        <v>0.872114741073998</v>
      </c>
    </row>
    <row r="14" spans="1:9" x14ac:dyDescent="0.25">
      <c r="A14">
        <v>2007</v>
      </c>
      <c r="B14" s="5">
        <f>('Estimates 3 Stage'!Q20/'Estimates 3 Stage'!O$26)</f>
        <v>0.52269361234500378</v>
      </c>
      <c r="C14" s="5">
        <f>('Estimates 3 Stage'!Q20/'Estimates 3 Stage'!O$26)*'Estimates 3 Stage'!L20</f>
        <v>0.74222492952990538</v>
      </c>
      <c r="D14" s="5">
        <f>+(('Estimates 3 Stage'!R20+'Estimates 3 Stage'!S20)/'Estimates 3 Stage'!O$26)</f>
        <v>0.65721190112686745</v>
      </c>
      <c r="E14" s="5">
        <f>+(('Estimates 3 Stage'!R20+'Estimates 3 Stage'!S20)/'Estimates 3 Stage'!O$26)*'Estimates 3 Stage'!K20</f>
        <v>1.5773085627044818</v>
      </c>
      <c r="F14" s="5">
        <f t="shared" si="0"/>
        <v>1.1799055134718712</v>
      </c>
      <c r="G14" s="5">
        <f>+'Estimates 3 Stage'!AC20+'Estimates 3 Stage'!AB20</f>
        <v>246240.23421510839</v>
      </c>
      <c r="I14" s="5">
        <f t="shared" si="1"/>
        <v>0.78865428135224092</v>
      </c>
    </row>
    <row r="15" spans="1:9" x14ac:dyDescent="0.25">
      <c r="A15">
        <v>2008</v>
      </c>
      <c r="B15" s="5">
        <f>('Estimates 3 Stage'!Q21/'Estimates 3 Stage'!O$26)</f>
        <v>0.45366786330385894</v>
      </c>
      <c r="C15" s="5">
        <f>('Estimates 3 Stage'!Q21/'Estimates 3 Stage'!O$26)*'Estimates 3 Stage'!L21</f>
        <v>0.60588616589922661</v>
      </c>
      <c r="D15" s="5">
        <f>+(('Estimates 3 Stage'!R21+'Estimates 3 Stage'!S21)/'Estimates 3 Stage'!O$26)</f>
        <v>0.61366846025945099</v>
      </c>
      <c r="E15" s="5">
        <f>+(('Estimates 3 Stage'!R21+'Estimates 3 Stage'!S21)/'Estimates 3 Stage'!O$26)*'Estimates 3 Stage'!K21</f>
        <v>1.5703324728987367</v>
      </c>
      <c r="F15" s="5">
        <f>B15+D15</f>
        <v>1.06733632356331</v>
      </c>
      <c r="G15" s="5">
        <f>+'Estimates 3 Stage'!AC21+'Estimates 3 Stage'!AB21</f>
        <v>231026.01842782329</v>
      </c>
      <c r="I15" s="5">
        <f>E15*$H$3</f>
        <v>0.78516623644936834</v>
      </c>
    </row>
    <row r="16" spans="1:9" x14ac:dyDescent="0.25">
      <c r="B16" s="5"/>
      <c r="C16" s="5"/>
      <c r="D16" s="5"/>
      <c r="E16" s="5"/>
      <c r="F16" s="5"/>
      <c r="G16" s="5"/>
      <c r="I16" s="5"/>
    </row>
    <row r="17" spans="2:9" x14ac:dyDescent="0.25">
      <c r="B17" s="5"/>
      <c r="C17" s="5"/>
      <c r="D17" s="5"/>
      <c r="E17" s="5"/>
      <c r="F17" s="5"/>
      <c r="G17" s="5"/>
      <c r="I17" s="5"/>
    </row>
    <row r="19" spans="2:9" x14ac:dyDescent="0.25">
      <c r="D19" t="s">
        <v>36</v>
      </c>
      <c r="E19" t="s">
        <v>38</v>
      </c>
    </row>
    <row r="20" spans="2:9" x14ac:dyDescent="0.25">
      <c r="D20">
        <f>'Estimates 3 Stage'!G10/'CSA Results'!D4</f>
        <v>38891.421943461421</v>
      </c>
      <c r="E20">
        <f>(D5-D4)/D5</f>
        <v>-0.37512141916334163</v>
      </c>
      <c r="F20">
        <f>'Estimates 3 Stage'!G10/'CSA Results'!F4</f>
        <v>26061.830861440871</v>
      </c>
      <c r="G20">
        <f>(F5-F4)/F5</f>
        <v>-0.38414832753017508</v>
      </c>
    </row>
    <row r="21" spans="2:9" x14ac:dyDescent="0.25">
      <c r="D21">
        <f>'Estimates 3 Stage'!G11/'CSA Results'!D5</f>
        <v>53842.085509795128</v>
      </c>
      <c r="E21">
        <f t="shared" ref="E21:E29" si="2">(D6-D5)/D6</f>
        <v>-0.65887839372887946</v>
      </c>
      <c r="F21">
        <f>'Estimates 3 Stage'!G11/'CSA Results'!F5</f>
        <v>36317.384065120896</v>
      </c>
      <c r="G21">
        <f t="shared" ref="G21:G29" si="3">(F6-F5)/F6</f>
        <v>-0.31201700753223344</v>
      </c>
    </row>
    <row r="22" spans="2:9" x14ac:dyDescent="0.25">
      <c r="D22">
        <f>'Estimates 3 Stage'!G12/'CSA Results'!D6</f>
        <v>63570.496109762724</v>
      </c>
      <c r="E22">
        <f t="shared" si="2"/>
        <v>-0.33863029170598641</v>
      </c>
      <c r="F22">
        <f>'Estimates 3 Stage'!G12/'CSA Results'!F6</f>
        <v>33913.54586387262</v>
      </c>
      <c r="G22">
        <f t="shared" si="3"/>
        <v>-0.69434682656490132</v>
      </c>
    </row>
    <row r="23" spans="2:9" x14ac:dyDescent="0.25">
      <c r="D23">
        <f>'Estimates 3 Stage'!G13/'CSA Results'!D7</f>
        <v>58007.509317563141</v>
      </c>
      <c r="E23">
        <f t="shared" si="2"/>
        <v>-0.78669992727947535</v>
      </c>
      <c r="F23">
        <f>'Estimates 3 Stage'!G13/'CSA Results'!F7</f>
        <v>39169.090117985041</v>
      </c>
      <c r="G23">
        <f t="shared" si="3"/>
        <v>-0.12893113801950898</v>
      </c>
    </row>
    <row r="24" spans="2:9" x14ac:dyDescent="0.25">
      <c r="D24">
        <f>'Estimates 3 Stage'!G14/'CSA Results'!D8</f>
        <v>64617.418223389497</v>
      </c>
      <c r="E24">
        <f t="shared" si="2"/>
        <v>5.1748065417660506E-2</v>
      </c>
      <c r="F24">
        <f>'Estimates 3 Stage'!G14/'CSA Results'!F8</f>
        <v>27569.233945522621</v>
      </c>
      <c r="G24">
        <f t="shared" si="3"/>
        <v>0.10442322404012608</v>
      </c>
    </row>
    <row r="25" spans="2:9" x14ac:dyDescent="0.25">
      <c r="D25">
        <f>'Estimates 3 Stage'!G15/'CSA Results'!D9</f>
        <v>64238.606832804508</v>
      </c>
      <c r="E25">
        <f t="shared" si="2"/>
        <v>0.12818301773333793</v>
      </c>
      <c r="F25">
        <f>'Estimates 3 Stage'!G15/'CSA Results'!F9</f>
        <v>25885.126759154489</v>
      </c>
      <c r="G25">
        <f t="shared" si="3"/>
        <v>0.14126571452282677</v>
      </c>
    </row>
    <row r="26" spans="2:9" x14ac:dyDescent="0.25">
      <c r="D26">
        <f>'Estimates 3 Stage'!G16/'CSA Results'!D10</f>
        <v>55836.109524959305</v>
      </c>
      <c r="E26">
        <f t="shared" si="2"/>
        <v>0.19558954476509524</v>
      </c>
      <c r="F26">
        <f>'Estimates 3 Stage'!G16/'CSA Results'!F10</f>
        <v>22161.686708112466</v>
      </c>
      <c r="G26">
        <f t="shared" si="3"/>
        <v>0.19841994879883201</v>
      </c>
    </row>
    <row r="27" spans="2:9" x14ac:dyDescent="0.25">
      <c r="D27">
        <f>'Estimates 3 Stage'!G17/'CSA Results'!D11</f>
        <v>53382.13797067276</v>
      </c>
      <c r="E27">
        <f t="shared" si="2"/>
        <v>0.21067836137579293</v>
      </c>
      <c r="F27">
        <f>'Estimates 3 Stage'!G17/'CSA Results'!F11</f>
        <v>21113.139531429824</v>
      </c>
      <c r="G27">
        <f t="shared" si="3"/>
        <v>0.17955821467857533</v>
      </c>
    </row>
    <row r="28" spans="2:9" x14ac:dyDescent="0.25">
      <c r="D28">
        <f>'Estimates 3 Stage'!G18/'CSA Results'!D12</f>
        <v>54214.857866891871</v>
      </c>
      <c r="E28">
        <f t="shared" si="2"/>
        <v>0.16613438576312275</v>
      </c>
      <c r="F28">
        <f>'Estimates 3 Stage'!G18/'CSA Results'!F12</f>
        <v>22287.889204289844</v>
      </c>
      <c r="G28">
        <f t="shared" si="3"/>
        <v>-2.8433662721712424E-2</v>
      </c>
    </row>
    <row r="29" spans="2:9" x14ac:dyDescent="0.25">
      <c r="D29">
        <f>'Estimates 3 Stage'!G19/'CSA Results'!D13</f>
        <v>40920.841427965199</v>
      </c>
      <c r="E29">
        <f t="shared" si="2"/>
        <v>2.6090308513921735E-2</v>
      </c>
      <c r="F29">
        <f>'Estimates 3 Stage'!G19/'CSA Results'!F13</f>
        <v>20747.959425207442</v>
      </c>
      <c r="G29">
        <f t="shared" si="3"/>
        <v>-6.9907031017191187E-2</v>
      </c>
    </row>
    <row r="31" spans="2:9" x14ac:dyDescent="0.25">
      <c r="C31" t="s">
        <v>39</v>
      </c>
      <c r="D31" t="s">
        <v>40</v>
      </c>
      <c r="F31" t="s">
        <v>42</v>
      </c>
      <c r="G31" t="s">
        <v>43</v>
      </c>
    </row>
    <row r="32" spans="2:9" x14ac:dyDescent="0.25">
      <c r="C32" t="s">
        <v>41</v>
      </c>
      <c r="D32" s="6">
        <f>AVERAGE(D20:D29)</f>
        <v>54752.148472726556</v>
      </c>
      <c r="E32">
        <f>AVERAGE(E20:E29)</f>
        <v>-0.13809063483087519</v>
      </c>
      <c r="F32">
        <v>0.26</v>
      </c>
      <c r="G32">
        <f>AVERAGE(G20:G29)</f>
        <v>-9.9411689134536241E-2</v>
      </c>
    </row>
  </sheetData>
  <mergeCells count="3">
    <mergeCell ref="B2:C2"/>
    <mergeCell ref="D2:E2"/>
    <mergeCell ref="F2:G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4"/>
  <sheetViews>
    <sheetView topLeftCell="N1" workbookViewId="0">
      <selection activeCell="K42" sqref="K42"/>
    </sheetView>
  </sheetViews>
  <sheetFormatPr defaultRowHeight="13.2" x14ac:dyDescent="0.25"/>
  <cols>
    <col min="1" max="1" width="8" customWidth="1"/>
    <col min="2" max="2" width="7.5546875" customWidth="1"/>
    <col min="3" max="3" width="6" customWidth="1"/>
    <col min="4" max="4" width="6.6640625" customWidth="1"/>
    <col min="5" max="5" width="6.33203125" customWidth="1"/>
    <col min="6" max="6" width="2" customWidth="1"/>
    <col min="7" max="7" width="10.33203125" bestFit="1" customWidth="1"/>
    <col min="8" max="9" width="9.6640625" customWidth="1"/>
    <col min="10" max="11" width="7.33203125" customWidth="1"/>
    <col min="12" max="12" width="9.109375" customWidth="1"/>
    <col min="13" max="13" width="13.44140625" customWidth="1"/>
    <col min="14" max="14" width="10.88671875" customWidth="1"/>
    <col min="15" max="15" width="10.33203125" customWidth="1"/>
    <col min="16" max="16" width="10.5546875" customWidth="1"/>
    <col min="20" max="20" width="14" customWidth="1"/>
    <col min="24" max="24" width="7.33203125" customWidth="1"/>
    <col min="27" max="27" width="7.6640625" customWidth="1"/>
    <col min="28" max="29" width="11.5546875" customWidth="1"/>
    <col min="30" max="30" width="11.33203125" bestFit="1" customWidth="1"/>
    <col min="34" max="34" width="19.5546875" customWidth="1"/>
  </cols>
  <sheetData>
    <row r="1" spans="1:38" ht="15" thickBot="1" x14ac:dyDescent="0.35">
      <c r="A1" s="22" t="s">
        <v>48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6" t="s">
        <v>19</v>
      </c>
      <c r="O1" s="22"/>
      <c r="P1" s="22"/>
      <c r="Q1" s="22"/>
      <c r="R1" s="22"/>
      <c r="S1" s="27" t="s">
        <v>49</v>
      </c>
    </row>
    <row r="2" spans="1:38" ht="14.4" x14ac:dyDescent="0.3">
      <c r="A2" s="22" t="s">
        <v>50</v>
      </c>
      <c r="B2" s="22" t="s">
        <v>58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 t="s">
        <v>51</v>
      </c>
      <c r="O2" s="23">
        <f>P2/1000000</f>
        <v>5.8497414366161648E-5</v>
      </c>
      <c r="P2" s="30">
        <v>58.497414366161649</v>
      </c>
      <c r="Q2" s="22"/>
      <c r="R2" s="22"/>
      <c r="S2" s="24">
        <f>SUM(Y10:Y26)</f>
        <v>74.817595528387514</v>
      </c>
    </row>
    <row r="3" spans="1:38" ht="14.4" x14ac:dyDescent="0.3">
      <c r="A3" s="22" t="s">
        <v>1</v>
      </c>
      <c r="B3" s="22">
        <v>2013</v>
      </c>
      <c r="C3" s="20" t="s">
        <v>71</v>
      </c>
      <c r="D3" s="22" t="s">
        <v>72</v>
      </c>
      <c r="E3" s="22" t="s">
        <v>59</v>
      </c>
      <c r="F3" s="22"/>
      <c r="G3" s="22"/>
      <c r="H3" s="22"/>
      <c r="I3" s="22"/>
      <c r="J3" s="22"/>
      <c r="K3" s="22"/>
      <c r="L3" s="22"/>
      <c r="M3" s="22"/>
      <c r="N3" s="25" t="s">
        <v>52</v>
      </c>
      <c r="O3" s="23">
        <f>P3/100</f>
        <v>0.70422711662997717</v>
      </c>
      <c r="P3" s="30">
        <v>70.422711662997713</v>
      </c>
      <c r="Q3" s="22"/>
      <c r="R3" s="22"/>
      <c r="S3" s="22"/>
    </row>
    <row r="4" spans="1:38" ht="14.4" x14ac:dyDescent="0.3">
      <c r="A4" s="29" t="s">
        <v>53</v>
      </c>
      <c r="B4" s="22">
        <v>4</v>
      </c>
      <c r="C4" s="22" t="s">
        <v>60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5" t="s">
        <v>54</v>
      </c>
      <c r="O4" s="22">
        <v>-0.3</v>
      </c>
      <c r="P4" s="22">
        <v>0.74081822068171788</v>
      </c>
      <c r="Q4" s="22"/>
      <c r="R4" s="22"/>
      <c r="S4" s="22"/>
    </row>
    <row r="6" spans="1:38" ht="14.4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t="s">
        <v>20</v>
      </c>
      <c r="AB6" s="38" t="s">
        <v>64</v>
      </c>
    </row>
    <row r="7" spans="1:38" ht="12.75" customHeight="1" x14ac:dyDescent="0.25">
      <c r="A7" s="73" t="s">
        <v>2</v>
      </c>
      <c r="B7" s="73" t="s">
        <v>3</v>
      </c>
      <c r="C7" s="73" t="s">
        <v>4</v>
      </c>
      <c r="D7" s="73" t="s">
        <v>0</v>
      </c>
      <c r="E7" s="73" t="s">
        <v>5</v>
      </c>
      <c r="F7" s="44"/>
      <c r="G7" s="73" t="s">
        <v>6</v>
      </c>
      <c r="H7" s="75" t="s">
        <v>7</v>
      </c>
      <c r="I7" s="75" t="s">
        <v>8</v>
      </c>
      <c r="J7" s="73" t="s">
        <v>9</v>
      </c>
      <c r="K7" s="73" t="s">
        <v>10</v>
      </c>
      <c r="L7" s="73" t="s">
        <v>11</v>
      </c>
      <c r="M7" s="73" t="s">
        <v>12</v>
      </c>
      <c r="N7" s="73" t="s">
        <v>13</v>
      </c>
      <c r="O7" t="s">
        <v>14</v>
      </c>
      <c r="P7">
        <v>-0.3</v>
      </c>
      <c r="Q7">
        <f>+EXP(P7)</f>
        <v>0.74081822068171788</v>
      </c>
      <c r="AB7" s="71" t="s">
        <v>15</v>
      </c>
      <c r="AC7" s="71" t="s">
        <v>16</v>
      </c>
      <c r="AD7" s="71" t="s">
        <v>17</v>
      </c>
      <c r="AE7" s="71" t="s">
        <v>18</v>
      </c>
      <c r="AF7" s="3"/>
      <c r="AI7" s="69" t="s">
        <v>65</v>
      </c>
    </row>
    <row r="8" spans="1:38" ht="12.75" customHeight="1" thickBot="1" x14ac:dyDescent="0.3">
      <c r="A8" s="74"/>
      <c r="B8" s="74"/>
      <c r="C8" s="74"/>
      <c r="D8" s="74"/>
      <c r="E8" s="74"/>
      <c r="F8" s="45"/>
      <c r="G8" s="74"/>
      <c r="H8" s="76"/>
      <c r="I8" s="76"/>
      <c r="J8" s="74"/>
      <c r="K8" s="74"/>
      <c r="L8" s="74"/>
      <c r="M8" s="74"/>
      <c r="N8" s="74"/>
      <c r="O8" t="s">
        <v>19</v>
      </c>
      <c r="Q8" s="28" t="s">
        <v>55</v>
      </c>
      <c r="R8" s="28" t="s">
        <v>56</v>
      </c>
      <c r="S8" s="28" t="s">
        <v>57</v>
      </c>
      <c r="T8" s="37" t="s">
        <v>62</v>
      </c>
      <c r="U8" s="37" t="s">
        <v>63</v>
      </c>
      <c r="V8" s="36"/>
      <c r="W8" s="36"/>
      <c r="AB8" s="72"/>
      <c r="AC8" s="72"/>
      <c r="AD8" s="72"/>
      <c r="AE8" s="72"/>
      <c r="AF8" s="3"/>
      <c r="AI8" s="70"/>
    </row>
    <row r="9" spans="1:38" ht="13.8" thickTop="1" x14ac:dyDescent="0.25">
      <c r="A9">
        <v>1996</v>
      </c>
      <c r="B9" t="s">
        <v>23</v>
      </c>
      <c r="G9" s="11">
        <v>44566</v>
      </c>
      <c r="H9" s="4">
        <v>35480</v>
      </c>
      <c r="I9" s="4">
        <v>35261.606770833336</v>
      </c>
      <c r="J9" s="6"/>
      <c r="K9" s="6"/>
      <c r="L9" s="6"/>
      <c r="M9" s="1"/>
      <c r="N9" s="1"/>
      <c r="O9">
        <f t="shared" ref="O9:O27" si="0">+P9</f>
        <v>2.0467375912643782</v>
      </c>
      <c r="P9" s="30">
        <v>2.0467375912643782</v>
      </c>
      <c r="AA9">
        <f t="shared" ref="AA9:AA26" si="1">+A9</f>
        <v>1996</v>
      </c>
      <c r="AB9" s="5">
        <f>+(Q9/O$2)*L9</f>
        <v>0</v>
      </c>
      <c r="AC9" s="5">
        <f>+((R9+S9)/O$2)*K9</f>
        <v>0</v>
      </c>
      <c r="AD9" s="5">
        <f t="shared" ref="AD9:AD23" si="2">+AC9+AB9</f>
        <v>0</v>
      </c>
      <c r="AE9" s="5">
        <f t="shared" ref="AE9:AE21" si="3">+AD9*0.2</f>
        <v>0</v>
      </c>
      <c r="AK9">
        <f t="shared" ref="AK9:AK18" si="4">+S9</f>
        <v>0</v>
      </c>
      <c r="AL9">
        <f t="shared" ref="AL9:AL18" si="5">+E9</f>
        <v>0</v>
      </c>
    </row>
    <row r="10" spans="1:38" x14ac:dyDescent="0.25">
      <c r="A10">
        <v>1997</v>
      </c>
      <c r="B10" t="s">
        <v>24</v>
      </c>
      <c r="C10" s="16">
        <v>2.0512820512820502</v>
      </c>
      <c r="D10" s="16">
        <v>5.5384615384615401</v>
      </c>
      <c r="E10" s="16">
        <v>2.3333333333333299</v>
      </c>
      <c r="G10" s="11">
        <v>56948</v>
      </c>
      <c r="H10" s="4">
        <v>35846</v>
      </c>
      <c r="I10" s="12">
        <v>35620</v>
      </c>
      <c r="J10" s="17">
        <v>2.1174867622222227</v>
      </c>
      <c r="K10" s="17">
        <v>2.7549058888888891</v>
      </c>
      <c r="L10" s="17">
        <v>1.354781047777778</v>
      </c>
      <c r="M10" s="1">
        <f t="shared" ref="M10:M22" si="6">+(I10-H9)/365</f>
        <v>0.38356164383561642</v>
      </c>
      <c r="N10" s="1">
        <f t="shared" ref="N10:N22" si="7">+(I10-I9)/365</f>
        <v>0.98189925799086097</v>
      </c>
      <c r="O10">
        <f t="shared" si="0"/>
        <v>2.4235525172271934</v>
      </c>
      <c r="P10" s="30">
        <v>2.4235525172271934</v>
      </c>
      <c r="Q10">
        <f t="shared" ref="Q10:Q24" si="8">+O12</f>
        <v>4.060052826533072</v>
      </c>
      <c r="R10">
        <f>+O11</f>
        <v>6.092618911774756</v>
      </c>
      <c r="S10">
        <f>+O10</f>
        <v>2.4235525172271934</v>
      </c>
      <c r="T10">
        <f>SUM(Q10:S10)</f>
        <v>12.576224255535021</v>
      </c>
      <c r="U10">
        <f t="shared" ref="U10:W25" si="9">+(LN(Q10)-LN(C10))^2</f>
        <v>0.46612161350829301</v>
      </c>
      <c r="V10">
        <f t="shared" si="9"/>
        <v>9.093770386168664E-3</v>
      </c>
      <c r="W10">
        <f t="shared" si="9"/>
        <v>1.4391845325971908E-3</v>
      </c>
      <c r="X10">
        <v>10</v>
      </c>
      <c r="Y10">
        <f t="shared" ref="Y10:Y24" si="10">+SUM(U10:W10)*X10</f>
        <v>4.7665456842705884</v>
      </c>
      <c r="AA10">
        <f t="shared" si="1"/>
        <v>1997</v>
      </c>
      <c r="AB10" s="5">
        <f>+(Q10/O$2)*L10</f>
        <v>94029.499969581695</v>
      </c>
      <c r="AC10" s="5">
        <f t="shared" ref="AC10:AC24" si="11">+((R10+S10)/O$2)*K10</f>
        <v>401064.74918173737</v>
      </c>
      <c r="AD10" s="5">
        <f t="shared" si="2"/>
        <v>495094.24915131903</v>
      </c>
      <c r="AE10" s="5">
        <f t="shared" si="3"/>
        <v>99018.849830263818</v>
      </c>
      <c r="AI10">
        <f t="shared" ref="AI10:AI25" si="12">G10*K10</f>
        <v>156886.38056044446</v>
      </c>
      <c r="AK10">
        <f t="shared" si="4"/>
        <v>2.4235525172271934</v>
      </c>
      <c r="AL10">
        <f t="shared" si="5"/>
        <v>2.3333333333333299</v>
      </c>
    </row>
    <row r="11" spans="1:38" x14ac:dyDescent="0.25">
      <c r="A11">
        <v>1998</v>
      </c>
      <c r="B11" t="s">
        <v>25</v>
      </c>
      <c r="C11" s="16">
        <v>2.1578947368421102</v>
      </c>
      <c r="D11" s="16">
        <v>3.5526315789473699</v>
      </c>
      <c r="E11" s="16">
        <v>2.07894736842105</v>
      </c>
      <c r="G11" s="11">
        <v>55027</v>
      </c>
      <c r="H11" s="4">
        <v>36211</v>
      </c>
      <c r="I11" s="12">
        <v>35986</v>
      </c>
      <c r="J11" s="17">
        <v>1.76308</v>
      </c>
      <c r="K11" s="17">
        <v>2.2838444400000002</v>
      </c>
      <c r="L11" s="17">
        <v>1.4159037000000001</v>
      </c>
      <c r="M11" s="1">
        <f t="shared" si="6"/>
        <v>0.38356164383561642</v>
      </c>
      <c r="N11" s="1">
        <f t="shared" si="7"/>
        <v>1.0027397260273974</v>
      </c>
      <c r="O11">
        <f t="shared" si="0"/>
        <v>6.092618911774756</v>
      </c>
      <c r="P11" s="30">
        <v>6.092618911774756</v>
      </c>
      <c r="Q11">
        <f t="shared" si="8"/>
        <v>2.7077964852610603</v>
      </c>
      <c r="R11">
        <f>+Q10*O$3</f>
        <v>2.8591992953947742</v>
      </c>
      <c r="S11">
        <f>+(R10+S10)*EXP(P$7*N11)-O$2*G10*EXP(M11*P$7)</f>
        <v>3.3345374269258179</v>
      </c>
      <c r="T11">
        <f t="shared" ref="T11:T25" si="13">SUM(Q11:S11)</f>
        <v>8.901533207581652</v>
      </c>
      <c r="U11">
        <f t="shared" si="9"/>
        <v>5.1529958641254092E-2</v>
      </c>
      <c r="V11">
        <f t="shared" si="9"/>
        <v>4.7152819488893521E-2</v>
      </c>
      <c r="W11">
        <f>+(LN(S11)-LN(E11))^2</f>
        <v>0.22323005011062508</v>
      </c>
      <c r="X11">
        <v>10</v>
      </c>
      <c r="Y11">
        <f t="shared" si="10"/>
        <v>3.219128282407727</v>
      </c>
      <c r="AA11">
        <f t="shared" si="1"/>
        <v>1998</v>
      </c>
      <c r="AB11" s="5">
        <f t="shared" ref="AB11:AB24" si="14">+(Q11/O$2)*L11</f>
        <v>65541.000467636564</v>
      </c>
      <c r="AC11" s="5">
        <f t="shared" si="11"/>
        <v>241814.63966172014</v>
      </c>
      <c r="AD11" s="5">
        <f t="shared" si="2"/>
        <v>307355.6401293567</v>
      </c>
      <c r="AE11" s="5">
        <f t="shared" si="3"/>
        <v>61471.128025871345</v>
      </c>
      <c r="AH11" s="15">
        <f t="shared" ref="AH11:AH25" si="15">(AC11-AC10)/AC10</f>
        <v>-0.3970683283557665</v>
      </c>
      <c r="AI11">
        <f t="shared" si="12"/>
        <v>125673.10799988001</v>
      </c>
      <c r="AK11">
        <f t="shared" si="4"/>
        <v>3.3345374269258179</v>
      </c>
      <c r="AL11">
        <f t="shared" si="5"/>
        <v>2.07894736842105</v>
      </c>
    </row>
    <row r="12" spans="1:38" x14ac:dyDescent="0.25">
      <c r="A12">
        <v>1999</v>
      </c>
      <c r="B12" t="s">
        <v>26</v>
      </c>
      <c r="C12" s="16">
        <v>3.875</v>
      </c>
      <c r="D12" s="16">
        <v>2.35</v>
      </c>
      <c r="E12" s="16">
        <v>2.5249999999999999</v>
      </c>
      <c r="G12" s="11">
        <v>36424</v>
      </c>
      <c r="H12" s="4">
        <v>36576</v>
      </c>
      <c r="I12" s="12">
        <v>36323</v>
      </c>
      <c r="J12" s="17">
        <v>2.5147047599999999</v>
      </c>
      <c r="K12" s="17">
        <v>2.9033147499999998</v>
      </c>
      <c r="L12" s="17">
        <v>1.48404348</v>
      </c>
      <c r="M12" s="1">
        <f t="shared" si="6"/>
        <v>0.30684931506849317</v>
      </c>
      <c r="N12" s="1">
        <f t="shared" si="7"/>
        <v>0.92328767123287669</v>
      </c>
      <c r="O12">
        <f t="shared" si="0"/>
        <v>4.060052826533072</v>
      </c>
      <c r="P12" s="30">
        <v>4.060052826533072</v>
      </c>
      <c r="Q12">
        <f t="shared" si="8"/>
        <v>2.9237524121563698</v>
      </c>
      <c r="R12">
        <f t="shared" ref="R12:R25" si="16">+Q11*O$3</f>
        <v>1.9069037112361831</v>
      </c>
      <c r="S12">
        <f t="shared" ref="S12:S25" si="17">+(R11+S11)*EXP(P$7*N12)-O$2*G11*EXP(M12*P$7)</f>
        <v>1.7594059524723846</v>
      </c>
      <c r="T12">
        <f t="shared" si="13"/>
        <v>6.5900620758649371</v>
      </c>
      <c r="U12">
        <f t="shared" si="9"/>
        <v>7.9342382375110918E-2</v>
      </c>
      <c r="V12">
        <f t="shared" si="9"/>
        <v>4.3653623236485244E-2</v>
      </c>
      <c r="W12">
        <f t="shared" si="9"/>
        <v>0.1305122829270855</v>
      </c>
      <c r="X12">
        <v>10</v>
      </c>
      <c r="Y12">
        <f t="shared" si="10"/>
        <v>2.5350828853868168</v>
      </c>
      <c r="AA12">
        <f t="shared" si="1"/>
        <v>1999</v>
      </c>
      <c r="AB12" s="5">
        <f t="shared" si="14"/>
        <v>74173.803259667708</v>
      </c>
      <c r="AC12" s="5">
        <f t="shared" si="11"/>
        <v>181964.46868718357</v>
      </c>
      <c r="AD12" s="5">
        <f t="shared" si="2"/>
        <v>256138.27194685128</v>
      </c>
      <c r="AE12" s="5">
        <f t="shared" si="3"/>
        <v>51227.654389370262</v>
      </c>
      <c r="AH12" s="15">
        <f t="shared" si="15"/>
        <v>-0.24750433248484169</v>
      </c>
      <c r="AI12">
        <f t="shared" si="12"/>
        <v>105750.33645399999</v>
      </c>
      <c r="AK12">
        <f t="shared" si="4"/>
        <v>1.7594059524723846</v>
      </c>
      <c r="AL12">
        <f t="shared" si="5"/>
        <v>2.5249999999999999</v>
      </c>
    </row>
    <row r="13" spans="1:38" x14ac:dyDescent="0.25">
      <c r="A13">
        <v>2000</v>
      </c>
      <c r="B13" t="s">
        <v>27</v>
      </c>
      <c r="C13" s="16">
        <v>1.8271604938271599</v>
      </c>
      <c r="D13" s="16">
        <v>2.74074074074074</v>
      </c>
      <c r="E13" s="16">
        <v>0.938271604938272</v>
      </c>
      <c r="G13" s="11">
        <v>24454</v>
      </c>
      <c r="H13" s="4">
        <v>36942</v>
      </c>
      <c r="I13" s="12">
        <v>36717</v>
      </c>
      <c r="J13" s="17">
        <v>1.7270000000000001</v>
      </c>
      <c r="K13" s="17">
        <v>2.6626111099999998</v>
      </c>
      <c r="L13" s="17">
        <v>1.2007187500000001</v>
      </c>
      <c r="M13" s="1">
        <f t="shared" si="6"/>
        <v>0.38630136986301372</v>
      </c>
      <c r="N13" s="1">
        <f t="shared" si="7"/>
        <v>1.0794520547945206</v>
      </c>
      <c r="O13">
        <f t="shared" si="0"/>
        <v>2.7077964852610603</v>
      </c>
      <c r="P13" s="30">
        <v>2.7077964852610603</v>
      </c>
      <c r="Q13">
        <f t="shared" si="8"/>
        <v>1.2951089492938725</v>
      </c>
      <c r="R13">
        <f t="shared" si="16"/>
        <v>2.0589857309528208</v>
      </c>
      <c r="S13">
        <f t="shared" si="17"/>
        <v>0.75454303489329444</v>
      </c>
      <c r="T13">
        <f t="shared" si="13"/>
        <v>4.108637715139988</v>
      </c>
      <c r="U13">
        <f t="shared" si="9"/>
        <v>0.1184518164878698</v>
      </c>
      <c r="V13">
        <f t="shared" si="9"/>
        <v>8.1804425356103549E-2</v>
      </c>
      <c r="W13">
        <f t="shared" si="9"/>
        <v>4.7492242873956952E-2</v>
      </c>
      <c r="X13">
        <v>10</v>
      </c>
      <c r="Y13">
        <f t="shared" si="10"/>
        <v>2.4774848471793027</v>
      </c>
      <c r="AA13">
        <f t="shared" si="1"/>
        <v>2000</v>
      </c>
      <c r="AB13" s="5">
        <f t="shared" si="14"/>
        <v>26583.42450789571</v>
      </c>
      <c r="AC13" s="5">
        <f t="shared" si="11"/>
        <v>128062.63373206258</v>
      </c>
      <c r="AD13" s="5">
        <f t="shared" si="2"/>
        <v>154646.05823995828</v>
      </c>
      <c r="AE13" s="5">
        <f t="shared" si="3"/>
        <v>30929.211647991659</v>
      </c>
      <c r="AH13" s="15">
        <f t="shared" si="15"/>
        <v>-0.2962217588082211</v>
      </c>
      <c r="AI13">
        <f t="shared" si="12"/>
        <v>65111.492083939993</v>
      </c>
      <c r="AK13">
        <f t="shared" si="4"/>
        <v>0.75454303489329444</v>
      </c>
      <c r="AL13">
        <f t="shared" si="5"/>
        <v>0.938271604938272</v>
      </c>
    </row>
    <row r="14" spans="1:38" x14ac:dyDescent="0.25">
      <c r="A14">
        <v>2001</v>
      </c>
      <c r="B14" t="s">
        <v>28</v>
      </c>
      <c r="C14" s="16">
        <v>1.5967741935483899</v>
      </c>
      <c r="D14" s="16">
        <v>0.64516129032258096</v>
      </c>
      <c r="E14" s="16">
        <v>0.59677419354838701</v>
      </c>
      <c r="G14" s="11">
        <v>18013</v>
      </c>
      <c r="H14" s="4">
        <v>37307</v>
      </c>
      <c r="I14" s="12">
        <v>37084</v>
      </c>
      <c r="J14" s="17">
        <v>2.1410144899999999</v>
      </c>
      <c r="K14" s="17">
        <v>2.9247777799999999</v>
      </c>
      <c r="L14" s="17">
        <v>1.286</v>
      </c>
      <c r="M14" s="1">
        <f t="shared" si="6"/>
        <v>0.38904109589041097</v>
      </c>
      <c r="N14" s="1">
        <f t="shared" si="7"/>
        <v>1.0054794520547945</v>
      </c>
      <c r="O14">
        <f t="shared" si="0"/>
        <v>2.9237524121563698</v>
      </c>
      <c r="P14" s="30">
        <v>2.9237524121563698</v>
      </c>
      <c r="Q14">
        <f t="shared" si="8"/>
        <v>2.0925890265078686</v>
      </c>
      <c r="R14">
        <f t="shared" si="16"/>
        <v>0.91205084108290313</v>
      </c>
      <c r="S14">
        <f t="shared" si="17"/>
        <v>0.80797593540432722</v>
      </c>
      <c r="T14">
        <f t="shared" si="13"/>
        <v>3.8126158029950989</v>
      </c>
      <c r="U14">
        <f t="shared" si="9"/>
        <v>7.3125139129618141E-2</v>
      </c>
      <c r="V14">
        <f t="shared" si="9"/>
        <v>0.11985124616770573</v>
      </c>
      <c r="W14">
        <f t="shared" si="9"/>
        <v>9.1805042002666093E-2</v>
      </c>
      <c r="X14">
        <v>10</v>
      </c>
      <c r="Y14">
        <f t="shared" si="10"/>
        <v>2.8478142729998996</v>
      </c>
      <c r="AA14">
        <f t="shared" si="1"/>
        <v>2001</v>
      </c>
      <c r="AB14" s="5">
        <f t="shared" si="14"/>
        <v>46003.221120928589</v>
      </c>
      <c r="AC14" s="5">
        <f t="shared" si="11"/>
        <v>85998.606115912859</v>
      </c>
      <c r="AD14" s="5">
        <f t="shared" si="2"/>
        <v>132001.82723684143</v>
      </c>
      <c r="AE14" s="5">
        <f t="shared" si="3"/>
        <v>26400.365447368287</v>
      </c>
      <c r="AH14" s="15">
        <f t="shared" si="15"/>
        <v>-0.32846448952594282</v>
      </c>
      <c r="AI14">
        <f t="shared" si="12"/>
        <v>52684.022151140001</v>
      </c>
      <c r="AK14">
        <f t="shared" si="4"/>
        <v>0.80797593540432722</v>
      </c>
      <c r="AL14">
        <f t="shared" si="5"/>
        <v>0.59677419354838701</v>
      </c>
    </row>
    <row r="15" spans="1:38" x14ac:dyDescent="0.25">
      <c r="A15">
        <v>2002</v>
      </c>
      <c r="B15" t="s">
        <v>29</v>
      </c>
      <c r="C15" s="16">
        <v>1.3548387096774199</v>
      </c>
      <c r="D15" s="16">
        <v>0.79032258064516103</v>
      </c>
      <c r="E15" s="16">
        <v>0.27419354838709697</v>
      </c>
      <c r="G15" s="11">
        <v>18979</v>
      </c>
      <c r="H15" s="4">
        <v>37672</v>
      </c>
      <c r="I15" s="12">
        <v>37452</v>
      </c>
      <c r="J15" s="17">
        <v>2.1016844400000001</v>
      </c>
      <c r="K15" s="17">
        <v>2.7744291699999999</v>
      </c>
      <c r="L15" s="17">
        <v>1.3328333299999999</v>
      </c>
      <c r="M15" s="1">
        <f t="shared" si="6"/>
        <v>0.39726027397260272</v>
      </c>
      <c r="N15" s="1">
        <f t="shared" si="7"/>
        <v>1.0082191780821919</v>
      </c>
      <c r="O15">
        <f t="shared" si="0"/>
        <v>1.2951089492938725</v>
      </c>
      <c r="P15" s="30">
        <v>1.2951089492938725</v>
      </c>
      <c r="Q15">
        <f t="shared" si="8"/>
        <v>2.4290491090665047</v>
      </c>
      <c r="R15">
        <f t="shared" si="16"/>
        <v>1.4736579364291671</v>
      </c>
      <c r="S15">
        <f t="shared" si="17"/>
        <v>0.33576025436867507</v>
      </c>
      <c r="T15">
        <f t="shared" si="13"/>
        <v>4.2384672998643467</v>
      </c>
      <c r="U15">
        <f t="shared" si="9"/>
        <v>0.34084281939644145</v>
      </c>
      <c r="V15">
        <f t="shared" si="9"/>
        <v>0.38820599282796181</v>
      </c>
      <c r="W15">
        <f t="shared" si="9"/>
        <v>4.1031825128618651E-2</v>
      </c>
      <c r="X15">
        <v>10</v>
      </c>
      <c r="Y15">
        <f t="shared" si="10"/>
        <v>7.7008063735302192</v>
      </c>
      <c r="AA15">
        <f t="shared" si="1"/>
        <v>2002</v>
      </c>
      <c r="AB15" s="5">
        <f t="shared" si="14"/>
        <v>55344.627584829002</v>
      </c>
      <c r="AC15" s="5">
        <f t="shared" si="11"/>
        <v>85817.512853731911</v>
      </c>
      <c r="AD15" s="5">
        <f t="shared" si="2"/>
        <v>141162.14043856092</v>
      </c>
      <c r="AE15" s="5">
        <f t="shared" si="3"/>
        <v>28232.428087712186</v>
      </c>
      <c r="AH15" s="15">
        <f t="shared" si="15"/>
        <v>-2.1057697369752963E-3</v>
      </c>
      <c r="AI15">
        <f t="shared" si="12"/>
        <v>52655.891217429999</v>
      </c>
      <c r="AK15">
        <f t="shared" si="4"/>
        <v>0.33576025436867507</v>
      </c>
      <c r="AL15">
        <f t="shared" si="5"/>
        <v>0.27419354838709697</v>
      </c>
    </row>
    <row r="16" spans="1:38" x14ac:dyDescent="0.25">
      <c r="A16">
        <v>2003</v>
      </c>
      <c r="B16" t="s">
        <v>22</v>
      </c>
      <c r="C16" s="21">
        <v>2.8953488372092999</v>
      </c>
      <c r="D16" s="21">
        <v>1.68604651162791</v>
      </c>
      <c r="E16" s="16">
        <v>0.418604651162791</v>
      </c>
      <c r="G16" s="11">
        <v>18922</v>
      </c>
      <c r="H16" s="4">
        <v>38037</v>
      </c>
      <c r="I16" s="12">
        <v>37819</v>
      </c>
      <c r="J16" s="17">
        <v>1.87486047</v>
      </c>
      <c r="K16" s="17">
        <v>2.92729412</v>
      </c>
      <c r="L16" s="17">
        <v>1.18673077</v>
      </c>
      <c r="M16" s="1">
        <f t="shared" si="6"/>
        <v>0.40273972602739727</v>
      </c>
      <c r="N16" s="1">
        <f t="shared" si="7"/>
        <v>1.0054794520547945</v>
      </c>
      <c r="O16">
        <f t="shared" si="0"/>
        <v>2.0925890265078686</v>
      </c>
      <c r="P16" s="30">
        <v>2.0925890265078686</v>
      </c>
      <c r="Q16">
        <f t="shared" si="8"/>
        <v>2.8515575440099648</v>
      </c>
      <c r="R16">
        <f t="shared" si="16"/>
        <v>1.7106022502305196</v>
      </c>
      <c r="S16">
        <f t="shared" si="17"/>
        <v>0.35437832789898005</v>
      </c>
      <c r="T16">
        <f t="shared" si="13"/>
        <v>4.916538122139464</v>
      </c>
      <c r="U16">
        <f t="shared" si="9"/>
        <v>2.3226517558722027E-4</v>
      </c>
      <c r="V16">
        <f t="shared" si="9"/>
        <v>2.0906428477584311E-4</v>
      </c>
      <c r="W16">
        <f t="shared" si="9"/>
        <v>2.7742851824271164E-2</v>
      </c>
      <c r="X16">
        <v>10</v>
      </c>
      <c r="Y16">
        <f t="shared" si="10"/>
        <v>0.2818418128463423</v>
      </c>
      <c r="AA16">
        <f t="shared" si="1"/>
        <v>2003</v>
      </c>
      <c r="AB16" s="5">
        <f t="shared" si="14"/>
        <v>57849.241997604899</v>
      </c>
      <c r="AC16" s="5">
        <f t="shared" si="11"/>
        <v>103334.57589143216</v>
      </c>
      <c r="AD16" s="5">
        <f t="shared" si="2"/>
        <v>161183.81788903708</v>
      </c>
      <c r="AE16" s="5">
        <f t="shared" si="3"/>
        <v>32236.763577807418</v>
      </c>
      <c r="AF16" s="5">
        <f>AC16*0.5</f>
        <v>51667.287945716082</v>
      </c>
      <c r="AG16" s="5">
        <f>AF16/K16</f>
        <v>17650.186768972872</v>
      </c>
      <c r="AH16" s="15">
        <f t="shared" si="15"/>
        <v>0.20411991043782032</v>
      </c>
      <c r="AI16">
        <f t="shared" si="12"/>
        <v>55390.259338639997</v>
      </c>
      <c r="AK16">
        <f t="shared" si="4"/>
        <v>0.35437832789898005</v>
      </c>
      <c r="AL16">
        <f t="shared" si="5"/>
        <v>0.418604651162791</v>
      </c>
    </row>
    <row r="17" spans="1:38" x14ac:dyDescent="0.25">
      <c r="A17">
        <v>2004</v>
      </c>
      <c r="B17" t="s">
        <v>21</v>
      </c>
      <c r="C17" s="16">
        <v>2.9550561797752799</v>
      </c>
      <c r="D17" s="16">
        <v>1.3370786516853901</v>
      </c>
      <c r="E17" s="16">
        <v>0.64044943820224698</v>
      </c>
      <c r="G17" s="11">
        <v>22403</v>
      </c>
      <c r="H17" s="4">
        <v>38403</v>
      </c>
      <c r="I17" s="12">
        <v>38181</v>
      </c>
      <c r="J17" s="17">
        <v>2.1764285700000001</v>
      </c>
      <c r="K17" s="17">
        <v>2.7759999999999998</v>
      </c>
      <c r="L17" s="17">
        <v>1.3161739100000001</v>
      </c>
      <c r="M17" s="1">
        <f t="shared" si="6"/>
        <v>0.39452054794520547</v>
      </c>
      <c r="N17" s="1">
        <f t="shared" si="7"/>
        <v>0.99178082191780825</v>
      </c>
      <c r="O17">
        <f t="shared" si="0"/>
        <v>2.4290491090665047</v>
      </c>
      <c r="P17" s="30">
        <v>2.4290491090665047</v>
      </c>
      <c r="Q17">
        <f t="shared" si="8"/>
        <v>3.5733280798835563</v>
      </c>
      <c r="R17">
        <f t="shared" si="16"/>
        <v>2.0081441471225965</v>
      </c>
      <c r="S17">
        <f t="shared" si="17"/>
        <v>0.55021516975496165</v>
      </c>
      <c r="T17">
        <f t="shared" si="13"/>
        <v>6.1316873967611141</v>
      </c>
      <c r="U17">
        <f t="shared" si="9"/>
        <v>3.6092299462176951E-2</v>
      </c>
      <c r="V17">
        <f t="shared" si="9"/>
        <v>0.1654243001554522</v>
      </c>
      <c r="W17">
        <f t="shared" si="9"/>
        <v>2.3061689707180717E-2</v>
      </c>
      <c r="X17">
        <v>10</v>
      </c>
      <c r="Y17">
        <f t="shared" si="10"/>
        <v>2.2457828932480988</v>
      </c>
      <c r="AA17">
        <f t="shared" si="1"/>
        <v>2004</v>
      </c>
      <c r="AB17" s="5">
        <f t="shared" si="14"/>
        <v>80398.787563056729</v>
      </c>
      <c r="AC17" s="5">
        <f t="shared" si="11"/>
        <v>121407.16885702762</v>
      </c>
      <c r="AD17" s="5">
        <f t="shared" si="2"/>
        <v>201805.95642008435</v>
      </c>
      <c r="AE17" s="5">
        <f t="shared" si="3"/>
        <v>40361.191284016873</v>
      </c>
      <c r="AF17" s="5">
        <f>AC17*0.5</f>
        <v>60703.584428513808</v>
      </c>
      <c r="AG17" s="5">
        <f>AF17/K17</f>
        <v>21867.285456957427</v>
      </c>
      <c r="AH17" s="15">
        <f t="shared" si="15"/>
        <v>0.17489395790024156</v>
      </c>
      <c r="AI17">
        <f t="shared" si="12"/>
        <v>62190.727999999996</v>
      </c>
      <c r="AK17">
        <f t="shared" si="4"/>
        <v>0.55021516975496165</v>
      </c>
      <c r="AL17">
        <f t="shared" si="5"/>
        <v>0.64044943820224698</v>
      </c>
    </row>
    <row r="18" spans="1:38" x14ac:dyDescent="0.25">
      <c r="A18">
        <v>2005</v>
      </c>
      <c r="B18" t="s">
        <v>30</v>
      </c>
      <c r="C18" s="16">
        <v>3.6111111111111098</v>
      </c>
      <c r="D18" s="16">
        <v>2.2083333333333299</v>
      </c>
      <c r="E18" s="16">
        <v>0.80555555555555602</v>
      </c>
      <c r="G18" s="11">
        <v>28886</v>
      </c>
      <c r="H18" s="8">
        <v>38768</v>
      </c>
      <c r="I18" s="12">
        <v>38547</v>
      </c>
      <c r="J18" s="17">
        <v>2.4992916699999999</v>
      </c>
      <c r="K18" s="17">
        <v>2.8168000000000002</v>
      </c>
      <c r="L18" s="17">
        <v>1.47205882</v>
      </c>
      <c r="M18" s="1">
        <f t="shared" si="6"/>
        <v>0.39452054794520547</v>
      </c>
      <c r="N18" s="1">
        <f t="shared" si="7"/>
        <v>1.0027397260273974</v>
      </c>
      <c r="O18">
        <f t="shared" si="0"/>
        <v>2.8515575440099648</v>
      </c>
      <c r="P18" s="30">
        <v>2.8515575440099648</v>
      </c>
      <c r="Q18">
        <f t="shared" si="8"/>
        <v>4.1903334516712176</v>
      </c>
      <c r="R18">
        <f t="shared" si="16"/>
        <v>2.5164345304693296</v>
      </c>
      <c r="S18">
        <f t="shared" si="17"/>
        <v>0.72948501196325699</v>
      </c>
      <c r="T18">
        <f t="shared" si="13"/>
        <v>7.4362529941038051</v>
      </c>
      <c r="U18">
        <f t="shared" si="9"/>
        <v>2.213096616705917E-2</v>
      </c>
      <c r="V18">
        <f t="shared" si="9"/>
        <v>1.7057652333865927E-2</v>
      </c>
      <c r="W18">
        <f t="shared" si="9"/>
        <v>9.83932036487087E-3</v>
      </c>
      <c r="X18">
        <v>10</v>
      </c>
      <c r="Y18">
        <f t="shared" si="10"/>
        <v>0.49027938865795972</v>
      </c>
      <c r="AA18">
        <f t="shared" si="1"/>
        <v>2005</v>
      </c>
      <c r="AB18" s="5">
        <f t="shared" si="14"/>
        <v>105447.69171612883</v>
      </c>
      <c r="AC18" s="5">
        <f t="shared" si="11"/>
        <v>156299.32136646748</v>
      </c>
      <c r="AD18" s="5">
        <f t="shared" si="2"/>
        <v>261747.0130825963</v>
      </c>
      <c r="AE18" s="5">
        <f t="shared" si="3"/>
        <v>52349.402616519263</v>
      </c>
      <c r="AF18" s="5">
        <f>AC18*0.5</f>
        <v>78149.660683233742</v>
      </c>
      <c r="AG18" s="5">
        <f>AF18/K18</f>
        <v>27744.1283311679</v>
      </c>
      <c r="AH18" s="15">
        <f t="shared" si="15"/>
        <v>0.28739779403413823</v>
      </c>
      <c r="AI18">
        <f t="shared" si="12"/>
        <v>81366.084800000011</v>
      </c>
      <c r="AK18">
        <f t="shared" si="4"/>
        <v>0.72948501196325699</v>
      </c>
      <c r="AL18">
        <f t="shared" si="5"/>
        <v>0.80555555555555602</v>
      </c>
    </row>
    <row r="19" spans="1:38" x14ac:dyDescent="0.25">
      <c r="A19">
        <v>2006</v>
      </c>
      <c r="B19" t="s">
        <v>31</v>
      </c>
      <c r="C19" s="16">
        <v>7.2650602409638596</v>
      </c>
      <c r="D19" s="16">
        <v>7.4457831325301198</v>
      </c>
      <c r="E19" s="16">
        <v>1.3373493975903601</v>
      </c>
      <c r="G19" s="11">
        <v>26080</v>
      </c>
      <c r="H19" s="4">
        <v>39125</v>
      </c>
      <c r="I19" s="12">
        <v>38913</v>
      </c>
      <c r="J19" s="17">
        <v>2.25931646</v>
      </c>
      <c r="K19" s="17">
        <v>2.72508163</v>
      </c>
      <c r="L19" s="17">
        <v>1.49856667</v>
      </c>
      <c r="M19" s="1">
        <f t="shared" si="6"/>
        <v>0.39726027397260272</v>
      </c>
      <c r="N19" s="1">
        <f t="shared" si="7"/>
        <v>1.0027397260273974</v>
      </c>
      <c r="O19">
        <f t="shared" si="0"/>
        <v>3.5733280798835563</v>
      </c>
      <c r="P19" s="30">
        <v>3.5733280798835563</v>
      </c>
      <c r="Q19">
        <f t="shared" si="8"/>
        <v>3.4097158478556349</v>
      </c>
      <c r="R19">
        <f t="shared" si="16"/>
        <v>2.9509464443885616</v>
      </c>
      <c r="S19">
        <f t="shared" si="17"/>
        <v>0.90274903519090333</v>
      </c>
      <c r="T19">
        <f t="shared" si="13"/>
        <v>7.2634113274351</v>
      </c>
      <c r="U19">
        <f t="shared" si="9"/>
        <v>0.57221301720768669</v>
      </c>
      <c r="V19">
        <f t="shared" si="9"/>
        <v>0.85659079137335592</v>
      </c>
      <c r="W19">
        <f t="shared" si="9"/>
        <v>0.15444922093318411</v>
      </c>
      <c r="X19">
        <v>10</v>
      </c>
      <c r="Y19">
        <f t="shared" si="10"/>
        <v>15.832530295142266</v>
      </c>
      <c r="AA19">
        <f t="shared" si="1"/>
        <v>2006</v>
      </c>
      <c r="AB19" s="5">
        <f t="shared" si="14"/>
        <v>87348.929506241373</v>
      </c>
      <c r="AC19" s="5">
        <f t="shared" si="11"/>
        <v>179523.05880190845</v>
      </c>
      <c r="AD19" s="5">
        <f t="shared" si="2"/>
        <v>266871.98830814986</v>
      </c>
      <c r="AE19" s="5">
        <f t="shared" si="3"/>
        <v>53374.397661629977</v>
      </c>
      <c r="AF19" s="5">
        <f>AC19*0.5</f>
        <v>89761.529400954227</v>
      </c>
      <c r="AG19" s="5">
        <f>AF19/K19</f>
        <v>32939.024069144754</v>
      </c>
      <c r="AH19" s="15">
        <f t="shared" si="15"/>
        <v>0.14858501772371355</v>
      </c>
      <c r="AI19">
        <f t="shared" si="12"/>
        <v>71070.128910400002</v>
      </c>
    </row>
    <row r="20" spans="1:38" x14ac:dyDescent="0.25">
      <c r="A20">
        <v>2007</v>
      </c>
      <c r="B20" t="s">
        <v>32</v>
      </c>
      <c r="C20" s="16">
        <v>6.59</v>
      </c>
      <c r="D20" s="16">
        <v>3.09</v>
      </c>
      <c r="E20" s="16">
        <v>1.71</v>
      </c>
      <c r="G20" s="11">
        <v>24410</v>
      </c>
      <c r="H20" s="4">
        <v>39495</v>
      </c>
      <c r="I20" s="12">
        <v>39258</v>
      </c>
      <c r="J20" s="18">
        <v>1.83</v>
      </c>
      <c r="K20" s="18">
        <v>2.4</v>
      </c>
      <c r="L20" s="18">
        <v>1.42</v>
      </c>
      <c r="M20" s="1">
        <f t="shared" si="6"/>
        <v>0.36438356164383562</v>
      </c>
      <c r="N20" s="1">
        <f t="shared" si="7"/>
        <v>0.9452054794520548</v>
      </c>
      <c r="O20">
        <f t="shared" si="0"/>
        <v>4.1903334516712176</v>
      </c>
      <c r="P20" s="30">
        <v>4.1903334516712176</v>
      </c>
      <c r="Q20">
        <f t="shared" si="8"/>
        <v>2.8595945293509408</v>
      </c>
      <c r="R20">
        <f t="shared" si="16"/>
        <v>2.4012143600629114</v>
      </c>
      <c r="S20">
        <f t="shared" si="17"/>
        <v>1.5345731085480885</v>
      </c>
      <c r="T20">
        <f t="shared" si="13"/>
        <v>6.7953819979619405</v>
      </c>
      <c r="U20">
        <f t="shared" si="9"/>
        <v>0.69701377216886062</v>
      </c>
      <c r="V20">
        <f t="shared" si="9"/>
        <v>6.3603073685490258E-2</v>
      </c>
      <c r="W20">
        <f t="shared" si="9"/>
        <v>1.1716142945477119E-2</v>
      </c>
      <c r="X20">
        <v>10</v>
      </c>
      <c r="Y20">
        <f t="shared" si="10"/>
        <v>7.723329887998279</v>
      </c>
      <c r="AA20">
        <f t="shared" si="1"/>
        <v>2007</v>
      </c>
      <c r="AB20" s="5">
        <f t="shared" si="14"/>
        <v>69415.448112989412</v>
      </c>
      <c r="AC20" s="5">
        <f t="shared" si="11"/>
        <v>161475.34086789415</v>
      </c>
      <c r="AD20" s="5">
        <f t="shared" si="2"/>
        <v>230890.78898088355</v>
      </c>
      <c r="AE20" s="5">
        <f t="shared" si="3"/>
        <v>46178.157796176711</v>
      </c>
      <c r="AF20" s="5">
        <f>AC20*0.5</f>
        <v>80737.670433947074</v>
      </c>
      <c r="AG20" s="5">
        <f>AF20/K20</f>
        <v>33640.696014144618</v>
      </c>
      <c r="AH20" s="15">
        <f t="shared" si="15"/>
        <v>-0.10053147520134859</v>
      </c>
      <c r="AI20">
        <f t="shared" si="12"/>
        <v>58584</v>
      </c>
    </row>
    <row r="21" spans="1:38" x14ac:dyDescent="0.25">
      <c r="A21">
        <v>2008</v>
      </c>
      <c r="B21" t="s">
        <v>44</v>
      </c>
      <c r="C21" s="16">
        <v>4.28</v>
      </c>
      <c r="D21" s="16">
        <v>2.2200000000000002</v>
      </c>
      <c r="E21" s="16">
        <v>1.38</v>
      </c>
      <c r="G21" s="11">
        <v>13786</v>
      </c>
      <c r="H21" s="4">
        <v>39862</v>
      </c>
      <c r="I21" s="12">
        <v>39621</v>
      </c>
      <c r="J21" s="17">
        <v>1.8976300399999999</v>
      </c>
      <c r="K21" s="17">
        <v>2.5589264799999998</v>
      </c>
      <c r="L21" s="17">
        <v>1.3355280700000001</v>
      </c>
      <c r="M21" s="1">
        <f t="shared" si="6"/>
        <v>0.34520547945205482</v>
      </c>
      <c r="N21" s="1">
        <f t="shared" si="7"/>
        <v>0.9945205479452055</v>
      </c>
      <c r="O21">
        <f t="shared" si="0"/>
        <v>3.4097158478556349</v>
      </c>
      <c r="P21" s="39">
        <v>3.4097158478556349</v>
      </c>
      <c r="Q21">
        <f t="shared" si="8"/>
        <v>2.4829442203414747</v>
      </c>
      <c r="R21">
        <f t="shared" si="16"/>
        <v>2.0138040101356696</v>
      </c>
      <c r="S21">
        <f t="shared" si="17"/>
        <v>1.6330563872325889</v>
      </c>
      <c r="T21">
        <f t="shared" si="13"/>
        <v>6.1298046177097332</v>
      </c>
      <c r="U21">
        <f t="shared" si="9"/>
        <v>0.29648892715325703</v>
      </c>
      <c r="V21">
        <f t="shared" si="9"/>
        <v>9.5026857456845595E-3</v>
      </c>
      <c r="W21">
        <f t="shared" si="9"/>
        <v>2.8348404390621525E-2</v>
      </c>
      <c r="X21">
        <v>10</v>
      </c>
      <c r="Y21">
        <f t="shared" si="10"/>
        <v>3.3434001728956315</v>
      </c>
      <c r="AA21">
        <f t="shared" si="1"/>
        <v>2008</v>
      </c>
      <c r="AB21" s="5">
        <f t="shared" si="14"/>
        <v>56686.979047547415</v>
      </c>
      <c r="AC21" s="5">
        <f t="shared" si="11"/>
        <v>159529.232886696</v>
      </c>
      <c r="AD21" s="5">
        <f t="shared" si="2"/>
        <v>216216.21193424342</v>
      </c>
      <c r="AE21" s="5">
        <f t="shared" si="3"/>
        <v>43243.242386848688</v>
      </c>
      <c r="AF21" s="5"/>
      <c r="AG21" s="5"/>
      <c r="AH21" s="15">
        <f t="shared" si="15"/>
        <v>-1.2052044422004303E-2</v>
      </c>
      <c r="AI21">
        <f t="shared" si="12"/>
        <v>35277.360453279995</v>
      </c>
    </row>
    <row r="22" spans="1:38" x14ac:dyDescent="0.25">
      <c r="A22">
        <v>2009</v>
      </c>
      <c r="B22" s="20" t="s">
        <v>45</v>
      </c>
      <c r="C22" s="16">
        <v>4.9393939400000004</v>
      </c>
      <c r="D22" s="16">
        <v>2.3939393899999999</v>
      </c>
      <c r="E22" s="16">
        <v>1.5151515200000001</v>
      </c>
      <c r="G22" s="11">
        <v>18126</v>
      </c>
      <c r="H22" s="4">
        <v>40227</v>
      </c>
      <c r="I22" s="12">
        <v>39986</v>
      </c>
      <c r="J22" s="17">
        <v>1.88</v>
      </c>
      <c r="K22" s="17">
        <v>2.4500000000000002</v>
      </c>
      <c r="L22" s="17">
        <v>1.43</v>
      </c>
      <c r="M22" s="1">
        <f t="shared" si="6"/>
        <v>0.33972602739726027</v>
      </c>
      <c r="N22" s="1">
        <f t="shared" si="7"/>
        <v>1</v>
      </c>
      <c r="O22">
        <f t="shared" si="0"/>
        <v>2.8595945293509408</v>
      </c>
      <c r="P22" s="39">
        <v>2.8595945293509408</v>
      </c>
      <c r="Q22">
        <f t="shared" si="8"/>
        <v>3.2994459988741176</v>
      </c>
      <c r="R22">
        <f t="shared" si="16"/>
        <v>1.7485566490441433</v>
      </c>
      <c r="S22">
        <f>+(R21+S21)*EXP(P$7*N22)-O$2*G21*EXP(M22*P$7)</f>
        <v>1.9733567856467806</v>
      </c>
      <c r="T22">
        <f t="shared" si="13"/>
        <v>7.0213594335650411</v>
      </c>
      <c r="U22">
        <f t="shared" si="9"/>
        <v>0.1628026179622577</v>
      </c>
      <c r="V22">
        <f t="shared" si="9"/>
        <v>9.868997979154219E-2</v>
      </c>
      <c r="W22">
        <f t="shared" si="9"/>
        <v>6.9812524203403239E-2</v>
      </c>
      <c r="X22">
        <v>10</v>
      </c>
      <c r="Y22">
        <f t="shared" si="10"/>
        <v>3.3130512195720314</v>
      </c>
      <c r="AA22">
        <f t="shared" si="1"/>
        <v>2009</v>
      </c>
      <c r="AB22" s="5">
        <f t="shared" si="14"/>
        <v>80656.689351372042</v>
      </c>
      <c r="AC22" s="5">
        <f t="shared" si="11"/>
        <v>155881.89689743877</v>
      </c>
      <c r="AD22" s="5">
        <f t="shared" si="2"/>
        <v>236538.58624881081</v>
      </c>
      <c r="AE22" s="5">
        <f>+AD22*0.2</f>
        <v>47307.717249762165</v>
      </c>
      <c r="AF22" s="5"/>
      <c r="AG22" s="5"/>
      <c r="AH22" s="15">
        <f t="shared" si="15"/>
        <v>-2.2863119964023876E-2</v>
      </c>
      <c r="AI22">
        <f t="shared" si="12"/>
        <v>44408.700000000004</v>
      </c>
    </row>
    <row r="23" spans="1:38" x14ac:dyDescent="0.25">
      <c r="A23">
        <v>2010</v>
      </c>
      <c r="B23" s="20" t="s">
        <v>46</v>
      </c>
      <c r="C23" s="16">
        <v>2.6</v>
      </c>
      <c r="D23" s="16">
        <v>2.1231</v>
      </c>
      <c r="E23" s="16">
        <v>0.67689999999999995</v>
      </c>
      <c r="G23" s="11">
        <v>22017</v>
      </c>
      <c r="H23" s="4">
        <v>40596</v>
      </c>
      <c r="I23" s="12">
        <v>40378</v>
      </c>
      <c r="J23" s="17">
        <v>2</v>
      </c>
      <c r="K23" s="17">
        <v>2.61</v>
      </c>
      <c r="L23" s="17">
        <v>1.34</v>
      </c>
      <c r="M23" s="1">
        <f>+(I23-H22)/365</f>
        <v>0.41369863013698632</v>
      </c>
      <c r="N23" s="1">
        <f>+(I23-I22)/365</f>
        <v>1.0739726027397261</v>
      </c>
      <c r="O23">
        <f t="shared" si="0"/>
        <v>2.4829442203414747</v>
      </c>
      <c r="P23" s="39">
        <v>2.4829442203414747</v>
      </c>
      <c r="Q23">
        <f t="shared" si="8"/>
        <v>3.2874598498660403</v>
      </c>
      <c r="R23">
        <f t="shared" si="16"/>
        <v>2.3235593422634349</v>
      </c>
      <c r="S23">
        <f t="shared" si="17"/>
        <v>1.7601803761021166</v>
      </c>
      <c r="T23">
        <f t="shared" si="13"/>
        <v>7.3711995682315923</v>
      </c>
      <c r="U23">
        <f t="shared" si="9"/>
        <v>5.5038914556117174E-2</v>
      </c>
      <c r="V23">
        <f t="shared" si="9"/>
        <v>8.1401761018408021E-3</v>
      </c>
      <c r="W23">
        <f t="shared" si="9"/>
        <v>0.91326313371084777</v>
      </c>
      <c r="X23">
        <v>10</v>
      </c>
      <c r="Y23">
        <f t="shared" si="10"/>
        <v>9.7644222436880579</v>
      </c>
      <c r="AA23">
        <f t="shared" si="1"/>
        <v>2010</v>
      </c>
      <c r="AB23" s="5">
        <f t="shared" si="14"/>
        <v>75305.827557546188</v>
      </c>
      <c r="AC23" s="5">
        <f t="shared" si="11"/>
        <v>182205.67148861248</v>
      </c>
      <c r="AD23" s="5">
        <f t="shared" si="2"/>
        <v>257511.49904615869</v>
      </c>
      <c r="AE23" s="5">
        <f>+AD23*0.2</f>
        <v>51502.299809231743</v>
      </c>
      <c r="AF23" s="5"/>
      <c r="AG23" s="5"/>
      <c r="AH23" s="15">
        <f t="shared" si="15"/>
        <v>0.16886999141724091</v>
      </c>
      <c r="AI23">
        <f t="shared" si="12"/>
        <v>57464.369999999995</v>
      </c>
    </row>
    <row r="24" spans="1:38" x14ac:dyDescent="0.25">
      <c r="A24">
        <v>2011</v>
      </c>
      <c r="B24" s="20" t="s">
        <v>47</v>
      </c>
      <c r="C24" s="16">
        <v>2.7424242423999998</v>
      </c>
      <c r="D24" s="16">
        <v>2.4090909091000001</v>
      </c>
      <c r="E24" s="16">
        <v>1.1363636364</v>
      </c>
      <c r="G24" s="35">
        <v>26656</v>
      </c>
      <c r="H24" s="33">
        <v>40958</v>
      </c>
      <c r="I24" s="12">
        <v>40749</v>
      </c>
      <c r="J24" s="21">
        <v>2</v>
      </c>
      <c r="K24" s="21">
        <v>2.61</v>
      </c>
      <c r="L24" s="21">
        <v>1.34</v>
      </c>
      <c r="M24" s="1">
        <f>+(I24-H23)/365</f>
        <v>0.41917808219178082</v>
      </c>
      <c r="N24" s="1">
        <f>+(I24-I23)/365</f>
        <v>1.0164383561643835</v>
      </c>
      <c r="O24">
        <f t="shared" si="0"/>
        <v>3.2994459988741176</v>
      </c>
      <c r="P24" s="39">
        <v>3.2994459988741176</v>
      </c>
      <c r="Q24">
        <f t="shared" si="8"/>
        <v>4.7533696108951862</v>
      </c>
      <c r="R24">
        <f t="shared" si="16"/>
        <v>2.315118371107979</v>
      </c>
      <c r="S24">
        <f t="shared" si="17"/>
        <v>1.8746812903950478</v>
      </c>
      <c r="T24">
        <f t="shared" si="13"/>
        <v>8.9431692723982135</v>
      </c>
      <c r="U24">
        <f t="shared" si="9"/>
        <v>0.30251261612393027</v>
      </c>
      <c r="V24">
        <f t="shared" si="9"/>
        <v>1.5831360113964048E-3</v>
      </c>
      <c r="W24">
        <f t="shared" si="9"/>
        <v>0.25060566135854834</v>
      </c>
      <c r="X24">
        <v>10</v>
      </c>
      <c r="Y24">
        <f t="shared" si="10"/>
        <v>5.5470141349387507</v>
      </c>
      <c r="AA24">
        <f t="shared" si="1"/>
        <v>2011</v>
      </c>
      <c r="AB24" s="5">
        <f t="shared" si="14"/>
        <v>108885.41566521021</v>
      </c>
      <c r="AC24" s="5">
        <f t="shared" si="11"/>
        <v>186937.78579807736</v>
      </c>
      <c r="AD24" s="5">
        <f>+AC24+AB24</f>
        <v>295823.20146328758</v>
      </c>
      <c r="AE24" s="5">
        <f>+AD24*0.2</f>
        <v>59164.640292657517</v>
      </c>
      <c r="AF24" s="5"/>
      <c r="AG24" s="5"/>
      <c r="AH24" s="15">
        <f t="shared" si="15"/>
        <v>2.5971278889420413E-2</v>
      </c>
      <c r="AI24">
        <f t="shared" si="12"/>
        <v>69572.160000000003</v>
      </c>
    </row>
    <row r="25" spans="1:38" x14ac:dyDescent="0.25">
      <c r="A25">
        <v>2012</v>
      </c>
      <c r="B25" s="31" t="s">
        <v>61</v>
      </c>
      <c r="C25" s="32">
        <v>3.72</v>
      </c>
      <c r="D25" s="32">
        <v>4.22</v>
      </c>
      <c r="E25" s="32">
        <v>1.78</v>
      </c>
      <c r="G25" s="49">
        <v>40612</v>
      </c>
      <c r="H25" s="47">
        <v>41325</v>
      </c>
      <c r="I25" s="33">
        <v>41121</v>
      </c>
      <c r="J25" s="34">
        <v>2.2988723913000002</v>
      </c>
      <c r="K25" s="34">
        <v>2.8652219709</v>
      </c>
      <c r="L25" s="34">
        <v>1.3854053273</v>
      </c>
      <c r="M25" s="1">
        <f>+(I25-H24)/365</f>
        <v>0.44657534246575342</v>
      </c>
      <c r="N25" s="1">
        <f>+(I25-I24)/365</f>
        <v>1.0191780821917809</v>
      </c>
      <c r="O25">
        <f t="shared" si="0"/>
        <v>3.2874598498660403</v>
      </c>
      <c r="P25" s="39">
        <v>3.2874598498660403</v>
      </c>
      <c r="Q25">
        <f>+O27</f>
        <v>4.9875096058028641</v>
      </c>
      <c r="R25">
        <f t="shared" si="16"/>
        <v>3.3474517753572735</v>
      </c>
      <c r="S25">
        <f t="shared" si="17"/>
        <v>1.7222814235373758</v>
      </c>
      <c r="T25">
        <f t="shared" si="13"/>
        <v>10.057242804697514</v>
      </c>
      <c r="U25">
        <f t="shared" si="9"/>
        <v>8.5973886770086924E-2</v>
      </c>
      <c r="V25">
        <f t="shared" si="9"/>
        <v>5.3655114069545505E-2</v>
      </c>
      <c r="W25">
        <f t="shared" si="9"/>
        <v>1.086595190097115E-3</v>
      </c>
      <c r="X25">
        <v>10</v>
      </c>
      <c r="Y25">
        <f>+SUM(U25:W25)*X25</f>
        <v>1.4071559602972954</v>
      </c>
      <c r="AA25">
        <f t="shared" si="1"/>
        <v>2012</v>
      </c>
      <c r="AB25" s="5">
        <f>+(Q25/O$2)*L25</f>
        <v>118120.13321799401</v>
      </c>
      <c r="AC25" s="35">
        <f>+((R25+S25)/O$2)*K25</f>
        <v>248317.14538953593</v>
      </c>
      <c r="AD25" s="35">
        <f>+AC25+AB25</f>
        <v>366437.27860752994</v>
      </c>
      <c r="AE25" s="5">
        <f>+AD25*0.2</f>
        <v>73287.45572150599</v>
      </c>
      <c r="AF25" s="2"/>
      <c r="AH25" s="15">
        <f t="shared" si="15"/>
        <v>0.32834110733374194</v>
      </c>
      <c r="AI25">
        <f t="shared" si="12"/>
        <v>116362.3946821908</v>
      </c>
    </row>
    <row r="26" spans="1:38" x14ac:dyDescent="0.25">
      <c r="A26">
        <v>2013</v>
      </c>
      <c r="B26" s="46" t="s">
        <v>73</v>
      </c>
      <c r="C26" s="48">
        <v>4.4363636364000003</v>
      </c>
      <c r="D26" s="48">
        <v>4.7090909091000004</v>
      </c>
      <c r="E26" s="48">
        <v>2.0727272726999999</v>
      </c>
      <c r="H26" s="4"/>
      <c r="I26" s="47">
        <v>41488</v>
      </c>
      <c r="J26" s="50">
        <v>2.2443143857000001</v>
      </c>
      <c r="K26" s="50">
        <v>2.8049139460000001</v>
      </c>
      <c r="L26" s="48">
        <v>1.387332271</v>
      </c>
      <c r="M26" s="1">
        <f>+(I26-H25)/365</f>
        <v>0.44657534246575342</v>
      </c>
      <c r="N26" s="1">
        <f>+(I26-I25)/365</f>
        <v>1.0054794520547945</v>
      </c>
      <c r="O26">
        <f t="shared" si="0"/>
        <v>4.7533696108951862</v>
      </c>
      <c r="P26" s="39">
        <v>4.7533696108951862</v>
      </c>
      <c r="Q26">
        <f>+O28</f>
        <v>4.4363335491074807</v>
      </c>
      <c r="R26">
        <f>+Q25*O$3</f>
        <v>3.5123395088588651</v>
      </c>
      <c r="S26">
        <f>+(R25+S25)*EXP(P$7*N26)-O$2*G25*EXP(M26*P$7)</f>
        <v>1.6717640508723441</v>
      </c>
      <c r="T26">
        <f>SUM(Q26:S26)</f>
        <v>9.62043710883869</v>
      </c>
      <c r="U26">
        <f>+(LN(Q26)-LN(C26))^2</f>
        <v>4.599545173209688E-11</v>
      </c>
      <c r="V26">
        <f>+(LN(R26)-LN(D26))^2</f>
        <v>8.5973590259544888E-2</v>
      </c>
      <c r="W26">
        <f>+(LN(S26)-LN(E26))^2</f>
        <v>4.6218927027285868E-2</v>
      </c>
      <c r="X26">
        <v>10</v>
      </c>
      <c r="Y26">
        <f>+SUM(U26:W26)*X26</f>
        <v>1.3219251733282622</v>
      </c>
      <c r="AA26">
        <f t="shared" si="1"/>
        <v>2013</v>
      </c>
      <c r="AB26" s="5">
        <f>+(Q26/O$2)*L26</f>
        <v>105212.66220540843</v>
      </c>
      <c r="AC26" s="35">
        <f>+((R26+S26)/O$2)*K26</f>
        <v>248574.48025274882</v>
      </c>
      <c r="AD26" s="35">
        <f>+AC26+AB26</f>
        <v>353787.14245815726</v>
      </c>
      <c r="AE26" s="5">
        <f>+AD26*0.2</f>
        <v>70757.42849163145</v>
      </c>
    </row>
    <row r="27" spans="1:38" x14ac:dyDescent="0.25">
      <c r="B27" s="9"/>
      <c r="H27" s="4"/>
      <c r="I27" s="4"/>
      <c r="M27" s="1"/>
      <c r="O27">
        <f t="shared" si="0"/>
        <v>4.9875096058028641</v>
      </c>
      <c r="P27" s="30">
        <v>4.9875096058028641</v>
      </c>
      <c r="AB27" s="14"/>
      <c r="AD27" s="5"/>
      <c r="AE27" s="5"/>
      <c r="AF27" s="10"/>
    </row>
    <row r="28" spans="1:38" x14ac:dyDescent="0.25">
      <c r="B28" s="9"/>
      <c r="H28" s="4"/>
      <c r="I28" s="4"/>
      <c r="O28">
        <f>+P28</f>
        <v>4.4363335491074807</v>
      </c>
      <c r="P28" s="30">
        <v>4.4363335491074807</v>
      </c>
      <c r="AB28" s="14"/>
      <c r="AD28" s="5"/>
      <c r="AE28" s="5"/>
      <c r="AF28" s="10"/>
    </row>
    <row r="29" spans="1:38" x14ac:dyDescent="0.25">
      <c r="H29" s="4"/>
      <c r="I29" s="4"/>
      <c r="O29" s="43"/>
      <c r="P29" s="43"/>
      <c r="AB29" s="14"/>
      <c r="AD29" s="5"/>
      <c r="AE29" s="5"/>
      <c r="AF29" s="10"/>
    </row>
    <row r="30" spans="1:38" x14ac:dyDescent="0.25">
      <c r="H30" s="4"/>
      <c r="I30" s="4"/>
      <c r="O30" s="43"/>
      <c r="P30" s="43"/>
      <c r="AA30">
        <v>2011</v>
      </c>
      <c r="AB30" s="51">
        <v>94545.286570574826</v>
      </c>
      <c r="AC30" s="52">
        <v>177383.94427137644</v>
      </c>
      <c r="AD30" s="52">
        <v>271929.23084195127</v>
      </c>
      <c r="AE30" s="5"/>
    </row>
    <row r="31" spans="1:38" x14ac:dyDescent="0.25">
      <c r="H31" s="4"/>
      <c r="I31" s="4"/>
      <c r="O31" s="43"/>
      <c r="P31" s="43"/>
      <c r="AA31">
        <v>2012</v>
      </c>
      <c r="AB31" s="52">
        <v>87911.450684043491</v>
      </c>
      <c r="AC31" s="52">
        <v>213311.80617087014</v>
      </c>
      <c r="AD31" s="52">
        <v>301223.25685491366</v>
      </c>
    </row>
    <row r="32" spans="1:38" x14ac:dyDescent="0.25">
      <c r="H32" s="4"/>
      <c r="I32" s="4"/>
      <c r="O32" s="43"/>
      <c r="P32" s="43"/>
      <c r="AB32" s="13"/>
      <c r="AD32" s="13"/>
      <c r="AE32" s="13"/>
      <c r="AF32" s="13"/>
    </row>
    <row r="33" spans="8:32" x14ac:dyDescent="0.25">
      <c r="H33" s="4"/>
      <c r="I33" s="4"/>
      <c r="AB33" s="14"/>
      <c r="AD33" s="19"/>
      <c r="AE33" s="19"/>
      <c r="AF33" s="7"/>
    </row>
    <row r="34" spans="8:32" x14ac:dyDescent="0.25">
      <c r="H34" s="4"/>
      <c r="I34" s="4"/>
      <c r="AB34" s="14"/>
      <c r="AD34" s="19"/>
      <c r="AE34" s="19"/>
      <c r="AF34" s="7"/>
    </row>
    <row r="35" spans="8:32" x14ac:dyDescent="0.25">
      <c r="H35" s="4"/>
      <c r="I35" s="4"/>
      <c r="AB35" s="14"/>
      <c r="AD35" s="19"/>
      <c r="AE35" s="19"/>
      <c r="AF35" s="7"/>
    </row>
    <row r="36" spans="8:32" x14ac:dyDescent="0.25">
      <c r="H36" s="4"/>
      <c r="I36" s="4"/>
      <c r="AB36" s="14"/>
      <c r="AC36" s="15"/>
      <c r="AD36" s="19"/>
      <c r="AE36" s="19"/>
      <c r="AF36" s="7"/>
    </row>
    <row r="37" spans="8:32" x14ac:dyDescent="0.25">
      <c r="H37" s="4"/>
      <c r="I37" s="4"/>
    </row>
    <row r="38" spans="8:32" x14ac:dyDescent="0.25">
      <c r="H38" s="4"/>
      <c r="I38" s="4"/>
    </row>
    <row r="39" spans="8:32" x14ac:dyDescent="0.25">
      <c r="H39" s="4"/>
      <c r="I39" s="4"/>
    </row>
    <row r="40" spans="8:32" x14ac:dyDescent="0.25">
      <c r="H40" s="4"/>
      <c r="I40" s="4"/>
    </row>
    <row r="41" spans="8:32" x14ac:dyDescent="0.25">
      <c r="H41" s="4"/>
      <c r="I41" s="4"/>
    </row>
    <row r="42" spans="8:32" x14ac:dyDescent="0.25">
      <c r="H42" s="4"/>
      <c r="I42" s="4"/>
    </row>
    <row r="43" spans="8:32" x14ac:dyDescent="0.25">
      <c r="H43" s="4"/>
      <c r="I43" s="4"/>
    </row>
    <row r="44" spans="8:32" x14ac:dyDescent="0.25">
      <c r="H44" s="4"/>
      <c r="I44" s="4"/>
    </row>
    <row r="45" spans="8:32" x14ac:dyDescent="0.25">
      <c r="H45" s="4"/>
      <c r="I45" s="4"/>
    </row>
    <row r="46" spans="8:32" x14ac:dyDescent="0.25">
      <c r="H46" s="4"/>
      <c r="I46" s="4"/>
    </row>
    <row r="47" spans="8:32" x14ac:dyDescent="0.25">
      <c r="H47" s="4"/>
      <c r="I47" s="4"/>
    </row>
    <row r="48" spans="8:32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</sheetData>
  <mergeCells count="18">
    <mergeCell ref="A7:A8"/>
    <mergeCell ref="B7:B8"/>
    <mergeCell ref="C7:C8"/>
    <mergeCell ref="D7:D8"/>
    <mergeCell ref="E7:E8"/>
    <mergeCell ref="G7:G8"/>
    <mergeCell ref="H7:H8"/>
    <mergeCell ref="I7:I8"/>
    <mergeCell ref="J7:J8"/>
    <mergeCell ref="K7:K8"/>
    <mergeCell ref="L7:L8"/>
    <mergeCell ref="M7:M8"/>
    <mergeCell ref="N7:N8"/>
    <mergeCell ref="AB7:AB8"/>
    <mergeCell ref="AC7:AC8"/>
    <mergeCell ref="AD7:AD8"/>
    <mergeCell ref="AE7:AE8"/>
    <mergeCell ref="AI7:AI8"/>
  </mergeCell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Estimates 3 Stage</vt:lpstr>
      <vt:lpstr>parameter history</vt:lpstr>
      <vt:lpstr>CSA Results</vt:lpstr>
      <vt:lpstr>Estimates 3 S_OLD CATCH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State of Alaska</dc:creator>
  <cp:lastModifiedBy>Palof, Katie J (DFG)</cp:lastModifiedBy>
  <cp:lastPrinted>2005-08-17T19:42:07Z</cp:lastPrinted>
  <dcterms:created xsi:type="dcterms:W3CDTF">2005-07-11T22:59:37Z</dcterms:created>
  <dcterms:modified xsi:type="dcterms:W3CDTF">2021-11-04T04:52:14Z</dcterms:modified>
</cp:coreProperties>
</file>