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jpalof\Documents\Current projects\Tanner\2021-2022\CSA estimates\"/>
    </mc:Choice>
  </mc:AlternateContent>
  <xr:revisionPtr revIDLastSave="0" documentId="13_ncr:1_{2A901413-787B-4572-BE56-BCC8B44FC335}" xr6:coauthVersionLast="47" xr6:coauthVersionMax="47" xr10:uidLastSave="{00000000-0000-0000-0000-000000000000}"/>
  <bookViews>
    <workbookView xWindow="-108" yWindow="-108" windowWidth="23256" windowHeight="12576" tabRatio="601" xr2:uid="{00000000-000D-0000-FFFF-FFFF00000000}"/>
  </bookViews>
  <sheets>
    <sheet name="Estimates 3S_strata_RC_ONLY" sheetId="45" r:id="rId1"/>
    <sheet name="compare" sheetId="46" r:id="rId2"/>
    <sheet name="parameter_history" sheetId="21" r:id="rId3"/>
    <sheet name="Estimates 3S_strata_TC&amp;RC" sheetId="12" r:id="rId4"/>
    <sheet name="read me" sheetId="20" r:id="rId5"/>
    <sheet name="Estimates 3 original_NOT USE" sheetId="44" r:id="rId6"/>
    <sheet name="CSA Results" sheetId="19" r:id="rId7"/>
  </sheets>
  <definedNames>
    <definedName name="solver_adj" localSheetId="5" hidden="1">'Estimates 3 original_NOT USE'!$P$9:$P$27,'Estimates 3 original_NOT USE'!$P$2:$P$3</definedName>
    <definedName name="solver_adj" localSheetId="0" hidden="1">'Estimates 3S_strata_RC_ONLY'!$P$8:$P$34,'Estimates 3S_strata_RC_ONLY'!$P$2:$P$3</definedName>
    <definedName name="solver_adj" localSheetId="3" hidden="1">'Estimates 3S_strata_TC&amp;RC'!$P$8:$P$27,'Estimates 3S_strata_TC&amp;RC'!$P$2:$P$3</definedName>
    <definedName name="solver_cvg" localSheetId="5" hidden="1">0.0001</definedName>
    <definedName name="solver_cvg" localSheetId="0" hidden="1">0.0001</definedName>
    <definedName name="solver_cvg" localSheetId="3" hidden="1">0.0001</definedName>
    <definedName name="solver_drv" localSheetId="5" hidden="1">1</definedName>
    <definedName name="solver_drv" localSheetId="0" hidden="1">1</definedName>
    <definedName name="solver_drv" localSheetId="3" hidden="1">1</definedName>
    <definedName name="solver_eng" localSheetId="5" hidden="1">1</definedName>
    <definedName name="solver_eng" localSheetId="0" hidden="1">1</definedName>
    <definedName name="solver_eng" localSheetId="3" hidden="1">1</definedName>
    <definedName name="solver_est" localSheetId="5" hidden="1">1</definedName>
    <definedName name="solver_est" localSheetId="0" hidden="1">1</definedName>
    <definedName name="solver_est" localSheetId="3" hidden="1">1</definedName>
    <definedName name="solver_itr" localSheetId="5" hidden="1">100</definedName>
    <definedName name="solver_itr" localSheetId="0" hidden="1">100</definedName>
    <definedName name="solver_itr" localSheetId="3" hidden="1">100</definedName>
    <definedName name="solver_lhs1" localSheetId="5" hidden="1">'Estimates 3 original_NOT USE'!$P$10:$P$25</definedName>
    <definedName name="solver_lhs1" localSheetId="0" hidden="1">'Estimates 3S_strata_RC_ONLY'!$P$8:$P$23</definedName>
    <definedName name="solver_lhs1" localSheetId="3" hidden="1">'Estimates 3S_strata_TC&amp;RC'!$P$8:$P$23</definedName>
    <definedName name="solver_lhs2" localSheetId="5" hidden="1">'Estimates 3 original_NOT USE'!$P$27</definedName>
    <definedName name="solver_lhs2" localSheetId="0" hidden="1">'Estimates 3S_strata_RC_ONLY'!$P$25</definedName>
    <definedName name="solver_lhs2" localSheetId="3" hidden="1">'Estimates 3S_strata_TC&amp;RC'!$P$25</definedName>
    <definedName name="solver_lin" localSheetId="5" hidden="1">2</definedName>
    <definedName name="solver_lin" localSheetId="0" hidden="1">2</definedName>
    <definedName name="solver_lin" localSheetId="3" hidden="1">2</definedName>
    <definedName name="solver_mip" localSheetId="5" hidden="1">2147483647</definedName>
    <definedName name="solver_mip" localSheetId="0" hidden="1">2147483647</definedName>
    <definedName name="solver_mip" localSheetId="3" hidden="1">2147483647</definedName>
    <definedName name="solver_mni" localSheetId="5" hidden="1">30</definedName>
    <definedName name="solver_mni" localSheetId="0" hidden="1">30</definedName>
    <definedName name="solver_mni" localSheetId="3" hidden="1">30</definedName>
    <definedName name="solver_mrt" localSheetId="5" hidden="1">0.075</definedName>
    <definedName name="solver_mrt" localSheetId="0" hidden="1">0.075</definedName>
    <definedName name="solver_mrt" localSheetId="3" hidden="1">0.075</definedName>
    <definedName name="solver_msl" localSheetId="5" hidden="1">2</definedName>
    <definedName name="solver_msl" localSheetId="0" hidden="1">2</definedName>
    <definedName name="solver_msl" localSheetId="3" hidden="1">2</definedName>
    <definedName name="solver_neg" localSheetId="5" hidden="1">2</definedName>
    <definedName name="solver_neg" localSheetId="0" hidden="1">2</definedName>
    <definedName name="solver_neg" localSheetId="3" hidden="1">2</definedName>
    <definedName name="solver_nod" localSheetId="5" hidden="1">2147483647</definedName>
    <definedName name="solver_nod" localSheetId="0" hidden="1">2147483647</definedName>
    <definedName name="solver_nod" localSheetId="3" hidden="1">2147483647</definedName>
    <definedName name="solver_num" localSheetId="5" hidden="1">0</definedName>
    <definedName name="solver_num" localSheetId="0" hidden="1">0</definedName>
    <definedName name="solver_num" localSheetId="3" hidden="1">0</definedName>
    <definedName name="solver_nwt" localSheetId="5" hidden="1">1</definedName>
    <definedName name="solver_nwt" localSheetId="0" hidden="1">1</definedName>
    <definedName name="solver_nwt" localSheetId="3" hidden="1">1</definedName>
    <definedName name="solver_opt" localSheetId="5" hidden="1">'Estimates 3 original_NOT USE'!$S$2</definedName>
    <definedName name="solver_opt" localSheetId="0" hidden="1">'Estimates 3S_strata_RC_ONLY'!$S$2</definedName>
    <definedName name="solver_opt" localSheetId="3" hidden="1">'Estimates 3S_strata_TC&amp;RC'!$S$2</definedName>
    <definedName name="solver_pre" localSheetId="5" hidden="1">0.000001</definedName>
    <definedName name="solver_pre" localSheetId="0" hidden="1">0.000001</definedName>
    <definedName name="solver_pre" localSheetId="3" hidden="1">0.000001</definedName>
    <definedName name="solver_rbv" localSheetId="5" hidden="1">1</definedName>
    <definedName name="solver_rbv" localSheetId="0" hidden="1">1</definedName>
    <definedName name="solver_rbv" localSheetId="3" hidden="1">1</definedName>
    <definedName name="solver_rel1" localSheetId="5" hidden="1">3</definedName>
    <definedName name="solver_rel1" localSheetId="0" hidden="1">3</definedName>
    <definedName name="solver_rel1" localSheetId="3" hidden="1">3</definedName>
    <definedName name="solver_rel2" localSheetId="5" hidden="1">1</definedName>
    <definedName name="solver_rel2" localSheetId="0" hidden="1">1</definedName>
    <definedName name="solver_rel2" localSheetId="3" hidden="1">1</definedName>
    <definedName name="solver_rhs1" localSheetId="5" hidden="1">0.1</definedName>
    <definedName name="solver_rhs1" localSheetId="0" hidden="1">0.1</definedName>
    <definedName name="solver_rhs1" localSheetId="3" hidden="1">0.1</definedName>
    <definedName name="solver_rhs2" localSheetId="5" hidden="1">74</definedName>
    <definedName name="solver_rhs2" localSheetId="0" hidden="1">74</definedName>
    <definedName name="solver_rhs2" localSheetId="3" hidden="1">74</definedName>
    <definedName name="solver_rlx" localSheetId="5" hidden="1">1</definedName>
    <definedName name="solver_rlx" localSheetId="0" hidden="1">1</definedName>
    <definedName name="solver_rlx" localSheetId="3" hidden="1">1</definedName>
    <definedName name="solver_rsd" localSheetId="5" hidden="1">0</definedName>
    <definedName name="solver_rsd" localSheetId="0" hidden="1">0</definedName>
    <definedName name="solver_rsd" localSheetId="3" hidden="1">0</definedName>
    <definedName name="solver_scl" localSheetId="5" hidden="1">2</definedName>
    <definedName name="solver_scl" localSheetId="0" hidden="1">2</definedName>
    <definedName name="solver_scl" localSheetId="3" hidden="1">2</definedName>
    <definedName name="solver_sho" localSheetId="5" hidden="1">2</definedName>
    <definedName name="solver_sho" localSheetId="0" hidden="1">2</definedName>
    <definedName name="solver_sho" localSheetId="3" hidden="1">2</definedName>
    <definedName name="solver_ssz" localSheetId="5" hidden="1">100</definedName>
    <definedName name="solver_ssz" localSheetId="0" hidden="1">100</definedName>
    <definedName name="solver_ssz" localSheetId="3" hidden="1">100</definedName>
    <definedName name="solver_tim" localSheetId="5" hidden="1">100</definedName>
    <definedName name="solver_tim" localSheetId="0" hidden="1">100</definedName>
    <definedName name="solver_tim" localSheetId="3" hidden="1">100</definedName>
    <definedName name="solver_tol" localSheetId="5" hidden="1">0.05</definedName>
    <definedName name="solver_tol" localSheetId="0" hidden="1">0.05</definedName>
    <definedName name="solver_tol" localSheetId="3" hidden="1">0.05</definedName>
    <definedName name="solver_typ" localSheetId="5" hidden="1">2</definedName>
    <definedName name="solver_typ" localSheetId="0" hidden="1">2</definedName>
    <definedName name="solver_typ" localSheetId="3" hidden="1">2</definedName>
    <definedName name="solver_val" localSheetId="5" hidden="1">0</definedName>
    <definedName name="solver_val" localSheetId="0" hidden="1">0</definedName>
    <definedName name="solver_val" localSheetId="3" hidden="1">0</definedName>
    <definedName name="solver_ver" localSheetId="5" hidden="1">3</definedName>
    <definedName name="solver_ver" localSheetId="0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4" i="45" l="1"/>
  <c r="AH34" i="45"/>
  <c r="AI34" i="45"/>
  <c r="AB44" i="45"/>
  <c r="AC44" i="45"/>
  <c r="AD44" i="45"/>
  <c r="M34" i="45"/>
  <c r="N34" i="45"/>
  <c r="O34" i="45"/>
  <c r="Q34" i="45" s="1"/>
  <c r="AA34" i="45"/>
  <c r="U34" i="45" l="1"/>
  <c r="M33" i="45"/>
  <c r="N33" i="45"/>
  <c r="O33" i="45"/>
  <c r="Q33" i="45" s="1"/>
  <c r="AA33" i="45"/>
  <c r="U33" i="45" l="1"/>
  <c r="M32" i="45"/>
  <c r="N32" i="45"/>
  <c r="O32" i="45"/>
  <c r="Q32" i="45" s="1"/>
  <c r="AA32" i="45"/>
  <c r="U32" i="45" l="1"/>
  <c r="M31" i="45"/>
  <c r="N31" i="45"/>
  <c r="O31" i="45"/>
  <c r="Q31" i="45" s="1"/>
  <c r="U31" i="45" l="1"/>
  <c r="AA31" i="45"/>
  <c r="K10" i="21" l="1"/>
  <c r="L10" i="21"/>
  <c r="F9" i="21"/>
  <c r="G9" i="21"/>
  <c r="F10" i="21"/>
  <c r="G10" i="21"/>
  <c r="M30" i="45" l="1"/>
  <c r="N30" i="45"/>
  <c r="O30" i="45"/>
  <c r="Q30" i="45" s="1"/>
  <c r="U30" i="45" l="1"/>
  <c r="AA30" i="45"/>
  <c r="K9" i="21" l="1"/>
  <c r="L9" i="21"/>
  <c r="L8" i="21"/>
  <c r="L7" i="21"/>
  <c r="K7" i="21"/>
  <c r="K6" i="21"/>
  <c r="K5" i="21"/>
  <c r="K8" i="21" l="1"/>
  <c r="M29" i="45" l="1"/>
  <c r="N29" i="45"/>
  <c r="O29" i="45"/>
  <c r="Q29" i="45" s="1"/>
  <c r="AA29" i="45"/>
  <c r="U29" i="45" l="1"/>
  <c r="M28" i="45"/>
  <c r="N28" i="45"/>
  <c r="O28" i="45"/>
  <c r="Q28" i="45" s="1"/>
  <c r="AA28" i="45"/>
  <c r="U28" i="45" l="1"/>
  <c r="L10" i="46"/>
  <c r="Q10" i="46" s="1"/>
  <c r="M10" i="46"/>
  <c r="R10" i="46" s="1"/>
  <c r="N10" i="46"/>
  <c r="S10" i="46" s="1"/>
  <c r="L11" i="46"/>
  <c r="M11" i="46"/>
  <c r="R11" i="46" s="1"/>
  <c r="N11" i="46"/>
  <c r="S11" i="46" s="1"/>
  <c r="L12" i="46"/>
  <c r="Q12" i="46" s="1"/>
  <c r="M12" i="46"/>
  <c r="R12" i="46" s="1"/>
  <c r="N12" i="46"/>
  <c r="S12" i="46" s="1"/>
  <c r="L13" i="46"/>
  <c r="Q13" i="46" s="1"/>
  <c r="M13" i="46"/>
  <c r="N13" i="46"/>
  <c r="S13" i="46" s="1"/>
  <c r="L14" i="46"/>
  <c r="Q14" i="46" s="1"/>
  <c r="M14" i="46"/>
  <c r="R14" i="46" s="1"/>
  <c r="N14" i="46"/>
  <c r="S14" i="46" s="1"/>
  <c r="L15" i="46"/>
  <c r="Q15" i="46" s="1"/>
  <c r="M15" i="46"/>
  <c r="R15" i="46" s="1"/>
  <c r="N15" i="46"/>
  <c r="S15" i="46" s="1"/>
  <c r="L16" i="46"/>
  <c r="Q16" i="46" s="1"/>
  <c r="M16" i="46"/>
  <c r="R16" i="46" s="1"/>
  <c r="N16" i="46"/>
  <c r="S16" i="46" s="1"/>
  <c r="L17" i="46"/>
  <c r="Q17" i="46" s="1"/>
  <c r="M17" i="46"/>
  <c r="R17" i="46" s="1"/>
  <c r="N17" i="46"/>
  <c r="S17" i="46" s="1"/>
  <c r="L18" i="46"/>
  <c r="M18" i="46"/>
  <c r="R18" i="46" s="1"/>
  <c r="N18" i="46"/>
  <c r="S18" i="46" s="1"/>
  <c r="L19" i="46"/>
  <c r="Q19" i="46" s="1"/>
  <c r="M19" i="46"/>
  <c r="R19" i="46" s="1"/>
  <c r="N19" i="46"/>
  <c r="S19" i="46" s="1"/>
  <c r="L20" i="46"/>
  <c r="Q20" i="46" s="1"/>
  <c r="M20" i="46"/>
  <c r="R20" i="46" s="1"/>
  <c r="N20" i="46"/>
  <c r="S20" i="46" s="1"/>
  <c r="L21" i="46"/>
  <c r="Q21" i="46" s="1"/>
  <c r="M21" i="46"/>
  <c r="R21" i="46" s="1"/>
  <c r="N21" i="46"/>
  <c r="S21" i="46" s="1"/>
  <c r="L22" i="46"/>
  <c r="Q22" i="46" s="1"/>
  <c r="M22" i="46"/>
  <c r="R22" i="46" s="1"/>
  <c r="N22" i="46"/>
  <c r="S22" i="46" s="1"/>
  <c r="L23" i="46"/>
  <c r="Q23" i="46" s="1"/>
  <c r="M23" i="46"/>
  <c r="R23" i="46" s="1"/>
  <c r="N23" i="46"/>
  <c r="S23" i="46" s="1"/>
  <c r="L24" i="46"/>
  <c r="Q24" i="46" s="1"/>
  <c r="M24" i="46"/>
  <c r="R24" i="46" s="1"/>
  <c r="N24" i="46"/>
  <c r="S24" i="46" s="1"/>
  <c r="L25" i="46"/>
  <c r="Q25" i="46" s="1"/>
  <c r="M25" i="46"/>
  <c r="R25" i="46" s="1"/>
  <c r="N25" i="46"/>
  <c r="S25" i="46" s="1"/>
  <c r="L26" i="46"/>
  <c r="Q26" i="46" s="1"/>
  <c r="M26" i="46"/>
  <c r="R26" i="46" s="1"/>
  <c r="N26" i="46"/>
  <c r="M9" i="46"/>
  <c r="R9" i="46" s="1"/>
  <c r="N9" i="46"/>
  <c r="S9" i="46" s="1"/>
  <c r="L9" i="46"/>
  <c r="Q9" i="46" s="1"/>
  <c r="Q11" i="46"/>
  <c r="Q18" i="46"/>
  <c r="R13" i="46"/>
  <c r="S26" i="46"/>
  <c r="Q28" i="46" l="1"/>
  <c r="AB37" i="45" s="1"/>
  <c r="R28" i="46"/>
  <c r="AC37" i="45" s="1"/>
  <c r="S28" i="46"/>
  <c r="AD37" i="45" s="1"/>
  <c r="AA27" i="45" l="1"/>
  <c r="O27" i="45"/>
  <c r="Q27" i="45" s="1"/>
  <c r="N27" i="45"/>
  <c r="M27" i="45"/>
  <c r="AA26" i="45"/>
  <c r="O26" i="45"/>
  <c r="Q26" i="45" s="1"/>
  <c r="N26" i="45"/>
  <c r="M26" i="45"/>
  <c r="AM25" i="45"/>
  <c r="AA25" i="45"/>
  <c r="O25" i="45"/>
  <c r="Q25" i="45" s="1"/>
  <c r="N25" i="45"/>
  <c r="M25" i="45"/>
  <c r="AM24" i="45"/>
  <c r="AA24" i="45"/>
  <c r="O24" i="45"/>
  <c r="Q24" i="45" s="1"/>
  <c r="N24" i="45"/>
  <c r="M24" i="45"/>
  <c r="AM23" i="45"/>
  <c r="AA23" i="45"/>
  <c r="O23" i="45"/>
  <c r="Q23" i="45" s="1"/>
  <c r="N23" i="45"/>
  <c r="M23" i="45"/>
  <c r="AM22" i="45"/>
  <c r="AA22" i="45"/>
  <c r="O22" i="45"/>
  <c r="Q22" i="45" s="1"/>
  <c r="N22" i="45"/>
  <c r="M22" i="45"/>
  <c r="AM21" i="45"/>
  <c r="AA21" i="45"/>
  <c r="O21" i="45"/>
  <c r="Q21" i="45" s="1"/>
  <c r="N21" i="45"/>
  <c r="M21" i="45"/>
  <c r="AM20" i="45"/>
  <c r="AA20" i="45"/>
  <c r="O20" i="45"/>
  <c r="Q20" i="45" s="1"/>
  <c r="N20" i="45"/>
  <c r="M20" i="45"/>
  <c r="AM19" i="45"/>
  <c r="AA19" i="45"/>
  <c r="O19" i="45"/>
  <c r="Q19" i="45" s="1"/>
  <c r="N19" i="45"/>
  <c r="M19" i="45"/>
  <c r="AP18" i="45"/>
  <c r="AM18" i="45"/>
  <c r="AA18" i="45"/>
  <c r="O18" i="45"/>
  <c r="Q18" i="45" s="1"/>
  <c r="N18" i="45"/>
  <c r="M18" i="45"/>
  <c r="AP17" i="45"/>
  <c r="AM17" i="45"/>
  <c r="AA17" i="45"/>
  <c r="O17" i="45"/>
  <c r="Q17" i="45" s="1"/>
  <c r="N17" i="45"/>
  <c r="M17" i="45"/>
  <c r="AP16" i="45"/>
  <c r="AM16" i="45"/>
  <c r="AA16" i="45"/>
  <c r="O16" i="45"/>
  <c r="Q16" i="45" s="1"/>
  <c r="N16" i="45"/>
  <c r="M16" i="45"/>
  <c r="AP15" i="45"/>
  <c r="AM15" i="45"/>
  <c r="AA15" i="45"/>
  <c r="O15" i="45"/>
  <c r="Q15" i="45" s="1"/>
  <c r="N15" i="45"/>
  <c r="M15" i="45"/>
  <c r="AP14" i="45"/>
  <c r="AM14" i="45"/>
  <c r="AA14" i="45"/>
  <c r="O14" i="45"/>
  <c r="Q14" i="45" s="1"/>
  <c r="N14" i="45"/>
  <c r="M14" i="45"/>
  <c r="AP13" i="45"/>
  <c r="AM13" i="45"/>
  <c r="AA13" i="45"/>
  <c r="O13" i="45"/>
  <c r="Q13" i="45" s="1"/>
  <c r="N13" i="45"/>
  <c r="M13" i="45"/>
  <c r="AP12" i="45"/>
  <c r="AM12" i="45"/>
  <c r="AA12" i="45"/>
  <c r="O12" i="45"/>
  <c r="Q12" i="45" s="1"/>
  <c r="N12" i="45"/>
  <c r="M12" i="45"/>
  <c r="AP11" i="45"/>
  <c r="AM11" i="45"/>
  <c r="AA11" i="45"/>
  <c r="O11" i="45"/>
  <c r="Q11" i="45" s="1"/>
  <c r="N11" i="45"/>
  <c r="M11" i="45"/>
  <c r="AP10" i="45"/>
  <c r="AM10" i="45"/>
  <c r="AA10" i="45"/>
  <c r="O10" i="45"/>
  <c r="Q10" i="45" s="1"/>
  <c r="N10" i="45"/>
  <c r="M10" i="45"/>
  <c r="AP9" i="45"/>
  <c r="AO9" i="45"/>
  <c r="AA9" i="45"/>
  <c r="O9" i="45"/>
  <c r="R10" i="45" s="1"/>
  <c r="O8" i="45"/>
  <c r="S10" i="45" s="1"/>
  <c r="W10" i="45" s="1"/>
  <c r="Q5" i="45"/>
  <c r="O3" i="45"/>
  <c r="O2" i="45"/>
  <c r="R33" i="45" l="1"/>
  <c r="R34" i="45"/>
  <c r="AB33" i="45"/>
  <c r="AB34" i="45"/>
  <c r="R31" i="45"/>
  <c r="R32" i="45"/>
  <c r="AB31" i="45"/>
  <c r="AB41" i="45" s="1"/>
  <c r="AB32" i="45"/>
  <c r="R29" i="45"/>
  <c r="R30" i="45"/>
  <c r="AB29" i="45"/>
  <c r="AB30" i="45"/>
  <c r="R28" i="45"/>
  <c r="V28" i="45" s="1"/>
  <c r="AC9" i="45"/>
  <c r="AB28" i="45"/>
  <c r="AB9" i="45"/>
  <c r="AO10" i="45"/>
  <c r="R13" i="45"/>
  <c r="U12" i="45"/>
  <c r="AB12" i="45"/>
  <c r="AG12" i="45" s="1"/>
  <c r="AB13" i="45"/>
  <c r="AG13" i="45" s="1"/>
  <c r="U13" i="45"/>
  <c r="R14" i="45"/>
  <c r="AB22" i="45"/>
  <c r="AG22" i="45" s="1"/>
  <c r="R23" i="45"/>
  <c r="U22" i="45"/>
  <c r="AB23" i="45"/>
  <c r="AG23" i="45" s="1"/>
  <c r="U23" i="45"/>
  <c r="R24" i="45"/>
  <c r="AB27" i="45"/>
  <c r="AG27" i="45" s="1"/>
  <c r="U27" i="45"/>
  <c r="R22" i="45"/>
  <c r="AB21" i="45"/>
  <c r="AG21" i="45" s="1"/>
  <c r="R15" i="45"/>
  <c r="U14" i="45"/>
  <c r="AB14" i="45"/>
  <c r="AG14" i="45" s="1"/>
  <c r="U21" i="45"/>
  <c r="U26" i="45"/>
  <c r="R27" i="45"/>
  <c r="AB26" i="45"/>
  <c r="AG26" i="45" s="1"/>
  <c r="AB15" i="45"/>
  <c r="AG15" i="45" s="1"/>
  <c r="U15" i="45"/>
  <c r="R16" i="45"/>
  <c r="R26" i="45"/>
  <c r="AB25" i="45"/>
  <c r="AG25" i="45" s="1"/>
  <c r="R11" i="45"/>
  <c r="U10" i="45"/>
  <c r="T10" i="45"/>
  <c r="AB10" i="45"/>
  <c r="AG10" i="45" s="1"/>
  <c r="AB18" i="45"/>
  <c r="AG18" i="45" s="1"/>
  <c r="R19" i="45"/>
  <c r="U18" i="45"/>
  <c r="AB19" i="45"/>
  <c r="AG19" i="45" s="1"/>
  <c r="R20" i="45"/>
  <c r="R21" i="45"/>
  <c r="U20" i="45"/>
  <c r="AB20" i="45"/>
  <c r="AG20" i="45" s="1"/>
  <c r="U25" i="45"/>
  <c r="AC10" i="45"/>
  <c r="V10" i="45"/>
  <c r="AB11" i="45"/>
  <c r="AG11" i="45" s="1"/>
  <c r="U11" i="45"/>
  <c r="R12" i="45"/>
  <c r="U16" i="45"/>
  <c r="AB16" i="45"/>
  <c r="AG16" i="45" s="1"/>
  <c r="R17" i="45"/>
  <c r="U19" i="45"/>
  <c r="U24" i="45"/>
  <c r="R25" i="45"/>
  <c r="AB24" i="45"/>
  <c r="AG24" i="45" s="1"/>
  <c r="S11" i="45"/>
  <c r="R18" i="45"/>
  <c r="AB17" i="45"/>
  <c r="AG17" i="45" s="1"/>
  <c r="U17" i="45"/>
  <c r="F7" i="21"/>
  <c r="G7" i="21"/>
  <c r="F8" i="21"/>
  <c r="G8" i="21"/>
  <c r="V33" i="45" l="1"/>
  <c r="AB43" i="45"/>
  <c r="AG33" i="45"/>
  <c r="V34" i="45"/>
  <c r="AG31" i="45"/>
  <c r="AG32" i="45"/>
  <c r="AB42" i="45"/>
  <c r="V32" i="45"/>
  <c r="V31" i="45"/>
  <c r="AB38" i="45"/>
  <c r="AG28" i="45"/>
  <c r="AB40" i="45"/>
  <c r="AG30" i="45"/>
  <c r="AB39" i="45"/>
  <c r="AG29" i="45"/>
  <c r="AH10" i="45"/>
  <c r="V30" i="45"/>
  <c r="AB3" i="45"/>
  <c r="V29" i="45"/>
  <c r="AD9" i="45"/>
  <c r="AE9" i="45" s="1"/>
  <c r="AO11" i="45"/>
  <c r="W11" i="45"/>
  <c r="V27" i="45"/>
  <c r="V19" i="45"/>
  <c r="V26" i="45"/>
  <c r="V25" i="45"/>
  <c r="V12" i="45"/>
  <c r="V22" i="45"/>
  <c r="V21" i="45"/>
  <c r="V16" i="45"/>
  <c r="V23" i="45"/>
  <c r="V13" i="45"/>
  <c r="V20" i="45"/>
  <c r="V17" i="45"/>
  <c r="Y10" i="45"/>
  <c r="V15" i="45"/>
  <c r="V14" i="45"/>
  <c r="V18" i="45"/>
  <c r="AD10" i="45"/>
  <c r="AI10" i="45" s="1"/>
  <c r="S12" i="45"/>
  <c r="AC12" i="45" s="1"/>
  <c r="AH12" i="45" s="1"/>
  <c r="V11" i="45"/>
  <c r="AC11" i="45"/>
  <c r="AH11" i="45" s="1"/>
  <c r="T11" i="45"/>
  <c r="V24" i="45"/>
  <c r="M27" i="12"/>
  <c r="N27" i="12"/>
  <c r="O27" i="12"/>
  <c r="Q27" i="12" s="1"/>
  <c r="AA27" i="12"/>
  <c r="AE10" i="45" l="1"/>
  <c r="Y11" i="45"/>
  <c r="AL12" i="45"/>
  <c r="AD12" i="45"/>
  <c r="AI12" i="45" s="1"/>
  <c r="AO12" i="45"/>
  <c r="W12" i="45"/>
  <c r="Y12" i="45" s="1"/>
  <c r="T12" i="45"/>
  <c r="AL11" i="45"/>
  <c r="AD11" i="45"/>
  <c r="AI11" i="45" s="1"/>
  <c r="S13" i="45"/>
  <c r="U27" i="12"/>
  <c r="O27" i="44"/>
  <c r="Q25" i="44" s="1"/>
  <c r="O26" i="44"/>
  <c r="Q24" i="44" s="1"/>
  <c r="AI25" i="44"/>
  <c r="AA25" i="44"/>
  <c r="O25" i="44"/>
  <c r="AI24" i="44"/>
  <c r="AA24" i="44"/>
  <c r="O24" i="44"/>
  <c r="Q22" i="44" s="1"/>
  <c r="N24" i="44"/>
  <c r="M24" i="44"/>
  <c r="AI23" i="44"/>
  <c r="AA23" i="44"/>
  <c r="Q23" i="44"/>
  <c r="AB23" i="44" s="1"/>
  <c r="O23" i="44"/>
  <c r="Q21" i="44" s="1"/>
  <c r="N23" i="44"/>
  <c r="M23" i="44"/>
  <c r="AI22" i="44"/>
  <c r="AA22" i="44"/>
  <c r="O22" i="44"/>
  <c r="N22" i="44"/>
  <c r="M22" i="44"/>
  <c r="AI21" i="44"/>
  <c r="AA21" i="44"/>
  <c r="O21" i="44"/>
  <c r="Q19" i="44" s="1"/>
  <c r="N21" i="44"/>
  <c r="M21" i="44"/>
  <c r="AI20" i="44"/>
  <c r="AA20" i="44"/>
  <c r="Q20" i="44"/>
  <c r="O20" i="44"/>
  <c r="Q18" i="44" s="1"/>
  <c r="N20" i="44"/>
  <c r="M20" i="44"/>
  <c r="AI19" i="44"/>
  <c r="AA19" i="44"/>
  <c r="O19" i="44"/>
  <c r="Q17" i="44" s="1"/>
  <c r="N19" i="44"/>
  <c r="M19" i="44"/>
  <c r="AL18" i="44"/>
  <c r="AI18" i="44"/>
  <c r="AA18" i="44"/>
  <c r="O18" i="44"/>
  <c r="Q16" i="44" s="1"/>
  <c r="N18" i="44"/>
  <c r="M18" i="44"/>
  <c r="AL17" i="44"/>
  <c r="AI17" i="44"/>
  <c r="AA17" i="44"/>
  <c r="O17" i="44"/>
  <c r="Q15" i="44" s="1"/>
  <c r="N17" i="44"/>
  <c r="M17" i="44"/>
  <c r="AL16" i="44"/>
  <c r="AI16" i="44"/>
  <c r="AA16" i="44"/>
  <c r="O16" i="44"/>
  <c r="Q14" i="44" s="1"/>
  <c r="N16" i="44"/>
  <c r="M16" i="44"/>
  <c r="AL15" i="44"/>
  <c r="AI15" i="44"/>
  <c r="AA15" i="44"/>
  <c r="O15" i="44"/>
  <c r="Q13" i="44" s="1"/>
  <c r="N15" i="44"/>
  <c r="M15" i="44"/>
  <c r="AL14" i="44"/>
  <c r="AI14" i="44"/>
  <c r="AA14" i="44"/>
  <c r="O14" i="44"/>
  <c r="Q12" i="44" s="1"/>
  <c r="N14" i="44"/>
  <c r="M14" i="44"/>
  <c r="AL13" i="44"/>
  <c r="AI13" i="44"/>
  <c r="AA13" i="44"/>
  <c r="O13" i="44"/>
  <c r="Q11" i="44" s="1"/>
  <c r="N13" i="44"/>
  <c r="M13" i="44"/>
  <c r="AL12" i="44"/>
  <c r="AI12" i="44"/>
  <c r="AA12" i="44"/>
  <c r="O12" i="44"/>
  <c r="Q10" i="44" s="1"/>
  <c r="U10" i="44" s="1"/>
  <c r="N12" i="44"/>
  <c r="M12" i="44"/>
  <c r="AL11" i="44"/>
  <c r="AI11" i="44"/>
  <c r="AA11" i="44"/>
  <c r="O11" i="44"/>
  <c r="R10" i="44" s="1"/>
  <c r="V10" i="44" s="1"/>
  <c r="N11" i="44"/>
  <c r="M11" i="44"/>
  <c r="AL10" i="44"/>
  <c r="AI10" i="44"/>
  <c r="AA10" i="44"/>
  <c r="O10" i="44"/>
  <c r="S10" i="44" s="1"/>
  <c r="N10" i="44"/>
  <c r="M10" i="44"/>
  <c r="AL9" i="44"/>
  <c r="AK9" i="44"/>
  <c r="AB9" i="44"/>
  <c r="AA9" i="44"/>
  <c r="O9" i="44"/>
  <c r="Q7" i="44"/>
  <c r="O3" i="44"/>
  <c r="R11" i="44" s="1"/>
  <c r="O2" i="44"/>
  <c r="AC9" i="44" s="1"/>
  <c r="S11" i="44" l="1"/>
  <c r="AB13" i="44"/>
  <c r="R15" i="44"/>
  <c r="R21" i="44"/>
  <c r="AB15" i="44"/>
  <c r="R13" i="44"/>
  <c r="V13" i="44" s="1"/>
  <c r="AC10" i="44"/>
  <c r="AB18" i="44"/>
  <c r="U17" i="44"/>
  <c r="R18" i="44"/>
  <c r="V18" i="44" s="1"/>
  <c r="U16" i="44"/>
  <c r="R17" i="44"/>
  <c r="V17" i="44" s="1"/>
  <c r="AB16" i="44"/>
  <c r="AD9" i="44"/>
  <c r="AE9" i="44" s="1"/>
  <c r="AE11" i="45"/>
  <c r="AE12" i="45"/>
  <c r="AO13" i="45"/>
  <c r="W13" i="45"/>
  <c r="Y13" i="45" s="1"/>
  <c r="T13" i="45"/>
  <c r="S14" i="45"/>
  <c r="AC13" i="45"/>
  <c r="V15" i="44"/>
  <c r="U14" i="44"/>
  <c r="AB14" i="44"/>
  <c r="S12" i="44"/>
  <c r="V11" i="44"/>
  <c r="R23" i="44"/>
  <c r="U22" i="44"/>
  <c r="AK11" i="44"/>
  <c r="W11" i="44"/>
  <c r="T10" i="44"/>
  <c r="AB10" i="44"/>
  <c r="AD10" i="44" s="1"/>
  <c r="AE10" i="44" s="1"/>
  <c r="R16" i="44"/>
  <c r="U15" i="44"/>
  <c r="AB21" i="44"/>
  <c r="U21" i="44"/>
  <c r="U24" i="44"/>
  <c r="R25" i="44"/>
  <c r="AB24" i="44"/>
  <c r="R12" i="44"/>
  <c r="T11" i="44"/>
  <c r="U11" i="44"/>
  <c r="U25" i="44"/>
  <c r="AB25" i="44"/>
  <c r="AB11" i="44"/>
  <c r="R19" i="44"/>
  <c r="U18" i="44"/>
  <c r="AB19" i="44"/>
  <c r="R20" i="44"/>
  <c r="U19" i="44"/>
  <c r="R22" i="44"/>
  <c r="AC11" i="44"/>
  <c r="U12" i="44"/>
  <c r="AB12" i="44"/>
  <c r="V21" i="44"/>
  <c r="AK10" i="44"/>
  <c r="W10" i="44"/>
  <c r="Y10" i="44" s="1"/>
  <c r="R14" i="44"/>
  <c r="U13" i="44"/>
  <c r="AB22" i="44"/>
  <c r="AB17" i="44"/>
  <c r="AB20" i="44"/>
  <c r="R24" i="44"/>
  <c r="U20" i="44"/>
  <c r="U23" i="44"/>
  <c r="AH13" i="45" l="1"/>
  <c r="W14" i="45"/>
  <c r="Y14" i="45" s="1"/>
  <c r="AO14" i="45"/>
  <c r="T14" i="45"/>
  <c r="S15" i="45"/>
  <c r="AC14" i="45"/>
  <c r="AH14" i="45" s="1"/>
  <c r="AL13" i="45"/>
  <c r="AD13" i="45"/>
  <c r="AI13" i="45" s="1"/>
  <c r="V24" i="44"/>
  <c r="AH11" i="44"/>
  <c r="AD11" i="44"/>
  <c r="AE11" i="44" s="1"/>
  <c r="V22" i="44"/>
  <c r="AC12" i="44"/>
  <c r="S13" i="44"/>
  <c r="V12" i="44"/>
  <c r="Y12" i="44" s="1"/>
  <c r="V23" i="44"/>
  <c r="V14" i="44"/>
  <c r="V16" i="44"/>
  <c r="V20" i="44"/>
  <c r="V25" i="44"/>
  <c r="AK12" i="44"/>
  <c r="W12" i="44"/>
  <c r="T12" i="44"/>
  <c r="V19" i="44"/>
  <c r="Y11" i="44"/>
  <c r="AE13" i="45" l="1"/>
  <c r="AL14" i="45"/>
  <c r="AD14" i="45"/>
  <c r="AI14" i="45" s="1"/>
  <c r="AO15" i="45"/>
  <c r="W15" i="45"/>
  <c r="Y15" i="45" s="1"/>
  <c r="T15" i="45"/>
  <c r="S16" i="45"/>
  <c r="AC15" i="45"/>
  <c r="AH15" i="45" s="1"/>
  <c r="AK13" i="44"/>
  <c r="W13" i="44"/>
  <c r="Y13" i="44" s="1"/>
  <c r="AC13" i="44"/>
  <c r="T13" i="44"/>
  <c r="S14" i="44"/>
  <c r="AD12" i="44"/>
  <c r="AE12" i="44" s="1"/>
  <c r="AH12" i="44"/>
  <c r="AE14" i="45" l="1"/>
  <c r="AO16" i="45"/>
  <c r="W16" i="45"/>
  <c r="Y16" i="45" s="1"/>
  <c r="T16" i="45"/>
  <c r="S17" i="45"/>
  <c r="AC16" i="45"/>
  <c r="AH16" i="45" s="1"/>
  <c r="AL15" i="45"/>
  <c r="AD15" i="45"/>
  <c r="AI15" i="45" s="1"/>
  <c r="AK14" i="44"/>
  <c r="W14" i="44"/>
  <c r="Y14" i="44" s="1"/>
  <c r="T14" i="44"/>
  <c r="AC14" i="44"/>
  <c r="S15" i="44"/>
  <c r="AH13" i="44"/>
  <c r="AD13" i="44"/>
  <c r="AE13" i="44" s="1"/>
  <c r="AE15" i="45" l="1"/>
  <c r="AJ16" i="45"/>
  <c r="AK16" i="45" s="1"/>
  <c r="AL16" i="45"/>
  <c r="AD16" i="45"/>
  <c r="AI16" i="45" s="1"/>
  <c r="AO17" i="45"/>
  <c r="W17" i="45"/>
  <c r="Y17" i="45" s="1"/>
  <c r="T17" i="45"/>
  <c r="S18" i="45"/>
  <c r="AC17" i="45"/>
  <c r="AH17" i="45" s="1"/>
  <c r="AK15" i="44"/>
  <c r="W15" i="44"/>
  <c r="Y15" i="44" s="1"/>
  <c r="AC15" i="44"/>
  <c r="S16" i="44"/>
  <c r="T15" i="44"/>
  <c r="AD14" i="44"/>
  <c r="AE14" i="44" s="1"/>
  <c r="AH14" i="44"/>
  <c r="AE16" i="45" l="1"/>
  <c r="AO18" i="45"/>
  <c r="W18" i="45"/>
  <c r="Y18" i="45" s="1"/>
  <c r="T18" i="45"/>
  <c r="S19" i="45"/>
  <c r="AC18" i="45"/>
  <c r="AH18" i="45" s="1"/>
  <c r="AL17" i="45"/>
  <c r="AJ17" i="45"/>
  <c r="AK17" i="45" s="1"/>
  <c r="AD17" i="45"/>
  <c r="AI17" i="45" s="1"/>
  <c r="AK16" i="44"/>
  <c r="W16" i="44"/>
  <c r="Y16" i="44" s="1"/>
  <c r="S17" i="44"/>
  <c r="T16" i="44"/>
  <c r="AC16" i="44"/>
  <c r="AD15" i="44"/>
  <c r="AE15" i="44" s="1"/>
  <c r="AH15" i="44"/>
  <c r="AE17" i="45" l="1"/>
  <c r="AL18" i="45"/>
  <c r="AJ18" i="45"/>
  <c r="AK18" i="45" s="1"/>
  <c r="AD18" i="45"/>
  <c r="AI18" i="45" s="1"/>
  <c r="W19" i="45"/>
  <c r="Y19" i="45" s="1"/>
  <c r="AC19" i="45"/>
  <c r="T19" i="45"/>
  <c r="S20" i="45"/>
  <c r="AD16" i="44"/>
  <c r="AE16" i="44" s="1"/>
  <c r="AH16" i="44"/>
  <c r="AF16" i="44"/>
  <c r="AG16" i="44" s="1"/>
  <c r="W17" i="44"/>
  <c r="Y17" i="44" s="1"/>
  <c r="S18" i="44"/>
  <c r="AK17" i="44"/>
  <c r="AC17" i="44"/>
  <c r="T17" i="44"/>
  <c r="AH19" i="45" l="1"/>
  <c r="AC3" i="45"/>
  <c r="AE18" i="45"/>
  <c r="AD19" i="45"/>
  <c r="AI19" i="45" s="1"/>
  <c r="AJ19" i="45"/>
  <c r="AK19" i="45" s="1"/>
  <c r="AL19" i="45"/>
  <c r="W20" i="45"/>
  <c r="Y20" i="45" s="1"/>
  <c r="T20" i="45"/>
  <c r="S21" i="45"/>
  <c r="AC20" i="45"/>
  <c r="AH20" i="45" s="1"/>
  <c r="AF17" i="44"/>
  <c r="AG17" i="44" s="1"/>
  <c r="AD17" i="44"/>
  <c r="AE17" i="44" s="1"/>
  <c r="AH17" i="44"/>
  <c r="W18" i="44"/>
  <c r="Y18" i="44" s="1"/>
  <c r="AK18" i="44"/>
  <c r="T18" i="44"/>
  <c r="S19" i="44"/>
  <c r="AC18" i="44"/>
  <c r="AE19" i="45" l="1"/>
  <c r="AD3" i="45"/>
  <c r="AL20" i="45"/>
  <c r="AJ20" i="45"/>
  <c r="AK20" i="45" s="1"/>
  <c r="AD20" i="45"/>
  <c r="AI20" i="45" s="1"/>
  <c r="W21" i="45"/>
  <c r="Y21" i="45" s="1"/>
  <c r="T21" i="45"/>
  <c r="AC21" i="45"/>
  <c r="AH21" i="45" s="1"/>
  <c r="S22" i="45"/>
  <c r="AH18" i="44"/>
  <c r="AF18" i="44"/>
  <c r="AG18" i="44" s="1"/>
  <c r="AD18" i="44"/>
  <c r="AE18" i="44" s="1"/>
  <c r="W19" i="44"/>
  <c r="Y19" i="44" s="1"/>
  <c r="T19" i="44"/>
  <c r="AC19" i="44"/>
  <c r="S20" i="44"/>
  <c r="AE20" i="45" l="1"/>
  <c r="W22" i="45"/>
  <c r="Y22" i="45" s="1"/>
  <c r="T22" i="45"/>
  <c r="S23" i="45"/>
  <c r="AC22" i="45"/>
  <c r="AH22" i="45" s="1"/>
  <c r="AD21" i="45"/>
  <c r="AI21" i="45" s="1"/>
  <c r="AL21" i="45"/>
  <c r="W20" i="44"/>
  <c r="Y20" i="44" s="1"/>
  <c r="T20" i="44"/>
  <c r="S21" i="44"/>
  <c r="AC20" i="44"/>
  <c r="AH19" i="44"/>
  <c r="AF19" i="44"/>
  <c r="AG19" i="44" s="1"/>
  <c r="AD19" i="44"/>
  <c r="AE19" i="44" s="1"/>
  <c r="AE21" i="45" l="1"/>
  <c r="W23" i="45"/>
  <c r="Y23" i="45" s="1"/>
  <c r="S24" i="45"/>
  <c r="AC23" i="45"/>
  <c r="AH23" i="45" s="1"/>
  <c r="T23" i="45"/>
  <c r="AD22" i="45"/>
  <c r="AI22" i="45" s="1"/>
  <c r="AL22" i="45"/>
  <c r="AF20" i="44"/>
  <c r="AG20" i="44" s="1"/>
  <c r="AD20" i="44"/>
  <c r="AE20" i="44" s="1"/>
  <c r="AH20" i="44"/>
  <c r="W21" i="44"/>
  <c r="Y21" i="44" s="1"/>
  <c r="T21" i="44"/>
  <c r="AC21" i="44"/>
  <c r="S22" i="44"/>
  <c r="AE22" i="45" l="1"/>
  <c r="W24" i="45"/>
  <c r="Y24" i="45" s="1"/>
  <c r="T24" i="45"/>
  <c r="S25" i="45"/>
  <c r="AC24" i="45"/>
  <c r="AH24" i="45" s="1"/>
  <c r="AL23" i="45"/>
  <c r="AD23" i="45"/>
  <c r="AI23" i="45" s="1"/>
  <c r="W22" i="44"/>
  <c r="Y22" i="44" s="1"/>
  <c r="T22" i="44"/>
  <c r="AC22" i="44"/>
  <c r="S23" i="44"/>
  <c r="AH21" i="44"/>
  <c r="AD21" i="44"/>
  <c r="AE21" i="44" s="1"/>
  <c r="AE23" i="45" l="1"/>
  <c r="AL24" i="45"/>
  <c r="AD24" i="45"/>
  <c r="AI24" i="45" s="1"/>
  <c r="W25" i="45"/>
  <c r="Y25" i="45" s="1"/>
  <c r="T25" i="45"/>
  <c r="S26" i="45"/>
  <c r="AC25" i="45"/>
  <c r="AD22" i="44"/>
  <c r="AE22" i="44" s="1"/>
  <c r="AH22" i="44"/>
  <c r="W23" i="44"/>
  <c r="Y23" i="44" s="1"/>
  <c r="T23" i="44"/>
  <c r="S24" i="44"/>
  <c r="AC23" i="44"/>
  <c r="AE24" i="45" l="1"/>
  <c r="AD25" i="45"/>
  <c r="AI25" i="45" s="1"/>
  <c r="AH25" i="45"/>
  <c r="W26" i="45"/>
  <c r="Y26" i="45" s="1"/>
  <c r="T26" i="45"/>
  <c r="AC26" i="45"/>
  <c r="S27" i="45"/>
  <c r="S28" i="45" s="1"/>
  <c r="S29" i="45" s="1"/>
  <c r="S30" i="45" s="1"/>
  <c r="S31" i="45" s="1"/>
  <c r="S32" i="45" s="1"/>
  <c r="S33" i="45" s="1"/>
  <c r="S34" i="45" s="1"/>
  <c r="W24" i="44"/>
  <c r="Y24" i="44" s="1"/>
  <c r="T24" i="44"/>
  <c r="S25" i="44"/>
  <c r="AC24" i="44"/>
  <c r="AH23" i="44"/>
  <c r="AD23" i="44"/>
  <c r="AE23" i="44" s="1"/>
  <c r="W34" i="45" l="1"/>
  <c r="Y34" i="45" s="1"/>
  <c r="AC34" i="45"/>
  <c r="AD34" i="45" s="1"/>
  <c r="AE34" i="45" s="1"/>
  <c r="T34" i="45"/>
  <c r="W33" i="45"/>
  <c r="Y33" i="45" s="1"/>
  <c r="AC33" i="45"/>
  <c r="AH33" i="45" s="1"/>
  <c r="T33" i="45"/>
  <c r="T32" i="45"/>
  <c r="W32" i="45"/>
  <c r="Y32" i="45" s="1"/>
  <c r="AC32" i="45"/>
  <c r="AC42" i="45" s="1"/>
  <c r="W31" i="45"/>
  <c r="Y31" i="45" s="1"/>
  <c r="AC31" i="45"/>
  <c r="T31" i="45"/>
  <c r="AD26" i="45"/>
  <c r="AI26" i="45" s="1"/>
  <c r="AH26" i="45"/>
  <c r="W30" i="45"/>
  <c r="Y30" i="45" s="1"/>
  <c r="AC30" i="45"/>
  <c r="AH30" i="45" s="1"/>
  <c r="T30" i="45"/>
  <c r="AE25" i="45"/>
  <c r="W29" i="45"/>
  <c r="Y29" i="45" s="1"/>
  <c r="AC29" i="45"/>
  <c r="T29" i="45"/>
  <c r="W28" i="45"/>
  <c r="Y28" i="45" s="1"/>
  <c r="AC28" i="45"/>
  <c r="T28" i="45"/>
  <c r="W27" i="45"/>
  <c r="Y27" i="45" s="1"/>
  <c r="AC27" i="45"/>
  <c r="T27" i="45"/>
  <c r="W25" i="44"/>
  <c r="Y25" i="44" s="1"/>
  <c r="S2" i="44" s="1"/>
  <c r="AC25" i="44"/>
  <c r="AD25" i="44" s="1"/>
  <c r="AE25" i="44" s="1"/>
  <c r="T25" i="44"/>
  <c r="AD24" i="44"/>
  <c r="AE24" i="44" s="1"/>
  <c r="AH24" i="44"/>
  <c r="S2" i="45" l="1"/>
  <c r="AD33" i="45"/>
  <c r="AI33" i="45" s="1"/>
  <c r="AC43" i="45"/>
  <c r="AH32" i="45"/>
  <c r="AD32" i="45"/>
  <c r="AD31" i="45"/>
  <c r="AH31" i="45"/>
  <c r="AC41" i="45"/>
  <c r="AD27" i="45"/>
  <c r="AI27" i="45" s="1"/>
  <c r="AH27" i="45"/>
  <c r="AD30" i="45"/>
  <c r="AI30" i="45" s="1"/>
  <c r="AC40" i="45"/>
  <c r="AH28" i="45"/>
  <c r="AC38" i="45"/>
  <c r="AH29" i="45"/>
  <c r="AC39" i="45"/>
  <c r="AE26" i="45"/>
  <c r="AD29" i="45"/>
  <c r="AI29" i="45" s="1"/>
  <c r="AD28" i="45"/>
  <c r="AI28" i="45" s="1"/>
  <c r="F9" i="20"/>
  <c r="G9" i="20" s="1"/>
  <c r="M26" i="12"/>
  <c r="N26" i="12"/>
  <c r="O26" i="12"/>
  <c r="Q26" i="12" s="1"/>
  <c r="M25" i="12"/>
  <c r="N25" i="12"/>
  <c r="AA26" i="12"/>
  <c r="AE33" i="45" l="1"/>
  <c r="AD43" i="45"/>
  <c r="AD42" i="45"/>
  <c r="AI32" i="45"/>
  <c r="AE32" i="45"/>
  <c r="AI31" i="45"/>
  <c r="AE31" i="45"/>
  <c r="AD41" i="45"/>
  <c r="AD39" i="45"/>
  <c r="AE30" i="45"/>
  <c r="AD40" i="45"/>
  <c r="AE27" i="45"/>
  <c r="AE29" i="45"/>
  <c r="AE28" i="45"/>
  <c r="AD38" i="45"/>
  <c r="U26" i="12"/>
  <c r="D5" i="21" l="1"/>
  <c r="G6" i="21" s="1"/>
  <c r="C5" i="21"/>
  <c r="F6" i="21" s="1"/>
  <c r="O25" i="12"/>
  <c r="Q25" i="12" s="1"/>
  <c r="F6" i="20"/>
  <c r="G6" i="20" s="1"/>
  <c r="AI23" i="12"/>
  <c r="AI24" i="12"/>
  <c r="AI25" i="12"/>
  <c r="AI22" i="12"/>
  <c r="O3" i="12"/>
  <c r="O2" i="12"/>
  <c r="AA25" i="12"/>
  <c r="O24" i="12"/>
  <c r="Q24" i="12" s="1"/>
  <c r="M24" i="12"/>
  <c r="N24" i="12"/>
  <c r="AA24" i="12"/>
  <c r="M23" i="12"/>
  <c r="N23" i="12"/>
  <c r="O21" i="12"/>
  <c r="Q21" i="12" s="1"/>
  <c r="AA23" i="12"/>
  <c r="AI21" i="12"/>
  <c r="M22" i="12"/>
  <c r="N22" i="12"/>
  <c r="O20" i="12"/>
  <c r="Q20" i="12" s="1"/>
  <c r="AA22" i="12"/>
  <c r="O17" i="12"/>
  <c r="Q17" i="12" s="1"/>
  <c r="O18" i="12"/>
  <c r="Q18" i="12" s="1"/>
  <c r="O19" i="12"/>
  <c r="Q19" i="12" s="1"/>
  <c r="R20" i="12" s="1"/>
  <c r="AI11" i="12"/>
  <c r="AI12" i="12"/>
  <c r="AI13" i="12"/>
  <c r="AI14" i="12"/>
  <c r="AI15" i="12"/>
  <c r="AI16" i="12"/>
  <c r="AI17" i="12"/>
  <c r="AI18" i="12"/>
  <c r="AI19" i="12"/>
  <c r="AI20" i="12"/>
  <c r="AI10" i="12"/>
  <c r="O23" i="12"/>
  <c r="Q23" i="12" s="1"/>
  <c r="O16" i="12"/>
  <c r="Q16" i="12" s="1"/>
  <c r="O15" i="12"/>
  <c r="Q15" i="12" s="1"/>
  <c r="O14" i="12"/>
  <c r="Q14" i="12" s="1"/>
  <c r="R15" i="12" s="1"/>
  <c r="O13" i="12"/>
  <c r="Q13" i="12" s="1"/>
  <c r="R14" i="12" s="1"/>
  <c r="O12" i="12"/>
  <c r="Q12" i="12" s="1"/>
  <c r="O11" i="12"/>
  <c r="Q11" i="12" s="1"/>
  <c r="O10" i="12"/>
  <c r="Q10" i="12" s="1"/>
  <c r="O9" i="12"/>
  <c r="R10" i="12" s="1"/>
  <c r="O8" i="12"/>
  <c r="S10" i="12" s="1"/>
  <c r="O22" i="12"/>
  <c r="Q22" i="12" s="1"/>
  <c r="M21" i="12"/>
  <c r="N21" i="12"/>
  <c r="AA21" i="12"/>
  <c r="N11" i="12"/>
  <c r="M11" i="12"/>
  <c r="N12" i="12"/>
  <c r="M12" i="12"/>
  <c r="N13" i="12"/>
  <c r="M13" i="12"/>
  <c r="N14" i="12"/>
  <c r="M14" i="12"/>
  <c r="N15" i="12"/>
  <c r="M15" i="12"/>
  <c r="N16" i="12"/>
  <c r="M16" i="12"/>
  <c r="N17" i="12"/>
  <c r="M17" i="12"/>
  <c r="N18" i="12"/>
  <c r="M18" i="12"/>
  <c r="N19" i="12"/>
  <c r="M19" i="12"/>
  <c r="N20" i="12"/>
  <c r="M20" i="12"/>
  <c r="AA20" i="12"/>
  <c r="N10" i="12"/>
  <c r="M10" i="12"/>
  <c r="AA19" i="12"/>
  <c r="AK9" i="12"/>
  <c r="AA18" i="12"/>
  <c r="AA17" i="12"/>
  <c r="AA16" i="12"/>
  <c r="AA15" i="12"/>
  <c r="AA14" i="12"/>
  <c r="AA13" i="12"/>
  <c r="AA12" i="12"/>
  <c r="AA11" i="12"/>
  <c r="AA10" i="12"/>
  <c r="AA9" i="12"/>
  <c r="Q5" i="12"/>
  <c r="AL18" i="12"/>
  <c r="AL17" i="12"/>
  <c r="AL16" i="12"/>
  <c r="AL15" i="12"/>
  <c r="AL14" i="12"/>
  <c r="AL13" i="12"/>
  <c r="AL12" i="12"/>
  <c r="AL11" i="12"/>
  <c r="AL10" i="12"/>
  <c r="AL9" i="12"/>
  <c r="R27" i="12" l="1"/>
  <c r="AB26" i="12"/>
  <c r="AB27" i="12"/>
  <c r="R23" i="12"/>
  <c r="V23" i="12" s="1"/>
  <c r="R19" i="12"/>
  <c r="V19" i="12" s="1"/>
  <c r="R22" i="12"/>
  <c r="V22" i="12" s="1"/>
  <c r="R26" i="12"/>
  <c r="U17" i="12"/>
  <c r="R18" i="12"/>
  <c r="V18" i="12" s="1"/>
  <c r="U23" i="12"/>
  <c r="R24" i="12"/>
  <c r="U20" i="12"/>
  <c r="R21" i="12"/>
  <c r="R12" i="12"/>
  <c r="V12" i="12" s="1"/>
  <c r="U15" i="12"/>
  <c r="R16" i="12"/>
  <c r="V16" i="12" s="1"/>
  <c r="U16" i="12"/>
  <c r="R17" i="12"/>
  <c r="R13" i="12"/>
  <c r="R25" i="12"/>
  <c r="U25" i="12"/>
  <c r="U22" i="12"/>
  <c r="U21" i="12"/>
  <c r="B8" i="19"/>
  <c r="C8" i="19"/>
  <c r="AB12" i="12"/>
  <c r="C9" i="19"/>
  <c r="AB17" i="12"/>
  <c r="AB15" i="12"/>
  <c r="B17" i="19"/>
  <c r="AB9" i="12"/>
  <c r="B5" i="19"/>
  <c r="B15" i="19"/>
  <c r="C15" i="19"/>
  <c r="AB10" i="12"/>
  <c r="AC9" i="12"/>
  <c r="B12" i="19"/>
  <c r="B16" i="19"/>
  <c r="AB18" i="12"/>
  <c r="AB13" i="12"/>
  <c r="B13" i="19"/>
  <c r="C19" i="19"/>
  <c r="B19" i="19"/>
  <c r="AB25" i="12"/>
  <c r="V20" i="12"/>
  <c r="C12" i="19"/>
  <c r="V15" i="12"/>
  <c r="AB14" i="12"/>
  <c r="U14" i="12"/>
  <c r="C5" i="19"/>
  <c r="AB11" i="12"/>
  <c r="T10" i="12"/>
  <c r="AB23" i="12"/>
  <c r="C7" i="19"/>
  <c r="U13" i="12"/>
  <c r="U11" i="12"/>
  <c r="B9" i="19"/>
  <c r="C4" i="19"/>
  <c r="AB20" i="12"/>
  <c r="C17" i="19"/>
  <c r="U18" i="12"/>
  <c r="AB22" i="12"/>
  <c r="V14" i="12"/>
  <c r="C13" i="19"/>
  <c r="AK10" i="12"/>
  <c r="W10" i="12"/>
  <c r="S11" i="12"/>
  <c r="AB16" i="12"/>
  <c r="B10" i="19"/>
  <c r="C10" i="19"/>
  <c r="AC10" i="12"/>
  <c r="E4" i="19"/>
  <c r="I4" i="19" s="1"/>
  <c r="C6" i="19"/>
  <c r="U12" i="12"/>
  <c r="B6" i="19"/>
  <c r="C18" i="19"/>
  <c r="U24" i="12"/>
  <c r="AB24" i="12"/>
  <c r="B18" i="19"/>
  <c r="AB19" i="12"/>
  <c r="B7" i="19"/>
  <c r="AB21" i="12"/>
  <c r="B14" i="19"/>
  <c r="C11" i="19"/>
  <c r="U10" i="12"/>
  <c r="U19" i="12"/>
  <c r="B11" i="19"/>
  <c r="C16" i="19"/>
  <c r="V10" i="12"/>
  <c r="R11" i="12"/>
  <c r="B4" i="19"/>
  <c r="C14" i="19"/>
  <c r="D4" i="19"/>
  <c r="D26" i="19" s="1"/>
  <c r="V27" i="12" l="1"/>
  <c r="S12" i="12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V26" i="12"/>
  <c r="AD9" i="12"/>
  <c r="AE9" i="12" s="1"/>
  <c r="V25" i="12"/>
  <c r="W11" i="12"/>
  <c r="AK11" i="12"/>
  <c r="G4" i="19"/>
  <c r="AD10" i="12"/>
  <c r="AE10" i="12" s="1"/>
  <c r="V13" i="12"/>
  <c r="V24" i="12"/>
  <c r="V17" i="12"/>
  <c r="V21" i="12"/>
  <c r="F4" i="19"/>
  <c r="F26" i="19" s="1"/>
  <c r="Y10" i="12"/>
  <c r="E5" i="19"/>
  <c r="I5" i="19" s="1"/>
  <c r="D5" i="19"/>
  <c r="AC11" i="12"/>
  <c r="V11" i="12"/>
  <c r="T11" i="12"/>
  <c r="W27" i="12" l="1"/>
  <c r="Y27" i="12" s="1"/>
  <c r="AC27" i="12"/>
  <c r="AD27" i="12" s="1"/>
  <c r="AE27" i="12" s="1"/>
  <c r="T27" i="12"/>
  <c r="D27" i="19"/>
  <c r="E26" i="19"/>
  <c r="F5" i="19"/>
  <c r="AK12" i="12"/>
  <c r="W12" i="12"/>
  <c r="Y12" i="12" s="1"/>
  <c r="AC12" i="12"/>
  <c r="T12" i="12"/>
  <c r="E6" i="19"/>
  <c r="I6" i="19" s="1"/>
  <c r="D6" i="19"/>
  <c r="Y11" i="12"/>
  <c r="AH11" i="12"/>
  <c r="G5" i="19"/>
  <c r="AD11" i="12"/>
  <c r="AE11" i="12" s="1"/>
  <c r="AH12" i="12" l="1"/>
  <c r="G6" i="19"/>
  <c r="AD12" i="12"/>
  <c r="AE12" i="12" s="1"/>
  <c r="W13" i="12"/>
  <c r="Y13" i="12" s="1"/>
  <c r="AK13" i="12"/>
  <c r="E7" i="19"/>
  <c r="I7" i="19" s="1"/>
  <c r="D7" i="19"/>
  <c r="AC13" i="12"/>
  <c r="T13" i="12"/>
  <c r="F27" i="19"/>
  <c r="G26" i="19"/>
  <c r="D28" i="19"/>
  <c r="E27" i="19"/>
  <c r="F6" i="19"/>
  <c r="W14" i="12" l="1"/>
  <c r="Y14" i="12" s="1"/>
  <c r="AK14" i="12"/>
  <c r="E8" i="19"/>
  <c r="I8" i="19" s="1"/>
  <c r="D8" i="19"/>
  <c r="T14" i="12"/>
  <c r="AC14" i="12"/>
  <c r="D29" i="19"/>
  <c r="E28" i="19"/>
  <c r="F7" i="19"/>
  <c r="F28" i="19"/>
  <c r="G27" i="19"/>
  <c r="AD13" i="12"/>
  <c r="AE13" i="12" s="1"/>
  <c r="AH13" i="12"/>
  <c r="G7" i="19"/>
  <c r="F29" i="19" l="1"/>
  <c r="G28" i="19"/>
  <c r="AK15" i="12"/>
  <c r="W15" i="12"/>
  <c r="Y15" i="12" s="1"/>
  <c r="E9" i="19"/>
  <c r="I9" i="19" s="1"/>
  <c r="D9" i="19"/>
  <c r="T15" i="12"/>
  <c r="AC15" i="12"/>
  <c r="AH14" i="12"/>
  <c r="G8" i="19"/>
  <c r="AD14" i="12"/>
  <c r="AE14" i="12" s="1"/>
  <c r="D30" i="19"/>
  <c r="E29" i="19"/>
  <c r="F8" i="19"/>
  <c r="G9" i="19" l="1"/>
  <c r="AH15" i="12"/>
  <c r="AD15" i="12"/>
  <c r="AE15" i="12" s="1"/>
  <c r="AK16" i="12"/>
  <c r="E10" i="19"/>
  <c r="I10" i="19" s="1"/>
  <c r="D10" i="19"/>
  <c r="W16" i="12"/>
  <c r="Y16" i="12" s="1"/>
  <c r="T16" i="12"/>
  <c r="AC16" i="12"/>
  <c r="F30" i="19"/>
  <c r="G29" i="19"/>
  <c r="E30" i="19"/>
  <c r="D31" i="19"/>
  <c r="F9" i="19"/>
  <c r="AK17" i="12" l="1"/>
  <c r="W17" i="12"/>
  <c r="Y17" i="12" s="1"/>
  <c r="E11" i="19"/>
  <c r="I11" i="19" s="1"/>
  <c r="T17" i="12"/>
  <c r="AC17" i="12"/>
  <c r="D11" i="19"/>
  <c r="G30" i="19"/>
  <c r="F31" i="19"/>
  <c r="D32" i="19"/>
  <c r="E31" i="19"/>
  <c r="F10" i="19"/>
  <c r="AH16" i="12"/>
  <c r="G10" i="19"/>
  <c r="AD16" i="12"/>
  <c r="AE16" i="12" s="1"/>
  <c r="AF16" i="12"/>
  <c r="AG16" i="12" s="1"/>
  <c r="G31" i="19" l="1"/>
  <c r="F32" i="19"/>
  <c r="E32" i="19"/>
  <c r="D33" i="19"/>
  <c r="F11" i="19"/>
  <c r="AH17" i="12"/>
  <c r="G11" i="19"/>
  <c r="AD17" i="12"/>
  <c r="AE17" i="12" s="1"/>
  <c r="AF17" i="12"/>
  <c r="AG17" i="12" s="1"/>
  <c r="W18" i="12"/>
  <c r="Y18" i="12" s="1"/>
  <c r="AK18" i="12"/>
  <c r="E12" i="19"/>
  <c r="I12" i="19" s="1"/>
  <c r="D12" i="19"/>
  <c r="T18" i="12"/>
  <c r="AC18" i="12"/>
  <c r="W19" i="12" l="1"/>
  <c r="Y19" i="12" s="1"/>
  <c r="E13" i="19"/>
  <c r="I13" i="19" s="1"/>
  <c r="AC19" i="12"/>
  <c r="D13" i="19"/>
  <c r="T19" i="12"/>
  <c r="AH18" i="12"/>
  <c r="G12" i="19"/>
  <c r="AF18" i="12"/>
  <c r="AG18" i="12" s="1"/>
  <c r="AD18" i="12"/>
  <c r="AE18" i="12" s="1"/>
  <c r="E33" i="19"/>
  <c r="D34" i="19"/>
  <c r="F12" i="19"/>
  <c r="G32" i="19"/>
  <c r="F33" i="19"/>
  <c r="G33" i="19" l="1"/>
  <c r="F34" i="19"/>
  <c r="W20" i="12"/>
  <c r="Y20" i="12" s="1"/>
  <c r="T20" i="12"/>
  <c r="AC20" i="12"/>
  <c r="D14" i="19"/>
  <c r="E14" i="19"/>
  <c r="I14" i="19" s="1"/>
  <c r="D35" i="19"/>
  <c r="D38" i="19" s="1"/>
  <c r="E34" i="19"/>
  <c r="F13" i="19"/>
  <c r="AH19" i="12"/>
  <c r="AD19" i="12"/>
  <c r="AE19" i="12" s="1"/>
  <c r="G13" i="19"/>
  <c r="AF19" i="12"/>
  <c r="AG19" i="12" s="1"/>
  <c r="W21" i="12" l="1"/>
  <c r="Y21" i="12" s="1"/>
  <c r="T21" i="12"/>
  <c r="E15" i="19"/>
  <c r="I15" i="19" s="1"/>
  <c r="D15" i="19"/>
  <c r="F15" i="19" s="1"/>
  <c r="AC21" i="12"/>
  <c r="G34" i="19"/>
  <c r="F35" i="19"/>
  <c r="F38" i="19" s="1"/>
  <c r="E35" i="19"/>
  <c r="E38" i="19" s="1"/>
  <c r="F14" i="19"/>
  <c r="G35" i="19" s="1"/>
  <c r="AH20" i="12"/>
  <c r="G14" i="19"/>
  <c r="AF20" i="12"/>
  <c r="AG20" i="12" s="1"/>
  <c r="AD20" i="12"/>
  <c r="AE20" i="12" s="1"/>
  <c r="G38" i="19" l="1"/>
  <c r="AH21" i="12"/>
  <c r="AD21" i="12"/>
  <c r="AE21" i="12" s="1"/>
  <c r="G15" i="19"/>
  <c r="W22" i="12"/>
  <c r="Y22" i="12" s="1"/>
  <c r="T22" i="12"/>
  <c r="AC22" i="12"/>
  <c r="E16" i="19"/>
  <c r="I16" i="19" s="1"/>
  <c r="D16" i="19"/>
  <c r="F16" i="19" s="1"/>
  <c r="W23" i="12" l="1"/>
  <c r="Y23" i="12" s="1"/>
  <c r="AC23" i="12"/>
  <c r="T23" i="12"/>
  <c r="E17" i="19"/>
  <c r="I17" i="19" s="1"/>
  <c r="D17" i="19"/>
  <c r="F17" i="19" s="1"/>
  <c r="AH22" i="12"/>
  <c r="AD22" i="12"/>
  <c r="AE22" i="12" s="1"/>
  <c r="G16" i="19"/>
  <c r="AH23" i="12" l="1"/>
  <c r="G17" i="19"/>
  <c r="AD23" i="12"/>
  <c r="AE23" i="12" s="1"/>
  <c r="W24" i="12"/>
  <c r="Y24" i="12" s="1"/>
  <c r="E18" i="19"/>
  <c r="I18" i="19" s="1"/>
  <c r="D18" i="19"/>
  <c r="F18" i="19" s="1"/>
  <c r="T24" i="12"/>
  <c r="AC24" i="12"/>
  <c r="W26" i="12" l="1"/>
  <c r="Y26" i="12" s="1"/>
  <c r="AC26" i="12"/>
  <c r="AD26" i="12" s="1"/>
  <c r="AE26" i="12" s="1"/>
  <c r="T26" i="12"/>
  <c r="AC25" i="12"/>
  <c r="W25" i="12"/>
  <c r="Y25" i="12" s="1"/>
  <c r="T25" i="12"/>
  <c r="D19" i="19"/>
  <c r="F19" i="19" s="1"/>
  <c r="E19" i="19"/>
  <c r="I19" i="19" s="1"/>
  <c r="AH24" i="12"/>
  <c r="G18" i="19"/>
  <c r="AD24" i="12"/>
  <c r="AE24" i="12" s="1"/>
  <c r="S2" i="12" l="1"/>
  <c r="AD25" i="12"/>
  <c r="G19" i="19"/>
  <c r="AE2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J Palof</author>
    <author>Palof, Katie J (DFG)</author>
    <author>Windows User</author>
  </authors>
  <commentList>
    <comment ref="G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Katie J Palof:</t>
        </r>
        <r>
          <rPr>
            <sz val="9"/>
            <color indexed="81"/>
            <rFont val="Tahoma"/>
            <family val="2"/>
          </rPr>
          <t xml:space="preserve">
New catch updated from fish tickets. 
97-2013 Tanner fishticket.xlsx</t>
        </r>
      </text>
    </comment>
    <comment ref="AH10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Palof, Katie J (DFG):</t>
        </r>
        <r>
          <rPr>
            <sz val="9"/>
            <color indexed="81"/>
            <rFont val="Tahoma"/>
            <family val="2"/>
          </rPr>
          <t xml:space="preserve">
This is in the 2016_SP_CSA column in sigma plot</t>
        </r>
      </text>
    </comment>
    <comment ref="J2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Katie J Palof:</t>
        </r>
        <r>
          <rPr>
            <sz val="9"/>
            <color indexed="81"/>
            <rFont val="Tahoma"/>
            <family val="2"/>
          </rPr>
          <t xml:space="preserve">
Updated 2-6-13 after some crab found that were left out due to width being in wrong column from RKCS</t>
        </r>
      </text>
    </comment>
    <comment ref="AE25" authorId="2" shapeId="0" xr:uid="{00000000-0006-0000-00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Palof, Katie J (DFG):</t>
        </r>
        <r>
          <rPr>
            <sz val="9"/>
            <color indexed="81"/>
            <rFont val="Tahoma"/>
            <family val="2"/>
          </rPr>
          <t xml:space="preserve">
12-14-15
Changed weights to include ONLY RKCS data.  So only crab collected in June to avoid in weight difference due to seasonality.  </t>
        </r>
      </text>
    </comment>
    <comment ref="C2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Katie J Palof:</t>
        </r>
        <r>
          <rPr>
            <sz val="9"/>
            <color indexed="81"/>
            <rFont val="Tahoma"/>
            <family val="2"/>
          </rPr>
          <t xml:space="preserve">
These CPUE values are from the file
sp_RKCS ONLY_97 to 15_redo_CPUE2 file.  
They are ONLY the RKCS data - but use Tanner crab survey strata (area * 1/number of pots per strata) weightings.
</t>
        </r>
      </text>
    </comment>
    <comment ref="AD34" authorId="1" shapeId="0" xr:uid="{A96CB7B1-F14B-43E1-B505-AB0D7A1048ED}">
      <text>
        <r>
          <rPr>
            <b/>
            <sz val="9"/>
            <color indexed="81"/>
            <rFont val="Tahoma"/>
            <family val="2"/>
          </rPr>
          <t>Palof, Katie J (DFG):</t>
        </r>
        <r>
          <rPr>
            <sz val="9"/>
            <color indexed="81"/>
            <rFont val="Tahoma"/>
            <family val="2"/>
          </rPr>
          <t xml:space="preserve">
Need to put corrected values (to the right) into the biomass model to compare to previous years. !!!!</t>
        </r>
      </text>
    </comment>
    <comment ref="AE39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53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J Palof</author>
    <author>Windows User</author>
  </authors>
  <commentList>
    <comment ref="G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Katie J Palof:</t>
        </r>
        <r>
          <rPr>
            <sz val="9"/>
            <color indexed="81"/>
            <rFont val="Tahoma"/>
            <family val="2"/>
          </rPr>
          <t xml:space="preserve">
New catch updated from fish tickets. 
97-2013 Tanner fishticket.xlsx</t>
        </r>
      </text>
    </comment>
    <comment ref="J23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 got 2.18
</t>
        </r>
      </text>
    </comment>
    <comment ref="L23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 got 1.29</t>
        </r>
      </text>
    </comment>
    <comment ref="J24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 got 2.17
</t>
        </r>
      </text>
    </comment>
    <comment ref="K24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 got 2.67
</t>
        </r>
      </text>
    </comment>
    <comment ref="L24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 got 1.34
</t>
        </r>
      </text>
    </comment>
    <comment ref="J25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Katie J Palof:</t>
        </r>
        <r>
          <rPr>
            <sz val="9"/>
            <color indexed="81"/>
            <rFont val="Tahoma"/>
            <family val="2"/>
          </rPr>
          <t xml:space="preserve">
Updated 2-6-13 after some crab found that were left out due to width being in wrong column from RKCS</t>
        </r>
      </text>
    </comment>
    <comment ref="AE25" authorId="1" shapeId="0" xr:uid="{00000000-0006-0000-0300-00000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8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Katie J Palof:</t>
        </r>
        <r>
          <rPr>
            <sz val="9"/>
            <color indexed="81"/>
            <rFont val="Tahoma"/>
            <family val="2"/>
          </rPr>
          <t xml:space="preserve">
These CPUE values are from the file
79_12Tanner by recruit class with strat_AREA corrected.JMP
They are calculated using BOTH RKCS and TCS data for all years.
*4-19-13 updated with the correct area weighting, the wrong projection was being used so areas in km2 were off before</t>
        </r>
      </text>
    </comment>
    <comment ref="AE33" authorId="1" shapeId="0" xr:uid="{00000000-0006-0000-0300-00000A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53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Katie J Palof</author>
  </authors>
  <commentList>
    <comment ref="G2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just stat areas 111-40, 111-41</t>
        </r>
      </text>
    </comment>
    <comment ref="D2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My calc is 3.77</t>
        </r>
      </text>
    </comment>
    <comment ref="E2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My calc is 4.02</t>
        </r>
      </text>
    </comment>
    <comment ref="J23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 got 2.18
</t>
        </r>
      </text>
    </comment>
    <comment ref="L23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 got 1.29</t>
        </r>
      </text>
    </comment>
    <comment ref="J24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 got 2.17
</t>
        </r>
      </text>
    </comment>
    <comment ref="K24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 got 2.67
</t>
        </r>
      </text>
    </comment>
    <comment ref="L24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 got 1.34
</t>
        </r>
      </text>
    </comment>
    <comment ref="J25" authorId="1" shapeId="0" xr:uid="{00000000-0006-0000-0500-000009000000}">
      <text>
        <r>
          <rPr>
            <b/>
            <sz val="9"/>
            <color indexed="81"/>
            <rFont val="Tahoma"/>
            <family val="2"/>
          </rPr>
          <t>Katie J Palof:</t>
        </r>
        <r>
          <rPr>
            <sz val="9"/>
            <color indexed="81"/>
            <rFont val="Tahoma"/>
            <family val="2"/>
          </rPr>
          <t xml:space="preserve">
Updated 2-6-13 after some crab found that were left out due to width being in wrong column from RKCS</t>
        </r>
      </text>
    </comment>
    <comment ref="AE25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<sst xmlns="http://schemas.openxmlformats.org/spreadsheetml/2006/main" count="246" uniqueCount="101">
  <si>
    <t>Recruit</t>
  </si>
  <si>
    <t>Year</t>
  </si>
  <si>
    <t>Survey Year</t>
  </si>
  <si>
    <t>Catch Year</t>
  </si>
  <si>
    <t>Pre-recruit</t>
  </si>
  <si>
    <t>Post-recruit</t>
  </si>
  <si>
    <t>Catch (Number)</t>
  </si>
  <si>
    <t>Catch Mid-Date</t>
  </si>
  <si>
    <t>Survey Mid-Date</t>
  </si>
  <si>
    <t>Mature Weight</t>
  </si>
  <si>
    <t>Legal Weight</t>
  </si>
  <si>
    <t>Prerecruit Weight</t>
  </si>
  <si>
    <t>Catch=&gt;Survey Tau</t>
  </si>
  <si>
    <t>Survey Tau</t>
  </si>
  <si>
    <t>Survival</t>
  </si>
  <si>
    <t>Prerecruit Abundance</t>
  </si>
  <si>
    <t>Legal Abundance</t>
  </si>
  <si>
    <t>Mature Abundance</t>
  </si>
  <si>
    <t>GHL (Pounds)</t>
  </si>
  <si>
    <t>Parameters</t>
  </si>
  <si>
    <t>Estimated</t>
  </si>
  <si>
    <t>2004/05</t>
  </si>
  <si>
    <t>2003/04</t>
  </si>
  <si>
    <t>1996/97</t>
  </si>
  <si>
    <t>1997/98</t>
  </si>
  <si>
    <t>1998/99</t>
  </si>
  <si>
    <t>1999/00</t>
  </si>
  <si>
    <t>2000/01</t>
  </si>
  <si>
    <t>2001/02</t>
  </si>
  <si>
    <t>2002/03</t>
  </si>
  <si>
    <t>2005/06</t>
  </si>
  <si>
    <t>2006/07</t>
  </si>
  <si>
    <t>2007/08</t>
  </si>
  <si>
    <t>number</t>
  </si>
  <si>
    <t>pounds</t>
  </si>
  <si>
    <t>Pre-recruit Abundance</t>
  </si>
  <si>
    <t>Harvest Rate</t>
  </si>
  <si>
    <t>GHL</t>
  </si>
  <si>
    <t>p = 0.45</t>
  </si>
  <si>
    <t>Estimated HR</t>
  </si>
  <si>
    <t>Correlation</t>
  </si>
  <si>
    <t>p = 0.15</t>
  </si>
  <si>
    <t>2008/09</t>
  </si>
  <si>
    <t>2009/10</t>
  </si>
  <si>
    <t>2010/11</t>
  </si>
  <si>
    <t>2011/12</t>
  </si>
  <si>
    <t>Title</t>
  </si>
  <si>
    <t>Objective Function</t>
  </si>
  <si>
    <t>Area</t>
  </si>
  <si>
    <t>q</t>
  </si>
  <si>
    <t>nat mort of pre-recruits</t>
  </si>
  <si>
    <t>Location#</t>
  </si>
  <si>
    <t>Survival/Nat Mort</t>
  </si>
  <si>
    <t>Stephens Passage</t>
  </si>
  <si>
    <t>for TCS</t>
  </si>
  <si>
    <t>for RKCS</t>
  </si>
  <si>
    <t>2012/13</t>
  </si>
  <si>
    <t>pre-recruits</t>
  </si>
  <si>
    <t>recruits</t>
  </si>
  <si>
    <t>post recruits</t>
  </si>
  <si>
    <t>sum of estimated</t>
  </si>
  <si>
    <t>log diff bn estimate and actual -squared</t>
  </si>
  <si>
    <t>Catch (in lbs)</t>
  </si>
  <si>
    <t>data is sorted by project and pot number so inflation should not be occuring</t>
  </si>
  <si>
    <t>Survey mid-date</t>
  </si>
  <si>
    <t>RKCS mid-dates</t>
  </si>
  <si>
    <t>TCS mi-date</t>
  </si>
  <si>
    <t>Location</t>
  </si>
  <si>
    <t>SP</t>
  </si>
  <si>
    <t>CSA model parmeters</t>
  </si>
  <si>
    <t>survival</t>
  </si>
  <si>
    <t>difference from previous year</t>
  </si>
  <si>
    <t>survey</t>
  </si>
  <si>
    <t>2013/14</t>
  </si>
  <si>
    <t>Old biomass calcs from Sigma Plot file</t>
  </si>
  <si>
    <t>2014/15</t>
  </si>
  <si>
    <t>THIS SHEET USES  BOTH TANNER CRAB AND RED KIND CRAB SURVEY DATA, after 2015 ONLY RKCS data</t>
  </si>
  <si>
    <t>compare 2014 model with data from both surveys vs data from only RKCS survey  - determine a % to correct the ONLY RKCS data</t>
  </si>
  <si>
    <t>BOTH surveys</t>
  </si>
  <si>
    <t>ONLY RKCS data</t>
  </si>
  <si>
    <t>Difference - absolute lbs</t>
  </si>
  <si>
    <t>Difference  - % pounds of BOTH</t>
  </si>
  <si>
    <t>2015/16</t>
  </si>
  <si>
    <t>ONLY RKCS DATA, see compare tab for adjustment %.</t>
  </si>
  <si>
    <t>2015 adjusted</t>
  </si>
  <si>
    <t>2016/17</t>
  </si>
  <si>
    <t>fishery</t>
  </si>
  <si>
    <t xml:space="preserve">Biomass </t>
  </si>
  <si>
    <t>% change</t>
  </si>
  <si>
    <t xml:space="preserve">Legal </t>
  </si>
  <si>
    <t>Mature</t>
  </si>
  <si>
    <t>adjusted to compare to old estimates with both survies</t>
  </si>
  <si>
    <t>baseline average</t>
  </si>
  <si>
    <t>fishery years</t>
  </si>
  <si>
    <t>1997-2006</t>
  </si>
  <si>
    <t>2017/18</t>
  </si>
  <si>
    <t>2018/19</t>
  </si>
  <si>
    <t>2019/20</t>
  </si>
  <si>
    <t>2020/21</t>
  </si>
  <si>
    <t>21/22</t>
  </si>
  <si>
    <t>2021/22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</si>
</sst>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%"/>
    <numFmt numFmtId="167" formatCode="0.000"/>
  </numFmts>
  <fonts count="4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b/>
      <sz val="10"/>
      <color theme="3" tint="0.3999755851924192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FFC000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0"/>
      <color theme="9" tint="-0.499984740745262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">
    <xf numFmtId="0" fontId="0" fillId="0" borderId="0"/>
    <xf numFmtId="0" fontId="16" fillId="0" borderId="0"/>
    <xf numFmtId="0" fontId="15" fillId="0" borderId="0"/>
    <xf numFmtId="0" fontId="16" fillId="0" borderId="0"/>
    <xf numFmtId="0" fontId="16" fillId="0" borderId="0"/>
    <xf numFmtId="0" fontId="15" fillId="0" borderId="0"/>
    <xf numFmtId="0" fontId="16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43" fontId="23" fillId="0" borderId="0" applyFont="0" applyFill="0" applyBorder="0" applyAlignment="0" applyProtection="0"/>
    <xf numFmtId="0" fontId="10" fillId="0" borderId="0"/>
    <xf numFmtId="0" fontId="10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2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13" fillId="0" borderId="0"/>
    <xf numFmtId="0" fontId="28" fillId="0" borderId="0" applyNumberFormat="0" applyFill="0" applyBorder="0" applyAlignment="0" applyProtection="0"/>
    <xf numFmtId="0" fontId="29" fillId="0" borderId="7" applyNumberFormat="0" applyFill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1" fillId="0" borderId="0" applyNumberFormat="0" applyFill="0" applyBorder="0" applyAlignment="0" applyProtection="0"/>
    <xf numFmtId="0" fontId="32" fillId="20" borderId="0" applyNumberFormat="0" applyBorder="0" applyAlignment="0" applyProtection="0"/>
    <xf numFmtId="0" fontId="33" fillId="21" borderId="0" applyNumberFormat="0" applyBorder="0" applyAlignment="0" applyProtection="0"/>
    <xf numFmtId="0" fontId="34" fillId="22" borderId="0" applyNumberFormat="0" applyBorder="0" applyAlignment="0" applyProtection="0"/>
    <xf numFmtId="0" fontId="35" fillId="23" borderId="10" applyNumberFormat="0" applyAlignment="0" applyProtection="0"/>
    <xf numFmtId="0" fontId="36" fillId="24" borderId="11" applyNumberFormat="0" applyAlignment="0" applyProtection="0"/>
    <xf numFmtId="0" fontId="37" fillId="24" borderId="10" applyNumberFormat="0" applyAlignment="0" applyProtection="0"/>
    <xf numFmtId="0" fontId="38" fillId="0" borderId="12" applyNumberFormat="0" applyFill="0" applyAlignment="0" applyProtection="0"/>
    <xf numFmtId="0" fontId="39" fillId="25" borderId="13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42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42" fillId="50" borderId="0" applyNumberFormat="0" applyBorder="0" applyAlignment="0" applyProtection="0"/>
    <xf numFmtId="0" fontId="3" fillId="0" borderId="0"/>
    <xf numFmtId="0" fontId="3" fillId="26" borderId="14" applyNumberFormat="0" applyFont="0" applyAlignment="0" applyProtection="0"/>
    <xf numFmtId="0" fontId="2" fillId="0" borderId="0"/>
    <xf numFmtId="0" fontId="2" fillId="26" borderId="14" applyNumberFormat="0" applyFont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</cellStyleXfs>
  <cellXfs count="14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5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0" xfId="0" applyAlignment="1"/>
    <xf numFmtId="0" fontId="0" fillId="0" borderId="0" xfId="0" applyBorder="1"/>
    <xf numFmtId="9" fontId="0" fillId="0" borderId="0" xfId="0" applyNumberFormat="1"/>
    <xf numFmtId="15" fontId="0" fillId="2" borderId="0" xfId="0" applyNumberFormat="1" applyFill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9" fontId="0" fillId="0" borderId="0" xfId="0" applyNumberFormat="1" applyFill="1" applyBorder="1"/>
    <xf numFmtId="2" fontId="0" fillId="3" borderId="0" xfId="0" applyNumberFormat="1" applyFill="1"/>
    <xf numFmtId="2" fontId="13" fillId="3" borderId="0" xfId="0" applyNumberFormat="1" applyFont="1" applyFill="1"/>
    <xf numFmtId="3" fontId="0" fillId="0" borderId="0" xfId="0" applyNumberFormat="1" applyAlignment="1"/>
    <xf numFmtId="15" fontId="0" fillId="4" borderId="0" xfId="0" applyNumberFormat="1" applyFill="1"/>
    <xf numFmtId="0" fontId="15" fillId="0" borderId="0" xfId="0" applyFont="1"/>
    <xf numFmtId="2" fontId="0" fillId="5" borderId="0" xfId="0" applyNumberFormat="1" applyFill="1"/>
    <xf numFmtId="0" fontId="16" fillId="0" borderId="0" xfId="1"/>
    <xf numFmtId="0" fontId="15" fillId="0" borderId="0" xfId="2" applyFill="1"/>
    <xf numFmtId="0" fontId="16" fillId="6" borderId="0" xfId="1" applyFill="1"/>
    <xf numFmtId="0" fontId="16" fillId="0" borderId="0" xfId="1" applyAlignment="1">
      <alignment horizontal="right"/>
    </xf>
    <xf numFmtId="0" fontId="15" fillId="8" borderId="0" xfId="2" applyFill="1"/>
    <xf numFmtId="0" fontId="17" fillId="8" borderId="1" xfId="1" applyFont="1" applyFill="1" applyBorder="1"/>
    <xf numFmtId="0" fontId="21" fillId="0" borderId="1" xfId="1" applyFont="1" applyBorder="1" applyAlignment="1">
      <alignment horizontal="center"/>
    </xf>
    <xf numFmtId="0" fontId="16" fillId="0" borderId="0" xfId="6" applyFill="1"/>
    <xf numFmtId="0" fontId="15" fillId="0" borderId="0" xfId="0" applyFont="1" applyBorder="1"/>
    <xf numFmtId="15" fontId="0" fillId="7" borderId="0" xfId="0" applyNumberFormat="1" applyFill="1"/>
    <xf numFmtId="0" fontId="0" fillId="8" borderId="0" xfId="0" applyFill="1"/>
    <xf numFmtId="14" fontId="0" fillId="0" borderId="0" xfId="0" applyNumberFormat="1"/>
    <xf numFmtId="2" fontId="0" fillId="7" borderId="0" xfId="0" applyNumberFormat="1" applyFill="1"/>
    <xf numFmtId="0" fontId="22" fillId="0" borderId="0" xfId="5" applyFont="1"/>
    <xf numFmtId="0" fontId="15" fillId="0" borderId="0" xfId="2"/>
    <xf numFmtId="0" fontId="15" fillId="0" borderId="0" xfId="2"/>
    <xf numFmtId="0" fontId="20" fillId="0" borderId="0" xfId="2" applyFont="1"/>
    <xf numFmtId="0" fontId="0" fillId="0" borderId="0" xfId="0" applyFill="1"/>
    <xf numFmtId="0" fontId="0" fillId="10" borderId="0" xfId="0" applyFill="1"/>
    <xf numFmtId="3" fontId="0" fillId="0" borderId="0" xfId="0" applyNumberFormat="1" applyAlignment="1">
      <alignment horizontal="right"/>
    </xf>
    <xf numFmtId="3" fontId="0" fillId="7" borderId="0" xfId="0" applyNumberFormat="1" applyFill="1" applyAlignment="1">
      <alignment horizontal="right"/>
    </xf>
    <xf numFmtId="2" fontId="0" fillId="0" borderId="0" xfId="0" applyNumberFormat="1" applyFill="1"/>
    <xf numFmtId="2" fontId="0" fillId="11" borderId="0" xfId="0" applyNumberFormat="1" applyFill="1"/>
    <xf numFmtId="0" fontId="0" fillId="0" borderId="0" xfId="0"/>
    <xf numFmtId="164" fontId="0" fillId="0" borderId="0" xfId="0" applyNumberFormat="1"/>
    <xf numFmtId="3" fontId="0" fillId="0" borderId="0" xfId="0" applyNumberFormat="1"/>
    <xf numFmtId="0" fontId="13" fillId="0" borderId="0" xfId="0" applyFont="1"/>
    <xf numFmtId="0" fontId="0" fillId="8" borderId="0" xfId="0" applyFill="1"/>
    <xf numFmtId="0" fontId="0" fillId="10" borderId="0" xfId="0" applyFill="1"/>
    <xf numFmtId="3" fontId="0" fillId="7" borderId="0" xfId="0" applyNumberFormat="1" applyFill="1" applyAlignment="1">
      <alignment horizontal="right"/>
    </xf>
    <xf numFmtId="0" fontId="11" fillId="0" borderId="0" xfId="1" applyFont="1"/>
    <xf numFmtId="0" fontId="13" fillId="0" borderId="0" xfId="0" applyFont="1" applyFill="1" applyBorder="1"/>
    <xf numFmtId="15" fontId="0" fillId="12" borderId="0" xfId="0" applyNumberFormat="1" applyFill="1"/>
    <xf numFmtId="0" fontId="10" fillId="0" borderId="0" xfId="14"/>
    <xf numFmtId="0" fontId="17" fillId="8" borderId="1" xfId="14" applyFont="1" applyFill="1" applyBorder="1"/>
    <xf numFmtId="0" fontId="21" fillId="0" borderId="1" xfId="14" applyFont="1" applyBorder="1" applyAlignment="1">
      <alignment horizontal="center"/>
    </xf>
    <xf numFmtId="0" fontId="13" fillId="0" borderId="0" xfId="11"/>
    <xf numFmtId="0" fontId="10" fillId="0" borderId="0" xfId="14" applyAlignment="1">
      <alignment horizontal="right"/>
    </xf>
    <xf numFmtId="0" fontId="13" fillId="0" borderId="0" xfId="11" applyFill="1"/>
    <xf numFmtId="0" fontId="13" fillId="8" borderId="0" xfId="11" applyFill="1"/>
    <xf numFmtId="0" fontId="10" fillId="6" borderId="0" xfId="14" applyFill="1"/>
    <xf numFmtId="0" fontId="10" fillId="0" borderId="0" xfId="15" applyFill="1"/>
    <xf numFmtId="0" fontId="13" fillId="0" borderId="0" xfId="11" applyFont="1"/>
    <xf numFmtId="0" fontId="13" fillId="0" borderId="0" xfId="11" applyAlignment="1">
      <alignment horizontal="center" vertical="center" wrapText="1"/>
    </xf>
    <xf numFmtId="0" fontId="22" fillId="0" borderId="0" xfId="11" applyFont="1"/>
    <xf numFmtId="0" fontId="20" fillId="0" borderId="0" xfId="11" applyFont="1"/>
    <xf numFmtId="3" fontId="13" fillId="4" borderId="0" xfId="11" applyNumberFormat="1" applyFill="1"/>
    <xf numFmtId="15" fontId="13" fillId="4" borderId="0" xfId="11" applyNumberFormat="1" applyFill="1"/>
    <xf numFmtId="15" fontId="13" fillId="0" borderId="0" xfId="11" applyNumberFormat="1"/>
    <xf numFmtId="2" fontId="13" fillId="0" borderId="0" xfId="11" applyNumberFormat="1"/>
    <xf numFmtId="164" fontId="13" fillId="0" borderId="0" xfId="11" applyNumberFormat="1"/>
    <xf numFmtId="0" fontId="13" fillId="10" borderId="0" xfId="11" applyFill="1"/>
    <xf numFmtId="3" fontId="13" fillId="0" borderId="0" xfId="11" applyNumberFormat="1"/>
    <xf numFmtId="2" fontId="13" fillId="2" borderId="0" xfId="11" applyNumberFormat="1" applyFill="1"/>
    <xf numFmtId="15" fontId="13" fillId="2" borderId="0" xfId="11" applyNumberFormat="1" applyFill="1"/>
    <xf numFmtId="2" fontId="13" fillId="3" borderId="0" xfId="11" applyNumberFormat="1" applyFill="1"/>
    <xf numFmtId="9" fontId="13" fillId="0" borderId="0" xfId="11" applyNumberFormat="1" applyFill="1" applyBorder="1"/>
    <xf numFmtId="2" fontId="13" fillId="13" borderId="0" xfId="11" applyNumberFormat="1" applyFill="1"/>
    <xf numFmtId="2" fontId="13" fillId="3" borderId="0" xfId="11" applyNumberFormat="1" applyFont="1" applyFill="1"/>
    <xf numFmtId="3" fontId="13" fillId="7" borderId="0" xfId="11" applyNumberFormat="1" applyFill="1"/>
    <xf numFmtId="15" fontId="13" fillId="7" borderId="0" xfId="11" applyNumberFormat="1" applyFill="1"/>
    <xf numFmtId="2" fontId="13" fillId="5" borderId="0" xfId="11" applyNumberFormat="1" applyFill="1"/>
    <xf numFmtId="0" fontId="13" fillId="0" borderId="0" xfId="11" applyFont="1" applyBorder="1"/>
    <xf numFmtId="2" fontId="13" fillId="7" borderId="0" xfId="11" applyNumberFormat="1" applyFill="1"/>
    <xf numFmtId="3" fontId="13" fillId="0" borderId="0" xfId="11" applyNumberFormat="1" applyAlignment="1">
      <alignment horizontal="right"/>
    </xf>
    <xf numFmtId="3" fontId="13" fillId="7" borderId="0" xfId="11" applyNumberFormat="1" applyFill="1" applyAlignment="1">
      <alignment horizontal="right"/>
    </xf>
    <xf numFmtId="0" fontId="13" fillId="0" borderId="0" xfId="11" applyAlignment="1">
      <alignment horizontal="center"/>
    </xf>
    <xf numFmtId="0" fontId="13" fillId="0" borderId="0" xfId="11" applyBorder="1"/>
    <xf numFmtId="0" fontId="13" fillId="0" borderId="0" xfId="11" applyAlignment="1">
      <alignment wrapText="1"/>
    </xf>
    <xf numFmtId="9" fontId="13" fillId="0" borderId="0" xfId="11" applyNumberFormat="1"/>
    <xf numFmtId="0" fontId="13" fillId="0" borderId="0" xfId="11" applyAlignment="1">
      <alignment horizontal="center" wrapText="1"/>
    </xf>
    <xf numFmtId="3" fontId="13" fillId="0" borderId="0" xfId="11" applyNumberFormat="1" applyAlignment="1"/>
    <xf numFmtId="0" fontId="13" fillId="0" borderId="0" xfId="11" applyAlignment="1"/>
    <xf numFmtId="165" fontId="0" fillId="14" borderId="0" xfId="13" applyNumberFormat="1" applyFont="1" applyFill="1"/>
    <xf numFmtId="2" fontId="0" fillId="12" borderId="0" xfId="0" applyNumberFormat="1" applyFill="1"/>
    <xf numFmtId="0" fontId="0" fillId="7" borderId="0" xfId="0" applyFill="1"/>
    <xf numFmtId="165" fontId="9" fillId="0" borderId="0" xfId="13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11" applyFill="1"/>
    <xf numFmtId="166" fontId="0" fillId="0" borderId="0" xfId="34" applyNumberFormat="1" applyFont="1"/>
    <xf numFmtId="0" fontId="13" fillId="0" borderId="0" xfId="11" applyFill="1"/>
    <xf numFmtId="0" fontId="7" fillId="0" borderId="0" xfId="1" applyFont="1"/>
    <xf numFmtId="2" fontId="0" fillId="16" borderId="0" xfId="0" applyNumberFormat="1" applyFill="1"/>
    <xf numFmtId="0" fontId="0" fillId="16" borderId="0" xfId="0" applyFill="1"/>
    <xf numFmtId="9" fontId="0" fillId="0" borderId="0" xfId="34" applyFont="1"/>
    <xf numFmtId="2" fontId="0" fillId="17" borderId="0" xfId="0" applyNumberFormat="1" applyFill="1"/>
    <xf numFmtId="2" fontId="13" fillId="17" borderId="0" xfId="0" applyNumberFormat="1" applyFont="1" applyFill="1"/>
    <xf numFmtId="0" fontId="0" fillId="17" borderId="0" xfId="0" applyFill="1"/>
    <xf numFmtId="10" fontId="0" fillId="0" borderId="0" xfId="0" applyNumberFormat="1"/>
    <xf numFmtId="3" fontId="0" fillId="0" borderId="0" xfId="0" applyNumberFormat="1" applyFill="1"/>
    <xf numFmtId="0" fontId="0" fillId="0" borderId="0" xfId="0" applyFill="1" applyAlignment="1">
      <alignment horizontal="center" wrapText="1"/>
    </xf>
    <xf numFmtId="3" fontId="0" fillId="0" borderId="0" xfId="0" applyNumberFormat="1" applyFill="1" applyAlignment="1">
      <alignment horizontal="right"/>
    </xf>
    <xf numFmtId="0" fontId="0" fillId="0" borderId="0" xfId="0" applyFill="1" applyAlignment="1"/>
    <xf numFmtId="0" fontId="0" fillId="0" borderId="0" xfId="0" applyFill="1" applyAlignment="1">
      <alignment wrapText="1"/>
    </xf>
    <xf numFmtId="3" fontId="0" fillId="0" borderId="0" xfId="0" applyNumberFormat="1" applyFill="1" applyAlignment="1"/>
    <xf numFmtId="165" fontId="6" fillId="0" borderId="0" xfId="13" applyNumberFormat="1" applyFont="1"/>
    <xf numFmtId="9" fontId="0" fillId="0" borderId="6" xfId="34" applyFont="1" applyFill="1" applyBorder="1"/>
    <xf numFmtId="3" fontId="0" fillId="0" borderId="5" xfId="0" applyNumberFormat="1" applyFill="1" applyBorder="1"/>
    <xf numFmtId="3" fontId="0" fillId="0" borderId="3" xfId="0" applyNumberFormat="1" applyFill="1" applyBorder="1"/>
    <xf numFmtId="3" fontId="0" fillId="13" borderId="1" xfId="0" applyNumberFormat="1" applyFill="1" applyBorder="1"/>
    <xf numFmtId="0" fontId="5" fillId="0" borderId="0" xfId="1" applyFont="1"/>
    <xf numFmtId="165" fontId="4" fillId="19" borderId="0" xfId="30" applyNumberFormat="1" applyFont="1" applyFill="1" applyBorder="1"/>
    <xf numFmtId="165" fontId="0" fillId="0" borderId="0" xfId="30" applyNumberFormat="1" applyFont="1"/>
    <xf numFmtId="0" fontId="13" fillId="0" borderId="0" xfId="8"/>
    <xf numFmtId="165" fontId="13" fillId="7" borderId="0" xfId="30" applyNumberFormat="1" applyFont="1" applyFill="1"/>
    <xf numFmtId="9" fontId="13" fillId="0" borderId="0" xfId="29"/>
    <xf numFmtId="165" fontId="27" fillId="0" borderId="0" xfId="30" applyNumberFormat="1" applyFont="1" applyBorder="1" applyAlignment="1">
      <alignment vertical="center"/>
    </xf>
    <xf numFmtId="3" fontId="13" fillId="7" borderId="0" xfId="58" applyNumberFormat="1" applyFill="1"/>
    <xf numFmtId="3" fontId="0" fillId="0" borderId="0" xfId="0" applyNumberFormat="1" applyFill="1" applyBorder="1"/>
    <xf numFmtId="0" fontId="3" fillId="0" borderId="0" xfId="99"/>
    <xf numFmtId="0" fontId="2" fillId="0" borderId="0" xfId="101"/>
    <xf numFmtId="0" fontId="2" fillId="0" borderId="0" xfId="101"/>
    <xf numFmtId="0" fontId="2" fillId="0" borderId="0" xfId="101"/>
    <xf numFmtId="0" fontId="0" fillId="0" borderId="0" xfId="0" applyAlignment="1">
      <alignment horizontal="center" vertical="center" wrapText="1"/>
    </xf>
    <xf numFmtId="14" fontId="16" fillId="0" borderId="0" xfId="1" applyNumberFormat="1"/>
    <xf numFmtId="167" fontId="0" fillId="0" borderId="0" xfId="0" applyNumberFormat="1"/>
    <xf numFmtId="0" fontId="1" fillId="0" borderId="0" xfId="1" applyFont="1"/>
    <xf numFmtId="0" fontId="13" fillId="0" borderId="4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5" fillId="9" borderId="0" xfId="2" applyFont="1" applyFill="1" applyBorder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0" fontId="26" fillId="18" borderId="0" xfId="1" applyFont="1" applyFill="1" applyAlignment="1">
      <alignment horizontal="center"/>
    </xf>
    <xf numFmtId="0" fontId="25" fillId="15" borderId="0" xfId="1" applyFont="1" applyFill="1" applyAlignment="1">
      <alignment horizontal="center"/>
    </xf>
    <xf numFmtId="0" fontId="13" fillId="9" borderId="0" xfId="11" applyFont="1" applyFill="1" applyBorder="1" applyAlignment="1">
      <alignment horizontal="center" vertical="center" wrapText="1"/>
    </xf>
    <xf numFmtId="15" fontId="13" fillId="0" borderId="0" xfId="11" applyNumberFormat="1" applyAlignment="1">
      <alignment horizontal="center" vertical="center" wrapText="1"/>
    </xf>
    <xf numFmtId="0" fontId="13" fillId="0" borderId="0" xfId="11" applyAlignment="1">
      <alignment horizontal="center" vertical="center" wrapText="1"/>
    </xf>
    <xf numFmtId="0" fontId="0" fillId="0" borderId="0" xfId="0" applyAlignment="1">
      <alignment horizontal="center"/>
    </xf>
  </cellXfs>
  <cellStyles count="115">
    <cellStyle name="20% - Accent1" xfId="76" builtinId="30" customBuiltin="1"/>
    <cellStyle name="20% - Accent1 2" xfId="103" xr:uid="{00000000-0005-0000-0000-000001000000}"/>
    <cellStyle name="20% - Accent2" xfId="80" builtinId="34" customBuiltin="1"/>
    <cellStyle name="20% - Accent2 2" xfId="105" xr:uid="{00000000-0005-0000-0000-000003000000}"/>
    <cellStyle name="20% - Accent3" xfId="84" builtinId="38" customBuiltin="1"/>
    <cellStyle name="20% - Accent3 2" xfId="107" xr:uid="{00000000-0005-0000-0000-000005000000}"/>
    <cellStyle name="20% - Accent4" xfId="88" builtinId="42" customBuiltin="1"/>
    <cellStyle name="20% - Accent4 2" xfId="109" xr:uid="{00000000-0005-0000-0000-000007000000}"/>
    <cellStyle name="20% - Accent5" xfId="92" builtinId="46" customBuiltin="1"/>
    <cellStyle name="20% - Accent5 2" xfId="111" xr:uid="{00000000-0005-0000-0000-000009000000}"/>
    <cellStyle name="20% - Accent6" xfId="96" builtinId="50" customBuiltin="1"/>
    <cellStyle name="20% - Accent6 2" xfId="113" xr:uid="{00000000-0005-0000-0000-00000B000000}"/>
    <cellStyle name="40% - Accent1" xfId="77" builtinId="31" customBuiltin="1"/>
    <cellStyle name="40% - Accent1 2" xfId="104" xr:uid="{00000000-0005-0000-0000-00000D000000}"/>
    <cellStyle name="40% - Accent2" xfId="81" builtinId="35" customBuiltin="1"/>
    <cellStyle name="40% - Accent2 2" xfId="106" xr:uid="{00000000-0005-0000-0000-00000F000000}"/>
    <cellStyle name="40% - Accent3" xfId="85" builtinId="39" customBuiltin="1"/>
    <cellStyle name="40% - Accent3 2" xfId="108" xr:uid="{00000000-0005-0000-0000-000011000000}"/>
    <cellStyle name="40% - Accent4" xfId="89" builtinId="43" customBuiltin="1"/>
    <cellStyle name="40% - Accent4 2" xfId="110" xr:uid="{00000000-0005-0000-0000-000013000000}"/>
    <cellStyle name="40% - Accent5" xfId="93" builtinId="47" customBuiltin="1"/>
    <cellStyle name="40% - Accent5 2" xfId="112" xr:uid="{00000000-0005-0000-0000-000015000000}"/>
    <cellStyle name="40% - Accent6" xfId="97" builtinId="51" customBuiltin="1"/>
    <cellStyle name="40% - Accent6 2" xfId="114" xr:uid="{00000000-0005-0000-0000-000017000000}"/>
    <cellStyle name="60% - Accent1" xfId="78" builtinId="32" customBuiltin="1"/>
    <cellStyle name="60% - Accent2" xfId="82" builtinId="36" customBuiltin="1"/>
    <cellStyle name="60% - Accent3" xfId="86" builtinId="40" customBuiltin="1"/>
    <cellStyle name="60% - Accent4" xfId="90" builtinId="44" customBuiltin="1"/>
    <cellStyle name="60% - Accent5" xfId="94" builtinId="48" customBuiltin="1"/>
    <cellStyle name="60% - Accent6" xfId="98" builtinId="52" customBuiltin="1"/>
    <cellStyle name="Accent1" xfId="75" builtinId="29" customBuiltin="1"/>
    <cellStyle name="Accent2" xfId="79" builtinId="33" customBuiltin="1"/>
    <cellStyle name="Accent3" xfId="83" builtinId="37" customBuiltin="1"/>
    <cellStyle name="Accent4" xfId="87" builtinId="41" customBuiltin="1"/>
    <cellStyle name="Accent5" xfId="91" builtinId="45" customBuiltin="1"/>
    <cellStyle name="Accent6" xfId="95" builtinId="49" customBuiltin="1"/>
    <cellStyle name="Bad" xfId="65" builtinId="27" customBuiltin="1"/>
    <cellStyle name="Calculation" xfId="69" builtinId="22" customBuiltin="1"/>
    <cellStyle name="Check Cell" xfId="71" builtinId="23" customBuiltin="1"/>
    <cellStyle name="Comma" xfId="13" builtinId="3"/>
    <cellStyle name="Comma 2" xfId="30" xr:uid="{00000000-0005-0000-0000-000028000000}"/>
    <cellStyle name="Comma 3" xfId="17" xr:uid="{00000000-0005-0000-0000-000029000000}"/>
    <cellStyle name="Comma 4" xfId="46" xr:uid="{00000000-0005-0000-0000-00002A000000}"/>
    <cellStyle name="Explanatory Text" xfId="73" builtinId="53" customBuiltin="1"/>
    <cellStyle name="Good" xfId="64" builtinId="26" customBuiltin="1"/>
    <cellStyle name="Heading 1" xfId="60" builtinId="16" customBuiltin="1"/>
    <cellStyle name="Heading 2" xfId="61" builtinId="17" customBuiltin="1"/>
    <cellStyle name="Heading 3" xfId="62" builtinId="18" customBuiltin="1"/>
    <cellStyle name="Heading 4" xfId="63" builtinId="19" customBuiltin="1"/>
    <cellStyle name="Input" xfId="67" builtinId="20" customBuiltin="1"/>
    <cellStyle name="Linked Cell" xfId="70" builtinId="24" customBuiltin="1"/>
    <cellStyle name="Neutral" xfId="66" builtinId="28" customBuiltin="1"/>
    <cellStyle name="Normal" xfId="0" builtinId="0"/>
    <cellStyle name="Normal 10" xfId="16" xr:uid="{00000000-0005-0000-0000-000035000000}"/>
    <cellStyle name="Normal 11" xfId="45" xr:uid="{00000000-0005-0000-0000-000036000000}"/>
    <cellStyle name="Normal 12" xfId="99" xr:uid="{00000000-0005-0000-0000-000037000000}"/>
    <cellStyle name="Normal 13" xfId="101" xr:uid="{00000000-0005-0000-0000-000038000000}"/>
    <cellStyle name="Normal 13 3" xfId="58" xr:uid="{00000000-0005-0000-0000-000039000000}"/>
    <cellStyle name="Normal 2" xfId="2" xr:uid="{00000000-0005-0000-0000-00003A000000}"/>
    <cellStyle name="Normal 2 2" xfId="5" xr:uid="{00000000-0005-0000-0000-00003B000000}"/>
    <cellStyle name="Normal 2 2 2" xfId="11" xr:uid="{00000000-0005-0000-0000-00003C000000}"/>
    <cellStyle name="Normal 2 3" xfId="8" xr:uid="{00000000-0005-0000-0000-00003D000000}"/>
    <cellStyle name="Normal 3" xfId="3" xr:uid="{00000000-0005-0000-0000-00003E000000}"/>
    <cellStyle name="Normal 3 2" xfId="9" xr:uid="{00000000-0005-0000-0000-00003F000000}"/>
    <cellStyle name="Normal 3 2 2" xfId="26" xr:uid="{00000000-0005-0000-0000-000040000000}"/>
    <cellStyle name="Normal 3 2 3" xfId="40" xr:uid="{00000000-0005-0000-0000-000041000000}"/>
    <cellStyle name="Normal 3 2 4" xfId="52" xr:uid="{00000000-0005-0000-0000-000042000000}"/>
    <cellStyle name="Normal 3 3" xfId="18" xr:uid="{00000000-0005-0000-0000-000043000000}"/>
    <cellStyle name="Normal 3 4" xfId="36" xr:uid="{00000000-0005-0000-0000-000044000000}"/>
    <cellStyle name="Normal 3 5" xfId="47" xr:uid="{00000000-0005-0000-0000-000045000000}"/>
    <cellStyle name="Normal 4" xfId="4" xr:uid="{00000000-0005-0000-0000-000046000000}"/>
    <cellStyle name="Normal 4 2" xfId="10" xr:uid="{00000000-0005-0000-0000-000047000000}"/>
    <cellStyle name="Normal 4 2 2" xfId="27" xr:uid="{00000000-0005-0000-0000-000048000000}"/>
    <cellStyle name="Normal 4 2 3" xfId="41" xr:uid="{00000000-0005-0000-0000-000049000000}"/>
    <cellStyle name="Normal 4 2 4" xfId="53" xr:uid="{00000000-0005-0000-0000-00004A000000}"/>
    <cellStyle name="Normal 4 3" xfId="19" xr:uid="{00000000-0005-0000-0000-00004B000000}"/>
    <cellStyle name="Normal 4 4" xfId="37" xr:uid="{00000000-0005-0000-0000-00004C000000}"/>
    <cellStyle name="Normal 4 5" xfId="48" xr:uid="{00000000-0005-0000-0000-00004D000000}"/>
    <cellStyle name="Normal 5" xfId="6" xr:uid="{00000000-0005-0000-0000-00004E000000}"/>
    <cellStyle name="Normal 5 2" xfId="12" xr:uid="{00000000-0005-0000-0000-00004F000000}"/>
    <cellStyle name="Normal 5 2 2" xfId="28" xr:uid="{00000000-0005-0000-0000-000050000000}"/>
    <cellStyle name="Normal 5 2 3" xfId="42" xr:uid="{00000000-0005-0000-0000-000051000000}"/>
    <cellStyle name="Normal 5 2 4" xfId="54" xr:uid="{00000000-0005-0000-0000-000052000000}"/>
    <cellStyle name="Normal 5 3" xfId="15" xr:uid="{00000000-0005-0000-0000-000053000000}"/>
    <cellStyle name="Normal 5 3 2" xfId="44" xr:uid="{00000000-0005-0000-0000-000054000000}"/>
    <cellStyle name="Normal 5 4" xfId="20" xr:uid="{00000000-0005-0000-0000-000055000000}"/>
    <cellStyle name="Normal 5 5" xfId="38" xr:uid="{00000000-0005-0000-0000-000056000000}"/>
    <cellStyle name="Normal 5 6" xfId="49" xr:uid="{00000000-0005-0000-0000-000057000000}"/>
    <cellStyle name="Normal 6" xfId="1" xr:uid="{00000000-0005-0000-0000-000058000000}"/>
    <cellStyle name="Normal 6 2" xfId="7" xr:uid="{00000000-0005-0000-0000-000059000000}"/>
    <cellStyle name="Normal 6 2 2" xfId="33" xr:uid="{00000000-0005-0000-0000-00005A000000}"/>
    <cellStyle name="Normal 6 2 3" xfId="39" xr:uid="{00000000-0005-0000-0000-00005B000000}"/>
    <cellStyle name="Normal 6 2 4" xfId="57" xr:uid="{00000000-0005-0000-0000-00005C000000}"/>
    <cellStyle name="Normal 6 3" xfId="14" xr:uid="{00000000-0005-0000-0000-00005D000000}"/>
    <cellStyle name="Normal 6 3 2" xfId="43" xr:uid="{00000000-0005-0000-0000-00005E000000}"/>
    <cellStyle name="Normal 6 4" xfId="21" xr:uid="{00000000-0005-0000-0000-00005F000000}"/>
    <cellStyle name="Normal 6 5" xfId="35" xr:uid="{00000000-0005-0000-0000-000060000000}"/>
    <cellStyle name="Normal 6 6" xfId="50" xr:uid="{00000000-0005-0000-0000-000061000000}"/>
    <cellStyle name="Normal 7" xfId="22" xr:uid="{00000000-0005-0000-0000-000062000000}"/>
    <cellStyle name="Normal 7 2" xfId="25" xr:uid="{00000000-0005-0000-0000-000063000000}"/>
    <cellStyle name="Normal 7 3" xfId="51" xr:uid="{00000000-0005-0000-0000-000064000000}"/>
    <cellStyle name="Normal 8" xfId="23" xr:uid="{00000000-0005-0000-0000-000065000000}"/>
    <cellStyle name="Normal 9" xfId="24" xr:uid="{00000000-0005-0000-0000-000066000000}"/>
    <cellStyle name="Normal 9 2" xfId="32" xr:uid="{00000000-0005-0000-0000-000067000000}"/>
    <cellStyle name="Normal 9 2 2" xfId="56" xr:uid="{00000000-0005-0000-0000-000068000000}"/>
    <cellStyle name="Note 2" xfId="100" xr:uid="{00000000-0005-0000-0000-000069000000}"/>
    <cellStyle name="Note 3" xfId="102" xr:uid="{00000000-0005-0000-0000-00006A000000}"/>
    <cellStyle name="Output" xfId="68" builtinId="21" customBuiltin="1"/>
    <cellStyle name="Percent" xfId="34" builtinId="5"/>
    <cellStyle name="Percent 2" xfId="29" xr:uid="{00000000-0005-0000-0000-00006D000000}"/>
    <cellStyle name="Percent 3" xfId="31" xr:uid="{00000000-0005-0000-0000-00006E000000}"/>
    <cellStyle name="Percent 4" xfId="55" xr:uid="{00000000-0005-0000-0000-00006F000000}"/>
    <cellStyle name="Title" xfId="59" builtinId="15" customBuiltin="1"/>
    <cellStyle name="Total" xfId="74" builtinId="25" customBuiltin="1"/>
    <cellStyle name="Warning Text" xfId="7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30</xdr:row>
      <xdr:rowOff>114300</xdr:rowOff>
    </xdr:from>
    <xdr:to>
      <xdr:col>13</xdr:col>
      <xdr:colOff>542925</xdr:colOff>
      <xdr:row>41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42950" y="4972050"/>
          <a:ext cx="7439025" cy="175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Looks like using the RKCS data increases</a:t>
          </a:r>
          <a:r>
            <a:rPr lang="en-US" sz="1100" baseline="0"/>
            <a:t> the biomass estimate in most years by 7 %</a:t>
          </a:r>
        </a:p>
        <a:p>
          <a:endParaRPr lang="en-US" sz="1100" baseline="0"/>
        </a:p>
        <a:p>
          <a:r>
            <a:rPr lang="en-US" sz="1100" baseline="0"/>
            <a:t>So to correct back to the BOTH surveys data we need to decrease the RKCS ONLY biomass estimates by about 7%</a:t>
          </a:r>
        </a:p>
        <a:p>
          <a:endParaRPr lang="en-US" sz="1100" baseline="0"/>
        </a:p>
        <a:p>
          <a:r>
            <a:rPr lang="en-US" sz="1100" baseline="0"/>
            <a:t>Will most likely use sepearte % -ages for pre-R, legal, and mature.  </a:t>
          </a:r>
        </a:p>
        <a:p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4"/>
  <sheetViews>
    <sheetView tabSelected="1" topLeftCell="Q8" workbookViewId="0">
      <selection activeCell="AK10" sqref="AK10"/>
    </sheetView>
  </sheetViews>
  <sheetFormatPr defaultColWidth="9.109375" defaultRowHeight="13.2" x14ac:dyDescent="0.25"/>
  <cols>
    <col min="1" max="1" width="7.109375" style="43" customWidth="1"/>
    <col min="2" max="2" width="7.5546875" style="43" customWidth="1"/>
    <col min="3" max="3" width="6" style="43" customWidth="1"/>
    <col min="4" max="4" width="6.6640625" style="43" customWidth="1"/>
    <col min="5" max="5" width="6.33203125" style="43" customWidth="1"/>
    <col min="6" max="6" width="2" style="43" customWidth="1"/>
    <col min="7" max="7" width="10.5546875" style="43" bestFit="1" customWidth="1"/>
    <col min="8" max="9" width="9.6640625" style="43" customWidth="1"/>
    <col min="10" max="11" width="7.33203125" style="43" customWidth="1"/>
    <col min="12" max="12" width="9.109375" style="43" customWidth="1"/>
    <col min="13" max="13" width="13.44140625" style="43" customWidth="1"/>
    <col min="14" max="14" width="10.88671875" style="43" customWidth="1"/>
    <col min="15" max="15" width="10.33203125" style="43" customWidth="1"/>
    <col min="16" max="16" width="10.5546875" style="43" customWidth="1"/>
    <col min="17" max="19" width="9.109375" style="43"/>
    <col min="20" max="20" width="14" style="43" customWidth="1"/>
    <col min="21" max="23" width="9.109375" style="43"/>
    <col min="24" max="24" width="7.33203125" style="43" customWidth="1"/>
    <col min="25" max="26" width="9.109375" style="43"/>
    <col min="27" max="27" width="7.6640625" style="43" customWidth="1"/>
    <col min="28" max="29" width="11.5546875" style="43" customWidth="1"/>
    <col min="30" max="30" width="10.5546875" style="43" bestFit="1" customWidth="1"/>
    <col min="31" max="37" width="9.109375" style="43"/>
    <col min="38" max="38" width="19.5546875" style="43" customWidth="1"/>
    <col min="39" max="16384" width="9.109375" style="43"/>
  </cols>
  <sheetData>
    <row r="1" spans="1:42" ht="15" thickBot="1" x14ac:dyDescent="0.35">
      <c r="A1" s="20" t="s">
        <v>46</v>
      </c>
      <c r="B1" s="20"/>
      <c r="C1" s="143" t="s">
        <v>83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25" t="s">
        <v>19</v>
      </c>
      <c r="O1" s="20"/>
      <c r="P1" s="20"/>
      <c r="Q1" s="20"/>
      <c r="R1" s="20"/>
      <c r="S1" s="26" t="s">
        <v>47</v>
      </c>
    </row>
    <row r="2" spans="1:42" ht="14.4" x14ac:dyDescent="0.3">
      <c r="A2" s="20" t="s">
        <v>48</v>
      </c>
      <c r="B2" s="20" t="s">
        <v>53</v>
      </c>
      <c r="C2" s="20"/>
      <c r="D2" s="20"/>
      <c r="E2" s="20"/>
      <c r="F2" s="20"/>
      <c r="G2" s="135">
        <v>44507</v>
      </c>
      <c r="H2" s="20"/>
      <c r="I2" s="20"/>
      <c r="J2" s="20"/>
      <c r="K2" s="20"/>
      <c r="L2" s="20"/>
      <c r="M2" s="20"/>
      <c r="N2" s="23" t="s">
        <v>49</v>
      </c>
      <c r="O2" s="21">
        <f>P2/1000000</f>
        <v>5.7964710817805531E-5</v>
      </c>
      <c r="P2" s="47">
        <v>57.964710817805532</v>
      </c>
      <c r="Q2" s="20"/>
      <c r="R2" s="20"/>
      <c r="S2" s="22">
        <f>SUM(Y10:Y34)</f>
        <v>104.27750701588408</v>
      </c>
      <c r="AA2" s="46" t="s">
        <v>92</v>
      </c>
    </row>
    <row r="3" spans="1:42" ht="14.4" x14ac:dyDescent="0.3">
      <c r="A3" s="20" t="s">
        <v>1</v>
      </c>
      <c r="B3" s="20">
        <v>2021</v>
      </c>
      <c r="C3" s="50" t="s">
        <v>72</v>
      </c>
      <c r="D3" s="20"/>
      <c r="E3" s="137" t="s">
        <v>99</v>
      </c>
      <c r="F3" s="20"/>
      <c r="G3" s="121" t="s">
        <v>86</v>
      </c>
      <c r="H3" s="20"/>
      <c r="I3" s="20"/>
      <c r="J3" s="20"/>
      <c r="K3" s="20"/>
      <c r="L3" s="20"/>
      <c r="M3" s="20"/>
      <c r="N3" s="23" t="s">
        <v>50</v>
      </c>
      <c r="O3" s="21">
        <f>P3/100</f>
        <v>0.80072475538133692</v>
      </c>
      <c r="P3" s="24">
        <v>80.072475538133688</v>
      </c>
      <c r="Q3" s="20"/>
      <c r="R3" s="20"/>
      <c r="S3" s="20"/>
      <c r="Y3" s="46" t="s">
        <v>93</v>
      </c>
      <c r="AA3" s="46" t="s">
        <v>94</v>
      </c>
      <c r="AB3" s="45">
        <f>AVERAGE(AB10:AB19)</f>
        <v>94541.805578418047</v>
      </c>
      <c r="AC3" s="45">
        <f t="shared" ref="AC3:AD3" si="0">AVERAGE(AC10:AC19)</f>
        <v>289371.57655790064</v>
      </c>
      <c r="AD3" s="45">
        <f t="shared" si="0"/>
        <v>383913.38213631872</v>
      </c>
    </row>
    <row r="4" spans="1:42" ht="14.4" x14ac:dyDescent="0.3">
      <c r="A4" s="27" t="s">
        <v>51</v>
      </c>
      <c r="B4" s="20">
        <v>1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3" t="s">
        <v>52</v>
      </c>
      <c r="O4" s="20">
        <v>-0.3</v>
      </c>
      <c r="P4" s="20">
        <v>0.74081822068171788</v>
      </c>
      <c r="Q4" s="20"/>
      <c r="R4" s="20"/>
      <c r="S4" s="20"/>
    </row>
    <row r="5" spans="1:42" x14ac:dyDescent="0.25">
      <c r="C5" s="18" t="s">
        <v>55</v>
      </c>
      <c r="O5" s="43" t="s">
        <v>14</v>
      </c>
      <c r="P5" s="43">
        <v>-0.3</v>
      </c>
      <c r="Q5" s="43">
        <f>+EXP(P5)</f>
        <v>0.74081822068171788</v>
      </c>
    </row>
    <row r="6" spans="1:42" x14ac:dyDescent="0.25">
      <c r="AH6" s="46" t="s">
        <v>91</v>
      </c>
    </row>
    <row r="7" spans="1:42" ht="12.75" customHeight="1" x14ac:dyDescent="0.25">
      <c r="A7" s="140" t="s">
        <v>2</v>
      </c>
      <c r="B7" s="140" t="s">
        <v>3</v>
      </c>
      <c r="C7" s="140" t="s">
        <v>4</v>
      </c>
      <c r="D7" s="140" t="s">
        <v>0</v>
      </c>
      <c r="E7" s="140" t="s">
        <v>5</v>
      </c>
      <c r="G7" s="140" t="s">
        <v>6</v>
      </c>
      <c r="H7" s="142" t="s">
        <v>7</v>
      </c>
      <c r="I7" s="142" t="s">
        <v>8</v>
      </c>
      <c r="J7" s="140" t="s">
        <v>9</v>
      </c>
      <c r="K7" s="140" t="s">
        <v>10</v>
      </c>
      <c r="L7" s="140" t="s">
        <v>11</v>
      </c>
      <c r="M7" s="140" t="s">
        <v>12</v>
      </c>
      <c r="N7" s="140" t="s">
        <v>13</v>
      </c>
      <c r="O7" s="43" t="s">
        <v>19</v>
      </c>
      <c r="Q7" s="35" t="s">
        <v>20</v>
      </c>
      <c r="AB7" s="140" t="s">
        <v>15</v>
      </c>
      <c r="AC7" s="140" t="s">
        <v>16</v>
      </c>
      <c r="AD7" s="140" t="s">
        <v>17</v>
      </c>
      <c r="AE7" s="140" t="s">
        <v>18</v>
      </c>
      <c r="AF7" s="134"/>
      <c r="AG7" s="140" t="s">
        <v>15</v>
      </c>
      <c r="AH7" s="140" t="s">
        <v>16</v>
      </c>
      <c r="AI7" s="140" t="s">
        <v>17</v>
      </c>
      <c r="AJ7" s="97"/>
      <c r="AM7" s="141" t="s">
        <v>62</v>
      </c>
    </row>
    <row r="8" spans="1:42" ht="12.75" customHeight="1" x14ac:dyDescent="0.25">
      <c r="A8" s="140"/>
      <c r="B8" s="140"/>
      <c r="C8" s="140"/>
      <c r="D8" s="140"/>
      <c r="E8" s="140"/>
      <c r="G8" s="140"/>
      <c r="H8" s="142"/>
      <c r="I8" s="142"/>
      <c r="J8" s="140"/>
      <c r="K8" s="140"/>
      <c r="L8" s="140"/>
      <c r="M8" s="140"/>
      <c r="N8" s="140"/>
      <c r="O8" s="48">
        <f t="shared" ref="O8:O27" si="1">+P8</f>
        <v>5.1098614780710472</v>
      </c>
      <c r="P8" s="47">
        <v>5.1098614780710472</v>
      </c>
      <c r="Q8" s="33" t="s">
        <v>57</v>
      </c>
      <c r="R8" s="33" t="s">
        <v>58</v>
      </c>
      <c r="S8" s="33" t="s">
        <v>59</v>
      </c>
      <c r="T8" s="36" t="s">
        <v>60</v>
      </c>
      <c r="U8" s="36" t="s">
        <v>61</v>
      </c>
      <c r="V8" s="35"/>
      <c r="W8" s="35"/>
      <c r="AB8" s="140"/>
      <c r="AC8" s="140"/>
      <c r="AD8" s="140"/>
      <c r="AE8" s="140"/>
      <c r="AF8" s="134"/>
      <c r="AG8" s="140"/>
      <c r="AH8" s="140"/>
      <c r="AI8" s="140"/>
      <c r="AJ8" s="97"/>
      <c r="AM8" s="141"/>
    </row>
    <row r="9" spans="1:42" x14ac:dyDescent="0.25">
      <c r="A9" s="43">
        <v>1996</v>
      </c>
      <c r="B9" s="43" t="s">
        <v>23</v>
      </c>
      <c r="G9" s="93">
        <v>49692</v>
      </c>
      <c r="H9" s="17">
        <v>35479</v>
      </c>
      <c r="I9" s="4"/>
      <c r="J9" s="6"/>
      <c r="K9" s="6"/>
      <c r="L9" s="6"/>
      <c r="M9" s="44"/>
      <c r="N9" s="44"/>
      <c r="O9" s="48">
        <f t="shared" si="1"/>
        <v>5.0412928903929632</v>
      </c>
      <c r="P9" s="47">
        <v>5.0412928903929632</v>
      </c>
      <c r="AA9" s="43">
        <f t="shared" ref="AA9:AA34" si="2">+A9</f>
        <v>1996</v>
      </c>
      <c r="AB9" s="45">
        <f>+(Q9/O$2)*L9</f>
        <v>0</v>
      </c>
      <c r="AC9" s="45">
        <f>+((R9+S9)/O$2)*K9</f>
        <v>0</v>
      </c>
      <c r="AD9" s="45">
        <f t="shared" ref="AD9:AD23" si="3">+AC9+AB9</f>
        <v>0</v>
      </c>
      <c r="AE9" s="45">
        <f t="shared" ref="AE9:AE27" si="4">+AD9*0.2</f>
        <v>0</v>
      </c>
      <c r="AF9" s="45"/>
      <c r="AG9" s="45"/>
      <c r="AH9" s="45"/>
      <c r="AI9" s="45"/>
      <c r="AO9" s="43">
        <f t="shared" ref="AO9:AO18" si="5">+S9</f>
        <v>0</v>
      </c>
      <c r="AP9" s="43">
        <f t="shared" ref="AP9:AP18" si="6">+E9</f>
        <v>0</v>
      </c>
    </row>
    <row r="10" spans="1:42" x14ac:dyDescent="0.25">
      <c r="A10" s="43">
        <v>1997</v>
      </c>
      <c r="B10" s="43" t="s">
        <v>24</v>
      </c>
      <c r="C10" s="103">
        <v>7.9827102517000004</v>
      </c>
      <c r="D10" s="103">
        <v>5.0653080932999996</v>
      </c>
      <c r="E10" s="103">
        <v>5.1345351917000004</v>
      </c>
      <c r="G10" s="93">
        <v>75649</v>
      </c>
      <c r="H10" s="17">
        <v>35844</v>
      </c>
      <c r="I10" s="10">
        <v>35709</v>
      </c>
      <c r="J10" s="106">
        <v>2.0537314115999998</v>
      </c>
      <c r="K10" s="106">
        <v>2.6324037696999998</v>
      </c>
      <c r="L10" s="106">
        <v>1.303095098</v>
      </c>
      <c r="M10" s="44">
        <f t="shared" ref="M10:M22" si="7">+(I10-H9)/365</f>
        <v>0.63013698630136983</v>
      </c>
      <c r="N10" s="44">
        <f t="shared" ref="N10:N22" si="8">+(I10-I9)/365</f>
        <v>97.832876712328769</v>
      </c>
      <c r="O10" s="48">
        <f t="shared" si="1"/>
        <v>8.8926894138083288</v>
      </c>
      <c r="P10" s="47">
        <v>8.8926894138083288</v>
      </c>
      <c r="Q10" s="43">
        <f t="shared" ref="Q10:Q27" si="9">+O10</f>
        <v>8.8926894138083288</v>
      </c>
      <c r="R10" s="43">
        <f>+O9</f>
        <v>5.0412928903929632</v>
      </c>
      <c r="S10" s="43">
        <f>+O8</f>
        <v>5.1098614780710472</v>
      </c>
      <c r="T10" s="43">
        <f>SUM(Q10:S10)</f>
        <v>19.04384378227234</v>
      </c>
      <c r="U10" s="43">
        <f t="shared" ref="U10:W25" si="10">+(LN(Q10)-LN(C10))^2</f>
        <v>1.1653535134020706E-2</v>
      </c>
      <c r="V10" s="43">
        <f t="shared" si="10"/>
        <v>2.2585198263486972E-5</v>
      </c>
      <c r="W10" s="43">
        <f t="shared" si="10"/>
        <v>2.3203737195373476E-5</v>
      </c>
      <c r="X10" s="43">
        <v>10</v>
      </c>
      <c r="Y10" s="43">
        <f t="shared" ref="Y10:Y18" si="11">+SUM(U10:W10)*X10</f>
        <v>0.11699324069479566</v>
      </c>
      <c r="AA10" s="43">
        <f t="shared" si="2"/>
        <v>1997</v>
      </c>
      <c r="AB10" s="45">
        <f t="shared" ref="AB10:AB27" si="12">+(Q10/O$2)*L10</f>
        <v>199915.08315453428</v>
      </c>
      <c r="AC10" s="45">
        <f>+((R10+S10)/O$2)*K10</f>
        <v>461003.54248887009</v>
      </c>
      <c r="AD10" s="45">
        <f t="shared" si="3"/>
        <v>660918.62564340443</v>
      </c>
      <c r="AE10" s="45">
        <f t="shared" si="4"/>
        <v>132183.7251286809</v>
      </c>
      <c r="AF10" s="45"/>
      <c r="AG10" s="45">
        <f t="shared" ref="AG10:AH29" si="13">AB10*(1+$AC$37)</f>
        <v>185805.67917606773</v>
      </c>
      <c r="AH10" s="45">
        <f t="shared" si="13"/>
        <v>428467.30203195731</v>
      </c>
      <c r="AI10" s="45">
        <f>AD10*(1+$AD$37)</f>
        <v>611153.23035062221</v>
      </c>
      <c r="AM10" s="45">
        <f t="shared" ref="AM10:AM25" si="14">G10*K10</f>
        <v>199138.71277403529</v>
      </c>
      <c r="AO10" s="43">
        <f t="shared" si="5"/>
        <v>5.1098614780710472</v>
      </c>
      <c r="AP10" s="43">
        <f t="shared" si="6"/>
        <v>5.1345351917000004</v>
      </c>
    </row>
    <row r="11" spans="1:42" x14ac:dyDescent="0.25">
      <c r="A11" s="43">
        <v>1998</v>
      </c>
      <c r="B11" s="43" t="s">
        <v>25</v>
      </c>
      <c r="C11" s="103">
        <v>5.0807515048000003</v>
      </c>
      <c r="D11" s="103">
        <v>15.905345603000001</v>
      </c>
      <c r="E11" s="103">
        <v>6.2913470910999996</v>
      </c>
      <c r="G11" s="93">
        <v>57877</v>
      </c>
      <c r="H11" s="17">
        <v>36209</v>
      </c>
      <c r="I11" s="10">
        <v>35982</v>
      </c>
      <c r="J11" s="106">
        <v>2.6355057618000002</v>
      </c>
      <c r="K11" s="106">
        <v>2.8677286012000001</v>
      </c>
      <c r="L11" s="106">
        <v>1.3679560965999999</v>
      </c>
      <c r="M11" s="44">
        <f t="shared" si="7"/>
        <v>0.37808219178082192</v>
      </c>
      <c r="N11" s="44">
        <f t="shared" si="8"/>
        <v>0.74794520547945209</v>
      </c>
      <c r="O11" s="48">
        <f t="shared" si="1"/>
        <v>6.0902314418352352</v>
      </c>
      <c r="P11" s="47">
        <v>6.0902314418352352</v>
      </c>
      <c r="Q11" s="43">
        <f t="shared" si="9"/>
        <v>6.0902314418352352</v>
      </c>
      <c r="R11" s="43">
        <f>+Q10*O$3</f>
        <v>7.1205965555538784</v>
      </c>
      <c r="S11" s="43">
        <f>+(R10+S10)*EXP(P$5*N11)-O$2*G10*EXP(M11*P$5)</f>
        <v>4.196081498354836</v>
      </c>
      <c r="T11" s="43">
        <f t="shared" ref="T11:T19" si="15">SUM(Q11:S11)</f>
        <v>17.40690949574395</v>
      </c>
      <c r="U11" s="43">
        <f t="shared" si="10"/>
        <v>3.2843189254661245E-2</v>
      </c>
      <c r="V11" s="43">
        <f t="shared" si="10"/>
        <v>0.64587541721860331</v>
      </c>
      <c r="W11" s="43">
        <f>+(LN(S11)-LN(E11))^2</f>
        <v>0.1640445203623348</v>
      </c>
      <c r="X11" s="43">
        <v>10</v>
      </c>
      <c r="Y11" s="43">
        <f t="shared" si="11"/>
        <v>8.4276312683559933</v>
      </c>
      <c r="AA11" s="43">
        <f t="shared" si="2"/>
        <v>1998</v>
      </c>
      <c r="AB11" s="45">
        <f t="shared" si="12"/>
        <v>143728.29801135417</v>
      </c>
      <c r="AC11" s="45">
        <f t="shared" ref="AC11:AC27" si="16">+((R11+S11)/O$2)*K11</f>
        <v>559877.91309393453</v>
      </c>
      <c r="AD11" s="45">
        <f t="shared" si="3"/>
        <v>703606.2111052887</v>
      </c>
      <c r="AE11" s="45">
        <f t="shared" si="4"/>
        <v>140721.24222105774</v>
      </c>
      <c r="AF11" s="45"/>
      <c r="AG11" s="45">
        <f t="shared" si="13"/>
        <v>133584.38796824828</v>
      </c>
      <c r="AH11" s="45">
        <f t="shared" si="13"/>
        <v>520363.41759007721</v>
      </c>
      <c r="AI11" s="45">
        <f t="shared" ref="AI11:AI30" si="17">AD11*(1+$AD$37)</f>
        <v>650626.55541465944</v>
      </c>
      <c r="AL11" s="13">
        <f t="shared" ref="AL11:AL24" si="18">(AC11-AC10)/AC10</f>
        <v>0.21447637922967056</v>
      </c>
      <c r="AM11" s="45">
        <f t="shared" si="14"/>
        <v>165975.5282516524</v>
      </c>
      <c r="AO11" s="43">
        <f t="shared" si="5"/>
        <v>4.196081498354836</v>
      </c>
      <c r="AP11" s="43">
        <f t="shared" si="6"/>
        <v>6.2913470910999996</v>
      </c>
    </row>
    <row r="12" spans="1:42" x14ac:dyDescent="0.25">
      <c r="A12" s="43">
        <v>1999</v>
      </c>
      <c r="B12" s="43" t="s">
        <v>26</v>
      </c>
      <c r="C12" s="103">
        <v>1.5936633434</v>
      </c>
      <c r="D12" s="103">
        <v>7.4446122579000003</v>
      </c>
      <c r="E12" s="103">
        <v>3.0967507509000001</v>
      </c>
      <c r="G12" s="93">
        <v>86656</v>
      </c>
      <c r="H12" s="17">
        <v>36574</v>
      </c>
      <c r="I12" s="10">
        <v>36454</v>
      </c>
      <c r="J12" s="106">
        <v>2.6756580781000001</v>
      </c>
      <c r="K12" s="106">
        <v>2.8771831676000001</v>
      </c>
      <c r="L12" s="106">
        <v>1.315363724</v>
      </c>
      <c r="M12" s="44">
        <f t="shared" si="7"/>
        <v>0.67123287671232879</v>
      </c>
      <c r="N12" s="44">
        <f t="shared" si="8"/>
        <v>1.2931506849315069</v>
      </c>
      <c r="O12" s="48">
        <f t="shared" si="1"/>
        <v>2.5961653996492511</v>
      </c>
      <c r="P12" s="47">
        <v>2.5961653996492511</v>
      </c>
      <c r="Q12" s="43">
        <f t="shared" si="9"/>
        <v>2.5961653996492511</v>
      </c>
      <c r="R12" s="43">
        <f t="shared" ref="R12:R27" si="19">+Q11*O$3</f>
        <v>4.8765990814792453</v>
      </c>
      <c r="S12" s="43">
        <f t="shared" ref="S12:S27" si="20">+(R11+S11)*EXP(P$5*N12)-O$2*G11*EXP(M12*P$5)</f>
        <v>4.9348575627946563</v>
      </c>
      <c r="T12" s="43">
        <f t="shared" si="15"/>
        <v>12.407622043923153</v>
      </c>
      <c r="U12" s="43">
        <f t="shared" si="10"/>
        <v>0.23814415069895992</v>
      </c>
      <c r="V12" s="43">
        <f t="shared" si="10"/>
        <v>0.17896497079107609</v>
      </c>
      <c r="W12" s="43">
        <f t="shared" si="10"/>
        <v>0.21712840704181954</v>
      </c>
      <c r="X12" s="43">
        <v>10</v>
      </c>
      <c r="Y12" s="43">
        <f t="shared" si="11"/>
        <v>6.3423752853185551</v>
      </c>
      <c r="AA12" s="43">
        <f t="shared" si="2"/>
        <v>1999</v>
      </c>
      <c r="AB12" s="45">
        <f t="shared" si="12"/>
        <v>58913.462001670188</v>
      </c>
      <c r="AC12" s="45">
        <f t="shared" si="16"/>
        <v>487009.38050519157</v>
      </c>
      <c r="AD12" s="45">
        <f t="shared" si="3"/>
        <v>545922.84250686178</v>
      </c>
      <c r="AE12" s="45">
        <f t="shared" si="4"/>
        <v>109184.56850137236</v>
      </c>
      <c r="AF12" s="45"/>
      <c r="AG12" s="45">
        <f t="shared" si="13"/>
        <v>54755.527432475828</v>
      </c>
      <c r="AH12" s="45">
        <f t="shared" si="13"/>
        <v>452637.72638873413</v>
      </c>
      <c r="AI12" s="45">
        <f t="shared" si="17"/>
        <v>504816.32045921159</v>
      </c>
      <c r="AL12" s="13">
        <f t="shared" si="18"/>
        <v>-0.13015075409220031</v>
      </c>
      <c r="AM12" s="45">
        <f t="shared" si="14"/>
        <v>249325.1845715456</v>
      </c>
      <c r="AO12" s="43">
        <f t="shared" si="5"/>
        <v>4.9348575627946563</v>
      </c>
      <c r="AP12" s="43">
        <f t="shared" si="6"/>
        <v>3.0967507509000001</v>
      </c>
    </row>
    <row r="13" spans="1:42" x14ac:dyDescent="0.25">
      <c r="A13" s="43">
        <v>2000</v>
      </c>
      <c r="B13" s="43" t="s">
        <v>27</v>
      </c>
      <c r="C13" s="103">
        <v>2.6100971672000002</v>
      </c>
      <c r="D13" s="103">
        <v>2.5724632931000002</v>
      </c>
      <c r="E13" s="103">
        <v>1.6858693633999999</v>
      </c>
      <c r="G13" s="93">
        <v>52747</v>
      </c>
      <c r="H13" s="17">
        <v>36940</v>
      </c>
      <c r="I13" s="10">
        <v>36817</v>
      </c>
      <c r="J13" s="106">
        <v>2.2188555803000001</v>
      </c>
      <c r="K13" s="106">
        <v>2.7599705972000002</v>
      </c>
      <c r="L13" s="106">
        <v>1.2929476626</v>
      </c>
      <c r="M13" s="44">
        <f t="shared" si="7"/>
        <v>0.66575342465753429</v>
      </c>
      <c r="N13" s="44">
        <f t="shared" si="8"/>
        <v>0.9945205479452055</v>
      </c>
      <c r="O13" s="48">
        <f t="shared" si="1"/>
        <v>3.9014035702976759</v>
      </c>
      <c r="P13" s="47">
        <v>3.9014035702976759</v>
      </c>
      <c r="Q13" s="43">
        <f t="shared" si="9"/>
        <v>3.9014035702976759</v>
      </c>
      <c r="R13" s="43">
        <f t="shared" si="19"/>
        <v>2.0788139045636376</v>
      </c>
      <c r="S13" s="43">
        <f t="shared" si="20"/>
        <v>3.1668606783978568</v>
      </c>
      <c r="T13" s="43">
        <f t="shared" si="15"/>
        <v>9.1470781532591694</v>
      </c>
      <c r="U13" s="43">
        <f t="shared" si="10"/>
        <v>0.16156294132875701</v>
      </c>
      <c r="V13" s="43">
        <f t="shared" si="10"/>
        <v>4.5397302224663712E-2</v>
      </c>
      <c r="W13" s="43">
        <f t="shared" si="10"/>
        <v>0.39747905694205504</v>
      </c>
      <c r="X13" s="43">
        <v>10</v>
      </c>
      <c r="Y13" s="43">
        <f t="shared" si="11"/>
        <v>6.0443930049547578</v>
      </c>
      <c r="AA13" s="43">
        <f t="shared" si="2"/>
        <v>2000</v>
      </c>
      <c r="AB13" s="45">
        <f t="shared" si="12"/>
        <v>87023.821147507042</v>
      </c>
      <c r="AC13" s="45">
        <f t="shared" si="16"/>
        <v>249771.06600186456</v>
      </c>
      <c r="AD13" s="45">
        <f t="shared" si="3"/>
        <v>336794.88714937161</v>
      </c>
      <c r="AE13" s="45">
        <f t="shared" si="4"/>
        <v>67358.977429874329</v>
      </c>
      <c r="AF13" s="45"/>
      <c r="AG13" s="45">
        <f t="shared" si="13"/>
        <v>80881.942160963197</v>
      </c>
      <c r="AH13" s="45">
        <f t="shared" si="13"/>
        <v>232142.9770315671</v>
      </c>
      <c r="AI13" s="45">
        <f t="shared" si="17"/>
        <v>311435.13779254293</v>
      </c>
      <c r="AL13" s="13">
        <f t="shared" si="18"/>
        <v>-0.48713294650963718</v>
      </c>
      <c r="AM13" s="45">
        <f t="shared" si="14"/>
        <v>145580.1690905084</v>
      </c>
      <c r="AO13" s="43">
        <f t="shared" si="5"/>
        <v>3.1668606783978568</v>
      </c>
      <c r="AP13" s="43">
        <f t="shared" si="6"/>
        <v>1.6858693633999999</v>
      </c>
    </row>
    <row r="14" spans="1:42" x14ac:dyDescent="0.25">
      <c r="A14" s="43">
        <v>2001</v>
      </c>
      <c r="B14" s="43" t="s">
        <v>28</v>
      </c>
      <c r="C14" s="103">
        <v>5.8036830575999998</v>
      </c>
      <c r="D14" s="103">
        <v>4.2651988897999997</v>
      </c>
      <c r="E14" s="103">
        <v>1.7045007778000001</v>
      </c>
      <c r="G14" s="93">
        <v>44592</v>
      </c>
      <c r="H14" s="17">
        <v>37305</v>
      </c>
      <c r="I14" s="10">
        <v>37176</v>
      </c>
      <c r="J14" s="106">
        <v>2.0080445487</v>
      </c>
      <c r="K14" s="106">
        <v>2.6667197584000002</v>
      </c>
      <c r="L14" s="106">
        <v>1.2714964078</v>
      </c>
      <c r="M14" s="44">
        <f t="shared" si="7"/>
        <v>0.64657534246575343</v>
      </c>
      <c r="N14" s="44">
        <f t="shared" si="8"/>
        <v>0.98356164383561639</v>
      </c>
      <c r="O14" s="48">
        <f t="shared" si="1"/>
        <v>4.4631556448007661</v>
      </c>
      <c r="P14" s="47">
        <v>4.4631556448007661</v>
      </c>
      <c r="Q14" s="43">
        <f t="shared" si="9"/>
        <v>4.4631556448007661</v>
      </c>
      <c r="R14" s="43">
        <f t="shared" si="19"/>
        <v>3.1239504194704812</v>
      </c>
      <c r="S14" s="43">
        <f t="shared" si="20"/>
        <v>1.3869290472672131</v>
      </c>
      <c r="T14" s="43">
        <f t="shared" si="15"/>
        <v>8.9740351115384609</v>
      </c>
      <c r="U14" s="43">
        <f t="shared" si="10"/>
        <v>6.8978018554335371E-2</v>
      </c>
      <c r="V14" s="43">
        <f t="shared" si="10"/>
        <v>9.6964013513233124E-2</v>
      </c>
      <c r="W14" s="43">
        <f t="shared" si="10"/>
        <v>4.2510309688523526E-2</v>
      </c>
      <c r="X14" s="43">
        <v>10</v>
      </c>
      <c r="Y14" s="43">
        <f t="shared" si="11"/>
        <v>2.08452341756092</v>
      </c>
      <c r="AA14" s="43">
        <f t="shared" si="2"/>
        <v>2001</v>
      </c>
      <c r="AB14" s="45">
        <f t="shared" si="12"/>
        <v>97902.435632841327</v>
      </c>
      <c r="AC14" s="45">
        <f t="shared" si="16"/>
        <v>207527.15284857654</v>
      </c>
      <c r="AD14" s="45">
        <f t="shared" si="3"/>
        <v>305429.58848141786</v>
      </c>
      <c r="AE14" s="45">
        <f t="shared" si="4"/>
        <v>61085.917696283577</v>
      </c>
      <c r="AF14" s="45"/>
      <c r="AG14" s="45">
        <f t="shared" si="13"/>
        <v>90992.776826598085</v>
      </c>
      <c r="AH14" s="45">
        <f t="shared" si="13"/>
        <v>192880.51193565386</v>
      </c>
      <c r="AI14" s="45">
        <f t="shared" si="17"/>
        <v>282431.56177261914</v>
      </c>
      <c r="AL14" s="13">
        <f t="shared" si="18"/>
        <v>-0.16913053152831026</v>
      </c>
      <c r="AM14" s="45">
        <f t="shared" si="14"/>
        <v>118914.3674665728</v>
      </c>
      <c r="AO14" s="43">
        <f t="shared" si="5"/>
        <v>1.3869290472672131</v>
      </c>
      <c r="AP14" s="43">
        <f t="shared" si="6"/>
        <v>1.7045007778000001</v>
      </c>
    </row>
    <row r="15" spans="1:42" x14ac:dyDescent="0.25">
      <c r="A15" s="43">
        <v>2002</v>
      </c>
      <c r="B15" s="43" t="s">
        <v>29</v>
      </c>
      <c r="C15" s="103">
        <v>2.9559355785000001</v>
      </c>
      <c r="D15" s="103">
        <v>3.1519372331</v>
      </c>
      <c r="E15" s="103">
        <v>1.3379341621</v>
      </c>
      <c r="G15" s="93">
        <v>43631</v>
      </c>
      <c r="H15" s="17">
        <v>37670</v>
      </c>
      <c r="I15" s="10">
        <v>37536</v>
      </c>
      <c r="J15" s="106">
        <v>2.0126801207999998</v>
      </c>
      <c r="K15" s="106">
        <v>2.5092636763999998</v>
      </c>
      <c r="L15" s="106">
        <v>1.2452328076000001</v>
      </c>
      <c r="M15" s="44">
        <f t="shared" si="7"/>
        <v>0.63287671232876708</v>
      </c>
      <c r="N15" s="44">
        <f t="shared" si="8"/>
        <v>0.98630136986301364</v>
      </c>
      <c r="O15" s="48">
        <f t="shared" si="1"/>
        <v>2.5642260744938463</v>
      </c>
      <c r="P15" s="47">
        <v>2.5642260744938463</v>
      </c>
      <c r="Q15" s="43">
        <f t="shared" si="9"/>
        <v>2.5642260744938463</v>
      </c>
      <c r="R15" s="43">
        <f t="shared" si="19"/>
        <v>3.5737592119119266</v>
      </c>
      <c r="S15" s="43">
        <f t="shared" si="20"/>
        <v>1.2177174524259819</v>
      </c>
      <c r="T15" s="43">
        <f t="shared" si="15"/>
        <v>7.355702738831754</v>
      </c>
      <c r="U15" s="43">
        <f t="shared" si="10"/>
        <v>2.0209039584724087E-2</v>
      </c>
      <c r="V15" s="43">
        <f t="shared" si="10"/>
        <v>1.5775556908799327E-2</v>
      </c>
      <c r="W15" s="43">
        <f t="shared" si="10"/>
        <v>8.8639567310188159E-3</v>
      </c>
      <c r="X15" s="43">
        <v>10</v>
      </c>
      <c r="Y15" s="43">
        <f t="shared" si="11"/>
        <v>0.44848553224542226</v>
      </c>
      <c r="AA15" s="43">
        <f t="shared" si="2"/>
        <v>2002</v>
      </c>
      <c r="AB15" s="45">
        <f t="shared" si="12"/>
        <v>55086.247977661937</v>
      </c>
      <c r="AC15" s="45">
        <f t="shared" si="16"/>
        <v>207420.65612873054</v>
      </c>
      <c r="AD15" s="45">
        <f t="shared" si="3"/>
        <v>262506.90410639247</v>
      </c>
      <c r="AE15" s="45">
        <f t="shared" si="4"/>
        <v>52501.380821278493</v>
      </c>
      <c r="AF15" s="45"/>
      <c r="AG15" s="45">
        <f t="shared" si="13"/>
        <v>51198.426638168421</v>
      </c>
      <c r="AH15" s="45">
        <f t="shared" si="13"/>
        <v>192781.53143328868</v>
      </c>
      <c r="AI15" s="45">
        <f t="shared" si="17"/>
        <v>242740.8401114165</v>
      </c>
      <c r="AL15" s="13">
        <f t="shared" si="18"/>
        <v>-5.1317005213150665E-4</v>
      </c>
      <c r="AM15" s="45">
        <f t="shared" si="14"/>
        <v>109481.68346500839</v>
      </c>
      <c r="AO15" s="43">
        <f t="shared" si="5"/>
        <v>1.2177174524259819</v>
      </c>
      <c r="AP15" s="43">
        <f t="shared" si="6"/>
        <v>1.3379341621</v>
      </c>
    </row>
    <row r="16" spans="1:42" x14ac:dyDescent="0.25">
      <c r="A16" s="43">
        <v>2003</v>
      </c>
      <c r="B16" s="43" t="s">
        <v>22</v>
      </c>
      <c r="C16" s="103">
        <v>3.5376552530000001</v>
      </c>
      <c r="D16" s="103">
        <v>2.1211146900000002</v>
      </c>
      <c r="E16" s="103">
        <v>1.5403919438</v>
      </c>
      <c r="G16" s="93">
        <v>32818</v>
      </c>
      <c r="H16" s="17">
        <v>38035</v>
      </c>
      <c r="I16" s="10">
        <v>37894</v>
      </c>
      <c r="J16" s="106">
        <v>1.9495169403999999</v>
      </c>
      <c r="K16" s="106">
        <v>2.5521137777999998</v>
      </c>
      <c r="L16" s="106">
        <v>1.2851152991999999</v>
      </c>
      <c r="M16" s="44">
        <f t="shared" si="7"/>
        <v>0.61369863013698633</v>
      </c>
      <c r="N16" s="44">
        <f t="shared" si="8"/>
        <v>0.98082191780821915</v>
      </c>
      <c r="O16" s="48">
        <f t="shared" si="1"/>
        <v>3.8836997230566186</v>
      </c>
      <c r="P16" s="47">
        <v>3.8836997230566186</v>
      </c>
      <c r="Q16" s="43">
        <f t="shared" si="9"/>
        <v>3.8836997230566186</v>
      </c>
      <c r="R16" s="43">
        <f t="shared" si="19"/>
        <v>2.0532392962415309</v>
      </c>
      <c r="S16" s="43">
        <f t="shared" si="20"/>
        <v>1.4663109278590256</v>
      </c>
      <c r="T16" s="43">
        <f t="shared" si="15"/>
        <v>7.4032499471571747</v>
      </c>
      <c r="U16" s="43">
        <f t="shared" si="10"/>
        <v>8.709385101981177E-3</v>
      </c>
      <c r="V16" s="43">
        <f t="shared" si="10"/>
        <v>1.0577492448999989E-3</v>
      </c>
      <c r="W16" s="43">
        <f t="shared" si="10"/>
        <v>2.4292299917872051E-3</v>
      </c>
      <c r="X16" s="43">
        <v>10</v>
      </c>
      <c r="Y16" s="43">
        <f t="shared" si="11"/>
        <v>0.12196364338668383</v>
      </c>
      <c r="AA16" s="43">
        <f t="shared" si="2"/>
        <v>2003</v>
      </c>
      <c r="AB16" s="45">
        <f t="shared" si="12"/>
        <v>86104.146146550484</v>
      </c>
      <c r="AC16" s="45">
        <f t="shared" si="16"/>
        <v>154961.39792397511</v>
      </c>
      <c r="AD16" s="45">
        <f t="shared" si="3"/>
        <v>241065.54407052559</v>
      </c>
      <c r="AE16" s="45">
        <f t="shared" si="4"/>
        <v>48213.108814105122</v>
      </c>
      <c r="AF16" s="45"/>
      <c r="AG16" s="45">
        <f t="shared" si="13"/>
        <v>80027.175049459707</v>
      </c>
      <c r="AH16" s="45">
        <f t="shared" si="13"/>
        <v>144024.6895482135</v>
      </c>
      <c r="AI16" s="45">
        <f t="shared" si="17"/>
        <v>222913.95683017434</v>
      </c>
      <c r="AJ16" s="45">
        <f>AC16*0.5</f>
        <v>77480.698961987553</v>
      </c>
      <c r="AK16" s="45">
        <f>AJ16/K16</f>
        <v>30359.421917614618</v>
      </c>
      <c r="AL16" s="13">
        <f t="shared" si="18"/>
        <v>-0.25291241086518346</v>
      </c>
      <c r="AM16" s="45">
        <f t="shared" si="14"/>
        <v>83755.2699598404</v>
      </c>
      <c r="AO16" s="43">
        <f t="shared" si="5"/>
        <v>1.4663109278590256</v>
      </c>
      <c r="AP16" s="43">
        <f t="shared" si="6"/>
        <v>1.5403919438</v>
      </c>
    </row>
    <row r="17" spans="1:42" x14ac:dyDescent="0.25">
      <c r="A17" s="43">
        <v>2004</v>
      </c>
      <c r="B17" s="43" t="s">
        <v>21</v>
      </c>
      <c r="C17" s="103">
        <v>2.4285776246999999</v>
      </c>
      <c r="D17" s="103">
        <v>1.5633212173</v>
      </c>
      <c r="E17" s="103">
        <v>0.69320906969999996</v>
      </c>
      <c r="G17" s="93">
        <v>22919</v>
      </c>
      <c r="H17" s="17">
        <v>38401</v>
      </c>
      <c r="I17" s="10">
        <v>38285</v>
      </c>
      <c r="J17" s="106">
        <v>1.8361467040999999</v>
      </c>
      <c r="K17" s="106">
        <v>2.5371336272999998</v>
      </c>
      <c r="L17" s="106">
        <v>1.1967850048999999</v>
      </c>
      <c r="M17" s="44">
        <f t="shared" si="7"/>
        <v>0.68493150684931503</v>
      </c>
      <c r="N17" s="44">
        <f t="shared" si="8"/>
        <v>1.0712328767123287</v>
      </c>
      <c r="O17" s="48">
        <f t="shared" si="1"/>
        <v>2.5546983850981779</v>
      </c>
      <c r="P17" s="47">
        <v>2.5546983850981779</v>
      </c>
      <c r="Q17" s="43">
        <f t="shared" si="9"/>
        <v>2.5546983850981779</v>
      </c>
      <c r="R17" s="43">
        <f t="shared" si="19"/>
        <v>3.1097745107190771</v>
      </c>
      <c r="S17" s="43">
        <f t="shared" si="20"/>
        <v>1.0032701575203158</v>
      </c>
      <c r="T17" s="43">
        <f t="shared" si="15"/>
        <v>6.6677430533375706</v>
      </c>
      <c r="U17" s="43">
        <f t="shared" si="10"/>
        <v>2.5632370592670625E-3</v>
      </c>
      <c r="V17" s="43">
        <f t="shared" si="10"/>
        <v>0.4729831100800137</v>
      </c>
      <c r="W17" s="43">
        <f t="shared" si="10"/>
        <v>0.13666955715826024</v>
      </c>
      <c r="X17" s="43">
        <v>10</v>
      </c>
      <c r="Y17" s="43">
        <f t="shared" si="11"/>
        <v>6.1221590429754098</v>
      </c>
      <c r="AA17" s="43">
        <f t="shared" si="2"/>
        <v>2004</v>
      </c>
      <c r="AB17" s="45">
        <f t="shared" si="12"/>
        <v>52746.311957594873</v>
      </c>
      <c r="AC17" s="45">
        <f t="shared" si="16"/>
        <v>180029.25902929922</v>
      </c>
      <c r="AD17" s="45">
        <f t="shared" si="3"/>
        <v>232775.5709868941</v>
      </c>
      <c r="AE17" s="45">
        <f t="shared" si="4"/>
        <v>46555.114197378825</v>
      </c>
      <c r="AF17" s="45"/>
      <c r="AG17" s="45">
        <f t="shared" si="13"/>
        <v>49023.636249286028</v>
      </c>
      <c r="AH17" s="45">
        <f t="shared" si="13"/>
        <v>167323.33657709046</v>
      </c>
      <c r="AI17" s="45">
        <f t="shared" si="17"/>
        <v>215248.19642790256</v>
      </c>
      <c r="AJ17" s="45">
        <f>AC17*0.5</f>
        <v>90014.629514649612</v>
      </c>
      <c r="AK17" s="45">
        <f>AJ17/K17</f>
        <v>35478.868178670811</v>
      </c>
      <c r="AL17" s="13">
        <f t="shared" si="18"/>
        <v>0.16176842388594445</v>
      </c>
      <c r="AM17" s="45">
        <f t="shared" si="14"/>
        <v>58148.565604088697</v>
      </c>
      <c r="AO17" s="43">
        <f t="shared" si="5"/>
        <v>1.0032701575203158</v>
      </c>
      <c r="AP17" s="43">
        <f t="shared" si="6"/>
        <v>0.69320906969999996</v>
      </c>
    </row>
    <row r="18" spans="1:42" x14ac:dyDescent="0.25">
      <c r="A18" s="43">
        <v>2005</v>
      </c>
      <c r="B18" s="43" t="s">
        <v>30</v>
      </c>
      <c r="C18" s="103">
        <v>4.6122092103999996</v>
      </c>
      <c r="D18" s="103">
        <v>1.7548838466000001</v>
      </c>
      <c r="E18" s="103">
        <v>3.1539672623000001</v>
      </c>
      <c r="G18" s="93">
        <v>28613</v>
      </c>
      <c r="H18" s="17">
        <v>38766</v>
      </c>
      <c r="I18" s="10">
        <v>38645</v>
      </c>
      <c r="J18" s="106">
        <v>1.8803896521000001</v>
      </c>
      <c r="K18" s="106">
        <v>2.4892791824999998</v>
      </c>
      <c r="L18" s="106">
        <v>1.2199539181000001</v>
      </c>
      <c r="M18" s="44">
        <f t="shared" si="7"/>
        <v>0.66849315068493154</v>
      </c>
      <c r="N18" s="44">
        <f t="shared" si="8"/>
        <v>0.98630136986301364</v>
      </c>
      <c r="O18" s="48">
        <f t="shared" si="1"/>
        <v>4.48467614602189</v>
      </c>
      <c r="P18" s="47">
        <v>4.48467614602189</v>
      </c>
      <c r="Q18" s="43">
        <f t="shared" si="9"/>
        <v>4.48467614602189</v>
      </c>
      <c r="R18" s="43">
        <f t="shared" si="19"/>
        <v>2.0456102394808351</v>
      </c>
      <c r="S18" s="43">
        <f t="shared" si="20"/>
        <v>1.9724837724825899</v>
      </c>
      <c r="T18" s="43">
        <f t="shared" si="15"/>
        <v>8.5027701579853154</v>
      </c>
      <c r="U18" s="43">
        <f t="shared" si="10"/>
        <v>7.8627967344234472E-4</v>
      </c>
      <c r="V18" s="43">
        <f t="shared" si="10"/>
        <v>2.3498891053652118E-2</v>
      </c>
      <c r="W18" s="43">
        <f t="shared" si="10"/>
        <v>0.22030590818384599</v>
      </c>
      <c r="X18" s="43">
        <v>10</v>
      </c>
      <c r="Y18" s="43">
        <f t="shared" si="11"/>
        <v>2.4459107891094045</v>
      </c>
      <c r="AA18" s="43">
        <f t="shared" si="2"/>
        <v>2005</v>
      </c>
      <c r="AB18" s="45">
        <f t="shared" si="12"/>
        <v>94386.708025608008</v>
      </c>
      <c r="AC18" s="45">
        <f t="shared" si="16"/>
        <v>172555.98511907022</v>
      </c>
      <c r="AD18" s="45">
        <f t="shared" si="3"/>
        <v>266942.69314467825</v>
      </c>
      <c r="AE18" s="45">
        <f t="shared" si="4"/>
        <v>53388.538628935654</v>
      </c>
      <c r="AF18" s="45"/>
      <c r="AG18" s="45">
        <f t="shared" si="13"/>
        <v>87725.178676662181</v>
      </c>
      <c r="AH18" s="45">
        <f t="shared" si="13"/>
        <v>160377.50381325884</v>
      </c>
      <c r="AI18" s="45">
        <f t="shared" si="17"/>
        <v>246842.62616300967</v>
      </c>
      <c r="AJ18" s="45">
        <f>AC18*0.5</f>
        <v>86277.992559535109</v>
      </c>
      <c r="AK18" s="45">
        <f>AJ18/K18</f>
        <v>34659.829707363533</v>
      </c>
      <c r="AL18" s="13">
        <f t="shared" si="18"/>
        <v>-4.1511440698718614E-2</v>
      </c>
      <c r="AM18" s="45">
        <f t="shared" si="14"/>
        <v>71225.745248872496</v>
      </c>
      <c r="AO18" s="43">
        <f t="shared" si="5"/>
        <v>1.9724837724825899</v>
      </c>
      <c r="AP18" s="43">
        <f t="shared" si="6"/>
        <v>3.1539672623000001</v>
      </c>
    </row>
    <row r="19" spans="1:42" x14ac:dyDescent="0.25">
      <c r="A19" s="43">
        <v>2006</v>
      </c>
      <c r="B19" s="43" t="s">
        <v>31</v>
      </c>
      <c r="C19" s="103">
        <v>5.7555048254000001</v>
      </c>
      <c r="D19" s="103">
        <v>2.5239330372</v>
      </c>
      <c r="E19" s="103">
        <v>1.7506569705999999</v>
      </c>
      <c r="G19" s="93">
        <v>27506</v>
      </c>
      <c r="H19" s="17">
        <v>39126</v>
      </c>
      <c r="I19" s="10">
        <v>39001</v>
      </c>
      <c r="J19" s="106">
        <v>1.7232524321</v>
      </c>
      <c r="K19" s="106">
        <v>2.3702872812</v>
      </c>
      <c r="L19" s="106">
        <v>1.2314405898</v>
      </c>
      <c r="M19" s="44">
        <f t="shared" si="7"/>
        <v>0.64383561643835618</v>
      </c>
      <c r="N19" s="44">
        <f t="shared" si="8"/>
        <v>0.97534246575342465</v>
      </c>
      <c r="O19" s="48">
        <f t="shared" si="1"/>
        <v>3.2766606195352113</v>
      </c>
      <c r="P19" s="47">
        <v>3.2766606195352113</v>
      </c>
      <c r="Q19" s="43">
        <f t="shared" si="9"/>
        <v>3.2766606195352113</v>
      </c>
      <c r="R19" s="43">
        <f t="shared" si="19"/>
        <v>3.5909912099878949</v>
      </c>
      <c r="S19" s="43">
        <f t="shared" si="20"/>
        <v>1.6315443377743564</v>
      </c>
      <c r="T19" s="43">
        <f t="shared" si="15"/>
        <v>8.4991961672974625</v>
      </c>
      <c r="U19" s="43">
        <f t="shared" si="10"/>
        <v>0.31734289467267457</v>
      </c>
      <c r="V19" s="43">
        <f t="shared" si="10"/>
        <v>0.12433370882218182</v>
      </c>
      <c r="W19" s="43">
        <f t="shared" si="10"/>
        <v>4.9651917135066573E-3</v>
      </c>
      <c r="X19" s="43">
        <v>10</v>
      </c>
      <c r="Y19" s="43">
        <f t="shared" ref="Y19:Y23" si="21">+SUM(U19:W19)*X19</f>
        <v>4.4664179520836305</v>
      </c>
      <c r="AA19" s="43">
        <f t="shared" si="2"/>
        <v>2006</v>
      </c>
      <c r="AB19" s="45">
        <f t="shared" si="12"/>
        <v>69611.541728858298</v>
      </c>
      <c r="AC19" s="45">
        <f t="shared" si="16"/>
        <v>213559.41243949416</v>
      </c>
      <c r="AD19" s="45">
        <f t="shared" si="3"/>
        <v>283170.95416835247</v>
      </c>
      <c r="AE19" s="45">
        <f t="shared" si="4"/>
        <v>56634.190833670495</v>
      </c>
      <c r="AF19" s="45"/>
      <c r="AG19" s="45">
        <f t="shared" si="13"/>
        <v>64698.568939020719</v>
      </c>
      <c r="AH19" s="45">
        <f t="shared" si="13"/>
        <v>198487.0328272786</v>
      </c>
      <c r="AI19" s="45">
        <f t="shared" si="17"/>
        <v>261848.94276959111</v>
      </c>
      <c r="AJ19" s="45">
        <f>AC19*0.5</f>
        <v>106779.70621974708</v>
      </c>
      <c r="AK19" s="45">
        <f>AJ19/K19</f>
        <v>45049.2676844167</v>
      </c>
      <c r="AL19" s="13">
        <f t="shared" si="18"/>
        <v>0.23762390676933062</v>
      </c>
      <c r="AM19" s="45">
        <f t="shared" si="14"/>
        <v>65197.121956687202</v>
      </c>
    </row>
    <row r="20" spans="1:42" x14ac:dyDescent="0.25">
      <c r="A20" s="43">
        <v>2007</v>
      </c>
      <c r="B20" s="43" t="s">
        <v>32</v>
      </c>
      <c r="C20" s="103">
        <v>5.4609119413</v>
      </c>
      <c r="D20" s="103">
        <v>1.5091444324000001</v>
      </c>
      <c r="E20" s="103">
        <v>3.5485309794000002</v>
      </c>
      <c r="G20" s="93">
        <v>23074</v>
      </c>
      <c r="H20" s="17">
        <v>39495</v>
      </c>
      <c r="I20" s="10">
        <v>39361</v>
      </c>
      <c r="J20" s="107">
        <v>1.8226499457000001</v>
      </c>
      <c r="K20" s="107">
        <v>2.3912092019000002</v>
      </c>
      <c r="L20" s="107">
        <v>1.2807121931000001</v>
      </c>
      <c r="M20" s="44">
        <f t="shared" si="7"/>
        <v>0.64383561643835618</v>
      </c>
      <c r="N20" s="44">
        <f t="shared" si="8"/>
        <v>0.98630136986301364</v>
      </c>
      <c r="O20" s="48">
        <f t="shared" si="1"/>
        <v>4.6416593675986286</v>
      </c>
      <c r="P20" s="47">
        <v>4.6416593675986286</v>
      </c>
      <c r="Q20" s="43">
        <f t="shared" si="9"/>
        <v>4.6416593675986286</v>
      </c>
      <c r="R20" s="43">
        <f t="shared" si="19"/>
        <v>2.6237032730449918</v>
      </c>
      <c r="S20" s="43">
        <f t="shared" si="20"/>
        <v>2.5705446924237814</v>
      </c>
      <c r="T20" s="43">
        <f t="shared" ref="T20:T25" si="22">SUM(Q20:S20)</f>
        <v>9.8359073330674018</v>
      </c>
      <c r="U20" s="43">
        <f t="shared" si="10"/>
        <v>2.6420510777418079E-2</v>
      </c>
      <c r="V20" s="43">
        <f t="shared" si="10"/>
        <v>0.30585754822676808</v>
      </c>
      <c r="W20" s="43">
        <f t="shared" si="10"/>
        <v>0.10395200625176372</v>
      </c>
      <c r="X20" s="43">
        <v>10</v>
      </c>
      <c r="Y20" s="43">
        <f t="shared" si="21"/>
        <v>4.3623006525594992</v>
      </c>
      <c r="AA20" s="43">
        <f t="shared" si="2"/>
        <v>2007</v>
      </c>
      <c r="AB20" s="45">
        <f t="shared" si="12"/>
        <v>102556.01493442342</v>
      </c>
      <c r="AC20" s="45">
        <f t="shared" si="16"/>
        <v>214277.50361801096</v>
      </c>
      <c r="AD20" s="45">
        <f t="shared" si="3"/>
        <v>316833.5185524344</v>
      </c>
      <c r="AE20" s="45">
        <f t="shared" si="4"/>
        <v>63366.70371048688</v>
      </c>
      <c r="AF20" s="45"/>
      <c r="AG20" s="45">
        <f t="shared" si="13"/>
        <v>95317.920528045419</v>
      </c>
      <c r="AH20" s="45">
        <f t="shared" si="13"/>
        <v>199154.44329490961</v>
      </c>
      <c r="AI20" s="45">
        <f t="shared" si="17"/>
        <v>292976.80657459382</v>
      </c>
      <c r="AJ20" s="45">
        <f>AC20*0.5</f>
        <v>107138.75180900548</v>
      </c>
      <c r="AK20" s="45">
        <f>AJ20/K20</f>
        <v>44805.26075421401</v>
      </c>
      <c r="AL20" s="13">
        <f t="shared" si="18"/>
        <v>3.3624890156515549E-3</v>
      </c>
      <c r="AM20" s="45">
        <f t="shared" si="14"/>
        <v>55174.761124640601</v>
      </c>
    </row>
    <row r="21" spans="1:42" x14ac:dyDescent="0.25">
      <c r="A21" s="43">
        <v>2008</v>
      </c>
      <c r="B21" s="43" t="s">
        <v>42</v>
      </c>
      <c r="C21" s="103">
        <v>6.1639411704000002</v>
      </c>
      <c r="D21" s="103">
        <v>3.4396752012</v>
      </c>
      <c r="E21" s="103">
        <v>2.8324910487000001</v>
      </c>
      <c r="G21" s="93">
        <v>34416</v>
      </c>
      <c r="H21" s="4">
        <v>39861</v>
      </c>
      <c r="I21" s="10">
        <v>39744</v>
      </c>
      <c r="J21" s="106">
        <v>1.8825986763</v>
      </c>
      <c r="K21" s="106">
        <v>2.4401819946000001</v>
      </c>
      <c r="L21" s="106">
        <v>1.3236587076999999</v>
      </c>
      <c r="M21" s="44">
        <f t="shared" si="7"/>
        <v>0.68219178082191778</v>
      </c>
      <c r="N21" s="44">
        <f t="shared" si="8"/>
        <v>1.0493150684931507</v>
      </c>
      <c r="O21" s="48">
        <f t="shared" si="1"/>
        <v>4.3392709982242534</v>
      </c>
      <c r="P21" s="47">
        <v>4.3392709982242534</v>
      </c>
      <c r="Q21" s="43">
        <f t="shared" si="9"/>
        <v>4.3392709982242534</v>
      </c>
      <c r="R21" s="43">
        <f t="shared" si="19"/>
        <v>3.7166915616839029</v>
      </c>
      <c r="S21" s="43">
        <f t="shared" si="20"/>
        <v>2.7015375125216297</v>
      </c>
      <c r="T21" s="43">
        <f t="shared" si="22"/>
        <v>10.757500072429785</v>
      </c>
      <c r="U21" s="43">
        <f t="shared" si="10"/>
        <v>0.12320802859872895</v>
      </c>
      <c r="V21" s="43">
        <f t="shared" si="10"/>
        <v>5.9995649681442711E-3</v>
      </c>
      <c r="W21" s="43">
        <f t="shared" si="10"/>
        <v>2.2406489624441505E-3</v>
      </c>
      <c r="X21" s="43">
        <v>10</v>
      </c>
      <c r="Y21" s="43">
        <f t="shared" si="21"/>
        <v>1.3144824252931739</v>
      </c>
      <c r="AA21" s="43">
        <f t="shared" si="2"/>
        <v>2008</v>
      </c>
      <c r="AB21" s="45">
        <f t="shared" si="12"/>
        <v>99089.838642052826</v>
      </c>
      <c r="AC21" s="45">
        <f t="shared" si="16"/>
        <v>270192.79149553942</v>
      </c>
      <c r="AD21" s="45">
        <f t="shared" si="3"/>
        <v>369282.63013759226</v>
      </c>
      <c r="AE21" s="45">
        <f t="shared" si="4"/>
        <v>73856.526027518456</v>
      </c>
      <c r="AF21" s="45"/>
      <c r="AG21" s="45">
        <f t="shared" si="13"/>
        <v>92096.376510528411</v>
      </c>
      <c r="AH21" s="45">
        <f t="shared" si="13"/>
        <v>251123.39869573116</v>
      </c>
      <c r="AI21" s="45">
        <f t="shared" si="17"/>
        <v>341476.64109368378</v>
      </c>
      <c r="AJ21" s="45"/>
      <c r="AK21" s="45"/>
      <c r="AL21" s="13">
        <f t="shared" si="18"/>
        <v>0.26094800869627333</v>
      </c>
      <c r="AM21" s="45">
        <f t="shared" si="14"/>
        <v>83981.303526153599</v>
      </c>
    </row>
    <row r="22" spans="1:42" x14ac:dyDescent="0.25">
      <c r="A22" s="43">
        <v>2009</v>
      </c>
      <c r="B22" s="18" t="s">
        <v>43</v>
      </c>
      <c r="C22" s="103">
        <v>3.3666347165000001</v>
      </c>
      <c r="D22" s="103">
        <v>3.5696008746999999</v>
      </c>
      <c r="E22" s="103">
        <v>4.0615228670999999</v>
      </c>
      <c r="G22" s="93">
        <v>36733</v>
      </c>
      <c r="H22" s="4">
        <v>40228</v>
      </c>
      <c r="I22" s="10">
        <v>40093</v>
      </c>
      <c r="J22" s="106">
        <v>2.2422425077999999</v>
      </c>
      <c r="K22" s="106">
        <v>2.6429883336</v>
      </c>
      <c r="L22" s="106">
        <v>1.3111416115000001</v>
      </c>
      <c r="M22" s="44">
        <f t="shared" si="7"/>
        <v>0.63561643835616444</v>
      </c>
      <c r="N22" s="44">
        <f t="shared" si="8"/>
        <v>0.95616438356164379</v>
      </c>
      <c r="O22" s="48">
        <f t="shared" si="1"/>
        <v>3.1791171004494334</v>
      </c>
      <c r="P22" s="47">
        <v>3.1791171004494334</v>
      </c>
      <c r="Q22" s="43">
        <f t="shared" si="9"/>
        <v>3.1791171004494334</v>
      </c>
      <c r="R22" s="43">
        <f t="shared" si="19"/>
        <v>3.4745617085864451</v>
      </c>
      <c r="S22" s="43">
        <f t="shared" si="20"/>
        <v>3.1690997188398642</v>
      </c>
      <c r="T22" s="43">
        <f t="shared" si="22"/>
        <v>9.8227785278757427</v>
      </c>
      <c r="U22" s="43">
        <f t="shared" si="10"/>
        <v>3.2844507841078095E-3</v>
      </c>
      <c r="V22" s="43">
        <f t="shared" si="10"/>
        <v>7.2821427968012913E-4</v>
      </c>
      <c r="W22" s="43">
        <f t="shared" si="10"/>
        <v>6.1558793670398869E-2</v>
      </c>
      <c r="X22" s="43">
        <v>10</v>
      </c>
      <c r="Y22" s="43">
        <f t="shared" si="21"/>
        <v>0.65571458734186805</v>
      </c>
      <c r="AA22" s="43">
        <f t="shared" si="2"/>
        <v>2009</v>
      </c>
      <c r="AB22" s="45">
        <f t="shared" si="12"/>
        <v>71910.523824265721</v>
      </c>
      <c r="AC22" s="45">
        <f t="shared" si="16"/>
        <v>302927.75375465635</v>
      </c>
      <c r="AD22" s="45">
        <f t="shared" si="3"/>
        <v>374838.27757892211</v>
      </c>
      <c r="AE22" s="45">
        <f t="shared" si="4"/>
        <v>74967.655515784427</v>
      </c>
      <c r="AF22" s="45"/>
      <c r="AG22" s="45">
        <f t="shared" si="13"/>
        <v>66835.295807801289</v>
      </c>
      <c r="AH22" s="45">
        <f t="shared" si="13"/>
        <v>281548.02598939324</v>
      </c>
      <c r="AI22" s="45">
        <f t="shared" si="17"/>
        <v>346613.96322188457</v>
      </c>
      <c r="AJ22" s="45"/>
      <c r="AK22" s="45"/>
      <c r="AL22" s="13">
        <f t="shared" si="18"/>
        <v>0.12115409177989617</v>
      </c>
      <c r="AM22" s="45">
        <f t="shared" si="14"/>
        <v>97084.890458128793</v>
      </c>
    </row>
    <row r="23" spans="1:42" x14ac:dyDescent="0.25">
      <c r="A23" s="43">
        <v>2010</v>
      </c>
      <c r="B23" s="18" t="s">
        <v>44</v>
      </c>
      <c r="C23" s="103">
        <v>4.2025019255</v>
      </c>
      <c r="D23" s="103">
        <v>3.2418107147000002</v>
      </c>
      <c r="E23" s="103">
        <v>2.8989437573000001</v>
      </c>
      <c r="G23" s="93">
        <v>28952</v>
      </c>
      <c r="H23" s="4">
        <v>40596</v>
      </c>
      <c r="I23" s="10">
        <v>40452</v>
      </c>
      <c r="J23" s="106">
        <v>2.1606607624</v>
      </c>
      <c r="K23" s="106">
        <v>2.7382842146000002</v>
      </c>
      <c r="L23" s="106">
        <v>1.290269259</v>
      </c>
      <c r="M23" s="44">
        <f t="shared" ref="M23:M28" si="23">+(I23-H22)/365</f>
        <v>0.61369863013698633</v>
      </c>
      <c r="N23" s="44">
        <f t="shared" ref="N23:N28" si="24">+(I23-I22)/365</f>
        <v>0.98356164383561639</v>
      </c>
      <c r="O23" s="48">
        <f t="shared" si="1"/>
        <v>3.6258617177708614</v>
      </c>
      <c r="P23" s="47">
        <v>3.6258617177708614</v>
      </c>
      <c r="Q23" s="43">
        <f t="shared" si="9"/>
        <v>3.6258617177708614</v>
      </c>
      <c r="R23" s="43">
        <f t="shared" si="19"/>
        <v>2.5455977625859978</v>
      </c>
      <c r="S23" s="43">
        <f t="shared" si="20"/>
        <v>3.1748986600551667</v>
      </c>
      <c r="T23" s="43">
        <f t="shared" si="22"/>
        <v>9.3463581404120255</v>
      </c>
      <c r="U23" s="43">
        <f t="shared" si="10"/>
        <v>2.1782238163159957E-2</v>
      </c>
      <c r="V23" s="43">
        <f t="shared" si="10"/>
        <v>5.845105821631541E-2</v>
      </c>
      <c r="W23" s="43">
        <f t="shared" si="10"/>
        <v>8.2681311816954171E-3</v>
      </c>
      <c r="X23" s="43">
        <v>10</v>
      </c>
      <c r="Y23" s="43">
        <f t="shared" si="21"/>
        <v>0.88501427561170787</v>
      </c>
      <c r="AA23" s="43">
        <f t="shared" si="2"/>
        <v>2010</v>
      </c>
      <c r="AB23" s="45">
        <f t="shared" si="12"/>
        <v>80710.105266109429</v>
      </c>
      <c r="AC23" s="45">
        <f t="shared" si="16"/>
        <v>270239.33756920107</v>
      </c>
      <c r="AD23" s="45">
        <f t="shared" si="3"/>
        <v>350949.44283531047</v>
      </c>
      <c r="AE23" s="45">
        <f t="shared" si="4"/>
        <v>70189.888567062095</v>
      </c>
      <c r="AF23" s="45"/>
      <c r="AG23" s="45">
        <f t="shared" si="13"/>
        <v>75013.829315465773</v>
      </c>
      <c r="AH23" s="45">
        <f t="shared" si="13"/>
        <v>251166.65968781445</v>
      </c>
      <c r="AI23" s="45">
        <f t="shared" si="17"/>
        <v>324523.89349710173</v>
      </c>
      <c r="AJ23" s="45"/>
      <c r="AK23" s="45"/>
      <c r="AL23" s="13">
        <f t="shared" si="18"/>
        <v>-0.10790829093834002</v>
      </c>
      <c r="AM23" s="45">
        <f t="shared" si="14"/>
        <v>79278.804581099204</v>
      </c>
    </row>
    <row r="24" spans="1:42" x14ac:dyDescent="0.25">
      <c r="A24" s="43">
        <v>2011</v>
      </c>
      <c r="B24" s="18" t="s">
        <v>45</v>
      </c>
      <c r="C24" s="103">
        <v>3.1629912371</v>
      </c>
      <c r="D24" s="103">
        <v>2.6775640220999999</v>
      </c>
      <c r="E24" s="103">
        <v>1.9985532908999999</v>
      </c>
      <c r="G24" s="93">
        <v>28514</v>
      </c>
      <c r="H24" s="29">
        <v>40959</v>
      </c>
      <c r="I24" s="10">
        <v>40778</v>
      </c>
      <c r="J24" s="106">
        <v>2.1395587701999998</v>
      </c>
      <c r="K24" s="106">
        <v>2.6426999823999999</v>
      </c>
      <c r="L24" s="106">
        <v>1.3285885462</v>
      </c>
      <c r="M24" s="44">
        <f t="shared" si="23"/>
        <v>0.49863013698630138</v>
      </c>
      <c r="N24" s="44">
        <f t="shared" si="24"/>
        <v>0.89315068493150684</v>
      </c>
      <c r="O24" s="48">
        <f t="shared" si="1"/>
        <v>3.9649812809406995</v>
      </c>
      <c r="P24" s="47">
        <v>3.9649812809406995</v>
      </c>
      <c r="Q24" s="43">
        <f t="shared" si="9"/>
        <v>3.9649812809406995</v>
      </c>
      <c r="R24" s="43">
        <f t="shared" si="19"/>
        <v>2.9033172370086269</v>
      </c>
      <c r="S24" s="43">
        <f t="shared" si="20"/>
        <v>2.9308630417362904</v>
      </c>
      <c r="T24" s="43">
        <f t="shared" si="22"/>
        <v>9.7991615596856168</v>
      </c>
      <c r="U24" s="43">
        <f t="shared" si="10"/>
        <v>5.106829826515101E-2</v>
      </c>
      <c r="V24" s="43">
        <f t="shared" si="10"/>
        <v>6.5523397305687755E-3</v>
      </c>
      <c r="W24" s="43">
        <f t="shared" si="10"/>
        <v>0.14659201660319912</v>
      </c>
      <c r="X24" s="43">
        <v>10</v>
      </c>
      <c r="Y24" s="43">
        <f t="shared" ref="Y24:Y29" si="25">+SUM(U24:W24)*X24</f>
        <v>2.0421265459891891</v>
      </c>
      <c r="AA24" s="43">
        <f t="shared" si="2"/>
        <v>2011</v>
      </c>
      <c r="AB24" s="45">
        <f t="shared" si="12"/>
        <v>90879.927484034866</v>
      </c>
      <c r="AC24" s="45">
        <f t="shared" si="16"/>
        <v>265989.21830938454</v>
      </c>
      <c r="AD24" s="45">
        <f t="shared" ref="AD24:AD29" si="26">+AC24+AB24</f>
        <v>356869.14579341939</v>
      </c>
      <c r="AE24" s="45">
        <f t="shared" si="4"/>
        <v>71373.829158683875</v>
      </c>
      <c r="AF24" s="45"/>
      <c r="AG24" s="45">
        <f t="shared" si="13"/>
        <v>84465.896135460702</v>
      </c>
      <c r="AH24" s="45">
        <f t="shared" si="13"/>
        <v>247216.50103450732</v>
      </c>
      <c r="AI24" s="45">
        <f t="shared" si="17"/>
        <v>329997.85874061781</v>
      </c>
      <c r="AJ24" s="45"/>
      <c r="AK24" s="45"/>
      <c r="AL24" s="13">
        <f t="shared" si="18"/>
        <v>-1.5727241259715544E-2</v>
      </c>
      <c r="AM24" s="45">
        <f t="shared" si="14"/>
        <v>75353.947298153595</v>
      </c>
    </row>
    <row r="25" spans="1:42" x14ac:dyDescent="0.25">
      <c r="A25" s="43">
        <v>2012</v>
      </c>
      <c r="B25" s="28" t="s">
        <v>56</v>
      </c>
      <c r="C25" s="103">
        <v>4.3218812017000001</v>
      </c>
      <c r="D25" s="103">
        <v>3.5367454755000001</v>
      </c>
      <c r="E25" s="103">
        <v>2.3946656797000001</v>
      </c>
      <c r="G25" s="93">
        <v>32624</v>
      </c>
      <c r="H25" s="52">
        <v>41326</v>
      </c>
      <c r="I25" s="29">
        <v>41135</v>
      </c>
      <c r="J25" s="106">
        <v>2.1769228137000001</v>
      </c>
      <c r="K25" s="106">
        <v>2.8166036004000001</v>
      </c>
      <c r="L25" s="106">
        <v>1.2778689717</v>
      </c>
      <c r="M25" s="44">
        <f t="shared" si="23"/>
        <v>0.48219178082191783</v>
      </c>
      <c r="N25" s="44">
        <f t="shared" si="24"/>
        <v>0.9780821917808219</v>
      </c>
      <c r="O25" s="48">
        <f t="shared" si="1"/>
        <v>4.621907239232252</v>
      </c>
      <c r="P25" s="47">
        <v>4.621907239232252</v>
      </c>
      <c r="Q25" s="43">
        <f t="shared" si="9"/>
        <v>4.621907239232252</v>
      </c>
      <c r="R25" s="43">
        <f t="shared" si="19"/>
        <v>3.1748586662728213</v>
      </c>
      <c r="S25" s="43">
        <f t="shared" si="20"/>
        <v>2.9203762178136081</v>
      </c>
      <c r="T25" s="43">
        <f t="shared" si="22"/>
        <v>10.717142123318681</v>
      </c>
      <c r="U25" s="43">
        <f t="shared" si="10"/>
        <v>4.504647583136687E-3</v>
      </c>
      <c r="V25" s="43">
        <f t="shared" si="10"/>
        <v>1.1651870495549992E-2</v>
      </c>
      <c r="W25" s="43">
        <f t="shared" si="10"/>
        <v>3.9389872320907723E-2</v>
      </c>
      <c r="X25" s="43">
        <v>10</v>
      </c>
      <c r="Y25" s="43">
        <f t="shared" si="25"/>
        <v>0.55546390399594403</v>
      </c>
      <c r="AA25" s="43">
        <f t="shared" si="2"/>
        <v>2012</v>
      </c>
      <c r="AB25" s="39">
        <f t="shared" si="12"/>
        <v>101892.88910031528</v>
      </c>
      <c r="AC25" s="49">
        <f t="shared" si="16"/>
        <v>296177.7998645326</v>
      </c>
      <c r="AD25" s="49">
        <f t="shared" si="26"/>
        <v>398070.68896484788</v>
      </c>
      <c r="AE25" s="39">
        <f t="shared" si="4"/>
        <v>79614.137792969588</v>
      </c>
      <c r="AF25" s="39"/>
      <c r="AG25" s="45">
        <f t="shared" si="13"/>
        <v>94701.596116493049</v>
      </c>
      <c r="AH25" s="45">
        <f t="shared" si="13"/>
        <v>275274.46349890268</v>
      </c>
      <c r="AI25" s="45">
        <f t="shared" si="17"/>
        <v>368097.03650268493</v>
      </c>
      <c r="AJ25" s="98"/>
      <c r="AM25" s="45">
        <f t="shared" si="14"/>
        <v>91888.875859449603</v>
      </c>
    </row>
    <row r="26" spans="1:42" ht="14.4" x14ac:dyDescent="0.3">
      <c r="A26" s="43">
        <v>2013</v>
      </c>
      <c r="B26" s="51" t="s">
        <v>73</v>
      </c>
      <c r="C26" s="103">
        <v>7.0787677228000003</v>
      </c>
      <c r="D26" s="103">
        <v>4.1994734698</v>
      </c>
      <c r="E26" s="103">
        <v>3.4708283127000001</v>
      </c>
      <c r="G26" s="96">
        <v>42771</v>
      </c>
      <c r="H26" s="29">
        <v>41685</v>
      </c>
      <c r="I26" s="52">
        <v>41503</v>
      </c>
      <c r="J26" s="106">
        <v>2.0185433582000001</v>
      </c>
      <c r="K26" s="106">
        <v>2.6809943981000002</v>
      </c>
      <c r="L26" s="106">
        <v>1.3004080280000001</v>
      </c>
      <c r="M26" s="44">
        <f t="shared" si="23"/>
        <v>0.48493150684931507</v>
      </c>
      <c r="N26" s="44">
        <f t="shared" si="24"/>
        <v>1.0082191780821919</v>
      </c>
      <c r="O26" s="48">
        <f t="shared" si="1"/>
        <v>5.3032179250226426</v>
      </c>
      <c r="P26" s="47">
        <v>5.3032179250226426</v>
      </c>
      <c r="Q26" s="43">
        <f t="shared" si="9"/>
        <v>5.3032179250226426</v>
      </c>
      <c r="R26" s="43">
        <f t="shared" si="19"/>
        <v>3.7008755435294751</v>
      </c>
      <c r="S26" s="43">
        <f t="shared" si="20"/>
        <v>2.8693324745892093</v>
      </c>
      <c r="T26" s="43">
        <f t="shared" ref="T26" si="27">SUM(Q26:S26)</f>
        <v>11.873425943141326</v>
      </c>
      <c r="U26" s="43">
        <f t="shared" ref="U26:W27" si="28">+(LN(Q26)-LN(C26))^2</f>
        <v>8.3397382747847512E-2</v>
      </c>
      <c r="V26" s="43">
        <f t="shared" si="28"/>
        <v>1.5974363357555223E-2</v>
      </c>
      <c r="W26" s="43">
        <f t="shared" si="28"/>
        <v>3.6219364103421671E-2</v>
      </c>
      <c r="X26" s="43">
        <v>10</v>
      </c>
      <c r="Y26" s="43">
        <f t="shared" si="25"/>
        <v>1.3559111020882442</v>
      </c>
      <c r="AA26" s="43">
        <f t="shared" si="2"/>
        <v>2013</v>
      </c>
      <c r="AB26" s="39">
        <f t="shared" si="12"/>
        <v>118974.92572005613</v>
      </c>
      <c r="AC26" s="49">
        <f t="shared" si="16"/>
        <v>303886.46199399373</v>
      </c>
      <c r="AD26" s="49">
        <f t="shared" si="26"/>
        <v>422861.38771404984</v>
      </c>
      <c r="AE26" s="39">
        <f t="shared" si="4"/>
        <v>84572.27754280997</v>
      </c>
      <c r="AF26" s="39"/>
      <c r="AG26" s="45">
        <f t="shared" si="13"/>
        <v>110578.03408084592</v>
      </c>
      <c r="AH26" s="45">
        <f t="shared" si="13"/>
        <v>282439.07149096788</v>
      </c>
      <c r="AI26" s="45">
        <f t="shared" si="17"/>
        <v>391021.06229856028</v>
      </c>
    </row>
    <row r="27" spans="1:42" ht="14.4" x14ac:dyDescent="0.3">
      <c r="A27" s="43">
        <v>2014</v>
      </c>
      <c r="B27" s="51" t="s">
        <v>75</v>
      </c>
      <c r="C27" s="104">
        <v>6.0825889214000002</v>
      </c>
      <c r="D27" s="104">
        <v>6.9141667616999998</v>
      </c>
      <c r="E27" s="104">
        <v>4.2278985025000004</v>
      </c>
      <c r="G27" s="116">
        <v>70032</v>
      </c>
      <c r="H27" s="4">
        <v>42053</v>
      </c>
      <c r="I27" s="29">
        <v>41872</v>
      </c>
      <c r="J27" s="108">
        <v>2.2375795806999998</v>
      </c>
      <c r="K27" s="108">
        <v>2.7552411108000001</v>
      </c>
      <c r="L27" s="108">
        <v>1.3255446324</v>
      </c>
      <c r="M27" s="44">
        <f t="shared" si="23"/>
        <v>0.51232876712328768</v>
      </c>
      <c r="N27" s="44">
        <f t="shared" si="24"/>
        <v>1.010958904109589</v>
      </c>
      <c r="O27" s="48">
        <f t="shared" si="1"/>
        <v>4.1608380734739825</v>
      </c>
      <c r="P27" s="47">
        <v>4.1608380734739825</v>
      </c>
      <c r="Q27" s="43">
        <f t="shared" si="9"/>
        <v>4.1608380734739825</v>
      </c>
      <c r="R27" s="43">
        <f t="shared" si="19"/>
        <v>4.2464178757476763</v>
      </c>
      <c r="S27" s="43">
        <f t="shared" si="20"/>
        <v>2.7253570877993183</v>
      </c>
      <c r="T27" s="43">
        <f t="shared" ref="T27" si="29">SUM(Q27:S27)</f>
        <v>11.132613037020977</v>
      </c>
      <c r="U27" s="43">
        <f t="shared" si="28"/>
        <v>0.14418264648748963</v>
      </c>
      <c r="V27" s="43">
        <f t="shared" si="28"/>
        <v>0.23765301872638828</v>
      </c>
      <c r="W27" s="43">
        <f t="shared" si="28"/>
        <v>0.19281372862261401</v>
      </c>
      <c r="X27" s="43">
        <v>10</v>
      </c>
      <c r="Y27" s="43">
        <f t="shared" si="25"/>
        <v>5.7464939383649192</v>
      </c>
      <c r="AA27" s="43">
        <f t="shared" si="2"/>
        <v>2014</v>
      </c>
      <c r="AB27" s="39">
        <f t="shared" si="12"/>
        <v>95150.592433988073</v>
      </c>
      <c r="AC27" s="49">
        <f t="shared" si="16"/>
        <v>331389.9219680102</v>
      </c>
      <c r="AD27" s="49">
        <f t="shared" si="26"/>
        <v>426540.51440199825</v>
      </c>
      <c r="AE27" s="39">
        <f t="shared" si="4"/>
        <v>85308.10288039966</v>
      </c>
      <c r="AF27" s="39"/>
      <c r="AG27" s="45">
        <f t="shared" si="13"/>
        <v>88435.150426024149</v>
      </c>
      <c r="AH27" s="45">
        <f t="shared" si="13"/>
        <v>308001.42016184662</v>
      </c>
      <c r="AI27" s="45">
        <f t="shared" si="17"/>
        <v>394423.16064012231</v>
      </c>
      <c r="AJ27" s="9"/>
    </row>
    <row r="28" spans="1:42" x14ac:dyDescent="0.25">
      <c r="A28" s="43">
        <v>2015</v>
      </c>
      <c r="B28" s="51" t="s">
        <v>82</v>
      </c>
      <c r="C28" s="43">
        <v>6.6092926451</v>
      </c>
      <c r="D28" s="43">
        <v>6.2362503081999998</v>
      </c>
      <c r="E28" s="43">
        <v>1.9635764911</v>
      </c>
      <c r="G28" s="93">
        <v>47254</v>
      </c>
      <c r="H28" s="4">
        <v>42421</v>
      </c>
      <c r="I28" s="4">
        <v>42184</v>
      </c>
      <c r="J28" s="43">
        <v>2.0214315018</v>
      </c>
      <c r="K28" s="43">
        <v>2.6461737032000001</v>
      </c>
      <c r="L28" s="43">
        <v>1.2937098168000001</v>
      </c>
      <c r="M28" s="44">
        <f t="shared" si="23"/>
        <v>0.35890410958904112</v>
      </c>
      <c r="N28" s="44">
        <f t="shared" si="24"/>
        <v>0.85479452054794525</v>
      </c>
      <c r="O28" s="48">
        <f t="shared" ref="O28" si="30">+P28</f>
        <v>5.420701167497616</v>
      </c>
      <c r="P28" s="47">
        <v>5.420701167497616</v>
      </c>
      <c r="Q28" s="43">
        <f t="shared" ref="Q28" si="31">+O28</f>
        <v>5.420701167497616</v>
      </c>
      <c r="R28" s="43">
        <f t="shared" ref="R28" si="32">+Q27*O$3</f>
        <v>3.331686048563808</v>
      </c>
      <c r="S28" s="43">
        <f t="shared" ref="S28" si="33">+(R27+S27)*EXP(P$5*N28)-O$2*G27*EXP(M28*P$5)</f>
        <v>1.7497644132088896</v>
      </c>
      <c r="T28" s="43">
        <f t="shared" ref="T28" si="34">SUM(Q28:S28)</f>
        <v>10.502151629270314</v>
      </c>
      <c r="U28" s="43">
        <f t="shared" ref="U28" si="35">+(LN(Q28)-LN(C28))^2</f>
        <v>3.9303641991546519E-2</v>
      </c>
      <c r="V28" s="43">
        <f t="shared" ref="V28" si="36">+(LN(R28)-LN(D28))^2</f>
        <v>0.39300435333902806</v>
      </c>
      <c r="W28" s="43">
        <f t="shared" ref="W28" si="37">+(LN(S28)-LN(E28))^2</f>
        <v>1.3290952395657335E-2</v>
      </c>
      <c r="X28" s="43">
        <v>10</v>
      </c>
      <c r="Y28" s="43">
        <f t="shared" si="25"/>
        <v>4.4559894772623192</v>
      </c>
      <c r="AA28" s="43">
        <f t="shared" si="2"/>
        <v>2015</v>
      </c>
      <c r="AB28" s="39">
        <f t="shared" ref="AB28" si="38">+(Q28/O$2)*L28</f>
        <v>120984.20254995389</v>
      </c>
      <c r="AC28" s="49">
        <f t="shared" ref="AC28:AC33" si="39">+((R28+S28)/O$2)*K28</f>
        <v>231975.63476717909</v>
      </c>
      <c r="AD28" s="49">
        <f t="shared" si="26"/>
        <v>352959.83731713297</v>
      </c>
      <c r="AE28" s="39">
        <f t="shared" ref="AE28" si="40">+AD28*0.2</f>
        <v>70591.967463426598</v>
      </c>
      <c r="AF28" s="39"/>
      <c r="AG28" s="45">
        <f t="shared" si="13"/>
        <v>112445.50220851741</v>
      </c>
      <c r="AH28" s="45">
        <f t="shared" si="13"/>
        <v>215603.49369385504</v>
      </c>
      <c r="AI28" s="45">
        <f t="shared" si="17"/>
        <v>326382.91068041808</v>
      </c>
      <c r="AJ28" s="9"/>
    </row>
    <row r="29" spans="1:42" ht="14.4" x14ac:dyDescent="0.3">
      <c r="A29" s="43">
        <v>2016</v>
      </c>
      <c r="B29" s="51" t="s">
        <v>85</v>
      </c>
      <c r="C29" s="103">
        <v>2.8142239999999998</v>
      </c>
      <c r="D29" s="103">
        <v>1.221598</v>
      </c>
      <c r="E29" s="103">
        <v>0.55527300000000002</v>
      </c>
      <c r="G29" s="130">
        <v>39289</v>
      </c>
      <c r="H29" s="4">
        <v>42788</v>
      </c>
      <c r="I29" s="4">
        <v>42549</v>
      </c>
      <c r="J29" s="106">
        <v>1.7478370000000001</v>
      </c>
      <c r="K29" s="106">
        <v>2.519091</v>
      </c>
      <c r="L29" s="106">
        <v>1.2640929999999999</v>
      </c>
      <c r="M29" s="44">
        <f t="shared" ref="M29:M34" si="41">+(I29-H28)/365</f>
        <v>0.35068493150684932</v>
      </c>
      <c r="N29" s="44">
        <f t="shared" ref="N29" si="42">+(I29-I28)/365</f>
        <v>1</v>
      </c>
      <c r="O29" s="48">
        <f t="shared" ref="O29" si="43">+P29</f>
        <v>6.4392987498582617</v>
      </c>
      <c r="P29" s="47">
        <v>6.4392987498582617</v>
      </c>
      <c r="Q29" s="43">
        <f t="shared" ref="Q29" si="44">+O29</f>
        <v>6.4392987498582617</v>
      </c>
      <c r="R29" s="43">
        <f t="shared" ref="R29" si="45">+Q28*O$3</f>
        <v>4.3404896163398563</v>
      </c>
      <c r="S29" s="43">
        <f t="shared" ref="S29" si="46">+(R28+S28)*EXP(P$5*N29)-O$2*G28*EXP(M29*P$5)</f>
        <v>1.2988908707155193</v>
      </c>
      <c r="T29" s="43">
        <f t="shared" ref="T29" si="47">SUM(Q29:S29)</f>
        <v>12.078679236913638</v>
      </c>
      <c r="U29" s="43">
        <f t="shared" ref="U29" si="48">+(LN(Q29)-LN(C29))^2</f>
        <v>0.68514206314834369</v>
      </c>
      <c r="V29" s="43">
        <f t="shared" ref="V29" si="49">+(LN(R29)-LN(D29))^2</f>
        <v>1.6073861104229488</v>
      </c>
      <c r="W29" s="43">
        <f t="shared" ref="W29" si="50">+(LN(S29)-LN(E29))^2</f>
        <v>0.72217043855679774</v>
      </c>
      <c r="X29" s="43">
        <v>10</v>
      </c>
      <c r="Y29" s="43">
        <f t="shared" si="25"/>
        <v>30.1469861212809</v>
      </c>
      <c r="AA29" s="43">
        <f t="shared" si="2"/>
        <v>2016</v>
      </c>
      <c r="AB29" s="39">
        <f t="shared" ref="AB29" si="51">+(Q29/O$2)*L29</f>
        <v>140428.07010958437</v>
      </c>
      <c r="AC29" s="49">
        <f t="shared" si="39"/>
        <v>245082.09270929368</v>
      </c>
      <c r="AD29" s="49">
        <f t="shared" si="26"/>
        <v>385510.16281887807</v>
      </c>
      <c r="AE29" s="39">
        <f t="shared" ref="AE29" si="52">+AD29*0.2</f>
        <v>77102.032563775618</v>
      </c>
      <c r="AF29" s="39"/>
      <c r="AG29" s="45">
        <f t="shared" si="13"/>
        <v>130517.08020413054</v>
      </c>
      <c r="AH29" s="45">
        <f t="shared" si="13"/>
        <v>227784.93734032928</v>
      </c>
      <c r="AI29" s="45">
        <f t="shared" si="17"/>
        <v>356482.28420010011</v>
      </c>
      <c r="AJ29" s="9"/>
    </row>
    <row r="30" spans="1:42" ht="14.4" x14ac:dyDescent="0.3">
      <c r="A30" s="43">
        <v>2017</v>
      </c>
      <c r="B30" s="51" t="s">
        <v>95</v>
      </c>
      <c r="C30" s="131">
        <v>11.281936285765401</v>
      </c>
      <c r="D30" s="132">
        <v>3.7857322062820198</v>
      </c>
      <c r="E30" s="133">
        <v>2.6984801059281498</v>
      </c>
      <c r="G30" s="43">
        <v>61081</v>
      </c>
      <c r="H30" s="4">
        <v>43146</v>
      </c>
      <c r="I30" s="4">
        <v>42912</v>
      </c>
      <c r="J30" s="106">
        <v>1.7059679999999999</v>
      </c>
      <c r="K30" s="106">
        <v>2.4094180000000001</v>
      </c>
      <c r="L30" s="106">
        <v>1.29487</v>
      </c>
      <c r="M30" s="44">
        <f t="shared" si="41"/>
        <v>0.33972602739726027</v>
      </c>
      <c r="N30" s="44">
        <f t="shared" ref="N30" si="53">+(I30-I29)/365</f>
        <v>0.9945205479452055</v>
      </c>
      <c r="O30" s="48">
        <f t="shared" ref="O30" si="54">+P30</f>
        <v>7.3237267612607635</v>
      </c>
      <c r="P30" s="47">
        <v>7.3237267612607635</v>
      </c>
      <c r="Q30" s="43">
        <f t="shared" ref="Q30" si="55">+O30</f>
        <v>7.3237267612607635</v>
      </c>
      <c r="R30" s="43">
        <f t="shared" ref="R30" si="56">+Q29*O$3</f>
        <v>5.1561059163076051</v>
      </c>
      <c r="S30" s="43">
        <f t="shared" ref="S30" si="57">+(R29+S29)*EXP(P$5*N30)-O$2*G29*EXP(M30*P$5)</f>
        <v>2.1279225744052632</v>
      </c>
      <c r="T30" s="43">
        <f t="shared" ref="T30" si="58">SUM(Q30:S30)</f>
        <v>14.60775525197363</v>
      </c>
      <c r="U30" s="43">
        <f t="shared" ref="U30" si="59">+(LN(Q30)-LN(C30))^2</f>
        <v>0.18669621066189415</v>
      </c>
      <c r="V30" s="43">
        <f t="shared" ref="V30" si="60">+(LN(R30)-LN(D30))^2</f>
        <v>9.5445350627564068E-2</v>
      </c>
      <c r="W30" s="43">
        <f t="shared" ref="W30" si="61">+(LN(S30)-LN(E30))^2</f>
        <v>5.6426441287115214E-2</v>
      </c>
      <c r="X30" s="43">
        <v>10</v>
      </c>
      <c r="Y30" s="43">
        <f t="shared" ref="Y30" si="62">+SUM(U30:W30)*X30</f>
        <v>3.3856800257657342</v>
      </c>
      <c r="AA30" s="43">
        <f t="shared" si="2"/>
        <v>2017</v>
      </c>
      <c r="AB30" s="39">
        <f t="shared" ref="AB30" si="63">+(Q30/O$2)*L30</f>
        <v>163604.26779599604</v>
      </c>
      <c r="AC30" s="49">
        <f t="shared" si="39"/>
        <v>302775.0697006039</v>
      </c>
      <c r="AD30" s="49">
        <f t="shared" ref="AD30" si="64">+AC30+AB30</f>
        <v>466379.33749659994</v>
      </c>
      <c r="AE30" s="39">
        <f t="shared" ref="AE30" si="65">+AD30*0.2</f>
        <v>93275.867499319997</v>
      </c>
      <c r="AF30" s="39"/>
      <c r="AG30" s="45">
        <f t="shared" ref="AG30" si="66">AB30*(1+$AC$37)</f>
        <v>152057.57171628816</v>
      </c>
      <c r="AH30" s="45">
        <f t="shared" ref="AH30" si="67">AC30*(1+$AC$37)</f>
        <v>281406.11791565054</v>
      </c>
      <c r="AI30" s="45">
        <f t="shared" si="17"/>
        <v>431262.22748277691</v>
      </c>
    </row>
    <row r="31" spans="1:42" ht="13.5" customHeight="1" x14ac:dyDescent="0.25">
      <c r="A31" s="43">
        <v>2018</v>
      </c>
      <c r="B31" s="51" t="s">
        <v>96</v>
      </c>
      <c r="C31" s="136">
        <v>7.7417789345491697</v>
      </c>
      <c r="D31" s="136">
        <v>3.5513016786543501</v>
      </c>
      <c r="E31" s="136">
        <v>4.1272808861825396</v>
      </c>
      <c r="G31" s="136">
        <v>55488</v>
      </c>
      <c r="H31" s="4">
        <v>43513</v>
      </c>
      <c r="I31" s="4">
        <v>43292</v>
      </c>
      <c r="J31" s="106">
        <v>1.8419479999999999</v>
      </c>
      <c r="K31" s="106">
        <v>2.4396179999999998</v>
      </c>
      <c r="L31" s="106">
        <v>1.2456179999999999</v>
      </c>
      <c r="M31" s="44">
        <f t="shared" si="41"/>
        <v>0.4</v>
      </c>
      <c r="N31" s="44">
        <f t="shared" ref="N31" si="68">+(I31-I30)/365</f>
        <v>1.0410958904109588</v>
      </c>
      <c r="O31" s="48">
        <f t="shared" ref="O31" si="69">+P31</f>
        <v>7.6865419234553043</v>
      </c>
      <c r="P31" s="47">
        <v>7.6865419234553043</v>
      </c>
      <c r="Q31" s="43">
        <f t="shared" ref="Q31" si="70">+O31</f>
        <v>7.6865419234553043</v>
      </c>
      <c r="R31" s="43">
        <f t="shared" ref="R31" si="71">+Q30*O$3</f>
        <v>5.8642893193902754</v>
      </c>
      <c r="S31" s="43">
        <f t="shared" ref="S31" si="72">+(R30+S30)*EXP(P$5*N31)-O$2*G30*EXP(M31*P$5)</f>
        <v>2.1898421806955652</v>
      </c>
      <c r="T31" s="43">
        <f t="shared" ref="T31" si="73">SUM(Q31:S31)</f>
        <v>15.740673423541145</v>
      </c>
      <c r="U31" s="43">
        <f t="shared" ref="U31" si="74">+(LN(Q31)-LN(C31))^2</f>
        <v>5.1272762764829542E-5</v>
      </c>
      <c r="V31" s="43">
        <f t="shared" ref="V31" si="75">+(LN(R31)-LN(D31))^2</f>
        <v>0.25156955106271961</v>
      </c>
      <c r="W31" s="43">
        <f t="shared" ref="W31" si="76">+(LN(S31)-LN(E31))^2</f>
        <v>0.40168891666360856</v>
      </c>
      <c r="X31" s="43">
        <v>10</v>
      </c>
      <c r="Y31" s="43">
        <f t="shared" ref="Y31" si="77">+SUM(U31:W31)*X31</f>
        <v>6.5330974048909312</v>
      </c>
      <c r="Z31" s="37"/>
      <c r="AA31" s="43">
        <f t="shared" si="2"/>
        <v>2018</v>
      </c>
      <c r="AB31" s="39">
        <f t="shared" ref="AB31:AB32" si="78">+(Q31/O$2)*L31</f>
        <v>165177.9995539884</v>
      </c>
      <c r="AC31" s="49">
        <f t="shared" si="39"/>
        <v>338982.18251682643</v>
      </c>
      <c r="AD31" s="49">
        <f t="shared" ref="AD31:AD32" si="79">+AC31+AB31</f>
        <v>504160.18207081483</v>
      </c>
      <c r="AE31" s="39">
        <f t="shared" ref="AE31:AE32" si="80">+AD31*0.2</f>
        <v>100832.03641416297</v>
      </c>
      <c r="AG31" s="45">
        <f t="shared" ref="AG31:AG32" si="81">AB31*(1+$AC$37)</f>
        <v>153520.23423039514</v>
      </c>
      <c r="AH31" s="45">
        <f t="shared" ref="AH31:AH32" si="82">AC31*(1+$AC$37)</f>
        <v>315057.8418459674</v>
      </c>
      <c r="AI31" s="45">
        <f t="shared" ref="AI31:AI32" si="83">AD31*(1+$AD$37)</f>
        <v>466198.27605370071</v>
      </c>
      <c r="AJ31" s="37"/>
    </row>
    <row r="32" spans="1:42" x14ac:dyDescent="0.25">
      <c r="A32" s="43">
        <v>2019</v>
      </c>
      <c r="B32" s="51" t="s">
        <v>97</v>
      </c>
      <c r="C32" s="43">
        <v>7.96</v>
      </c>
      <c r="D32" s="43">
        <v>4.07</v>
      </c>
      <c r="E32" s="43">
        <v>2.67</v>
      </c>
      <c r="G32" s="43">
        <v>51267</v>
      </c>
      <c r="H32" s="4">
        <v>43882</v>
      </c>
      <c r="I32" s="4">
        <v>43652</v>
      </c>
      <c r="J32" s="106">
        <v>1.78</v>
      </c>
      <c r="K32" s="106">
        <v>2.37</v>
      </c>
      <c r="L32" s="106">
        <v>1.28</v>
      </c>
      <c r="M32" s="44">
        <f t="shared" si="41"/>
        <v>0.38082191780821917</v>
      </c>
      <c r="N32" s="44">
        <f t="shared" ref="N32" si="84">+(I32-I31)/365</f>
        <v>0.98630136986301364</v>
      </c>
      <c r="O32" s="48">
        <f t="shared" ref="O32" si="85">+P32</f>
        <v>10.921494335979769</v>
      </c>
      <c r="P32" s="47">
        <v>10.921494335979769</v>
      </c>
      <c r="Q32" s="43">
        <f t="shared" ref="Q32" si="86">+O32</f>
        <v>10.921494335979769</v>
      </c>
      <c r="R32" s="43">
        <f t="shared" ref="R32" si="87">+Q31*O$3</f>
        <v>6.1548044013871399</v>
      </c>
      <c r="S32" s="43">
        <f t="shared" ref="S32" si="88">+(R31+S31)*EXP(P$5*N32)-O$2*G31*EXP(M32*P$5)</f>
        <v>3.122115631654943</v>
      </c>
      <c r="T32" s="43">
        <f t="shared" ref="T32" si="89">SUM(Q32:S32)</f>
        <v>20.198414369021851</v>
      </c>
      <c r="U32" s="43">
        <f t="shared" ref="U32" si="90">+(LN(Q32)-LN(C32))^2</f>
        <v>0.10004809709061337</v>
      </c>
      <c r="V32" s="43">
        <f t="shared" ref="V32" si="91">+(LN(R32)-LN(D32))^2</f>
        <v>0.1710566722685147</v>
      </c>
      <c r="W32" s="43">
        <f t="shared" ref="W32" si="92">+(LN(S32)-LN(E32))^2</f>
        <v>2.447109160270269E-2</v>
      </c>
      <c r="X32" s="43">
        <v>10</v>
      </c>
      <c r="Y32" s="43">
        <f t="shared" ref="Y32" si="93">+SUM(U32:W32)*X32</f>
        <v>2.9557586096183073</v>
      </c>
      <c r="Z32" s="37"/>
      <c r="AA32" s="43">
        <f t="shared" si="2"/>
        <v>2019</v>
      </c>
      <c r="AB32" s="39">
        <f t="shared" si="78"/>
        <v>241172.81968324588</v>
      </c>
      <c r="AC32" s="49">
        <f t="shared" si="39"/>
        <v>379304.92825914372</v>
      </c>
      <c r="AD32" s="49">
        <f t="shared" si="79"/>
        <v>620477.74794238957</v>
      </c>
      <c r="AE32" s="39">
        <f t="shared" si="80"/>
        <v>124095.54958847792</v>
      </c>
      <c r="AG32" s="129">
        <f t="shared" si="81"/>
        <v>224151.56902100134</v>
      </c>
      <c r="AH32" s="129">
        <f t="shared" si="82"/>
        <v>352534.72973593062</v>
      </c>
      <c r="AI32" s="129">
        <f t="shared" si="83"/>
        <v>573757.44199448533</v>
      </c>
      <c r="AJ32" s="111"/>
    </row>
    <row r="33" spans="1:36" x14ac:dyDescent="0.25">
      <c r="A33" s="43">
        <v>2020</v>
      </c>
      <c r="B33" s="51" t="s">
        <v>98</v>
      </c>
      <c r="C33" s="43">
        <v>10.324484</v>
      </c>
      <c r="D33" s="43">
        <v>7.9449800000000002</v>
      </c>
      <c r="E33" s="43">
        <v>5.0316090000000004</v>
      </c>
      <c r="G33" s="43">
        <v>67652</v>
      </c>
      <c r="H33" s="4">
        <v>44249</v>
      </c>
      <c r="I33" s="4">
        <v>44016</v>
      </c>
      <c r="J33" s="106">
        <v>1.91</v>
      </c>
      <c r="K33" s="106">
        <v>2.4980000000000002</v>
      </c>
      <c r="L33" s="106">
        <v>1.3080000000000001</v>
      </c>
      <c r="M33" s="44">
        <f t="shared" si="41"/>
        <v>0.36712328767123287</v>
      </c>
      <c r="N33" s="44">
        <f t="shared" ref="N33" si="94">+(I33-I32)/365</f>
        <v>0.99726027397260275</v>
      </c>
      <c r="O33" s="48">
        <f t="shared" ref="O33" si="95">+P33</f>
        <v>13.398188288672342</v>
      </c>
      <c r="P33" s="47">
        <v>13.398188288672342</v>
      </c>
      <c r="Q33" s="43">
        <f t="shared" ref="Q33" si="96">+O33</f>
        <v>13.398188288672342</v>
      </c>
      <c r="R33" s="43">
        <f t="shared" ref="R33" si="97">+Q32*O$3</f>
        <v>8.7451108805760569</v>
      </c>
      <c r="S33" s="43">
        <f t="shared" ref="S33" si="98">+(R32+S32)*EXP(P$5*N33)-O$2*G32*EXP(M33*P$5)</f>
        <v>4.2163974611507129</v>
      </c>
      <c r="T33" s="43">
        <f t="shared" ref="T33" si="99">SUM(Q33:S33)</f>
        <v>26.359696630399114</v>
      </c>
      <c r="U33" s="43">
        <f t="shared" ref="U33" si="100">+(LN(Q33)-LN(C33))^2</f>
        <v>6.7913055109008941E-2</v>
      </c>
      <c r="V33" s="43">
        <f t="shared" ref="V33" si="101">+(LN(R33)-LN(D33))^2</f>
        <v>9.2072670340766129E-3</v>
      </c>
      <c r="W33" s="43">
        <f t="shared" ref="W33" si="102">+(LN(S33)-LN(E33))^2</f>
        <v>3.1243649484757701E-2</v>
      </c>
      <c r="X33" s="43">
        <v>10</v>
      </c>
      <c r="Y33" s="43">
        <f t="shared" ref="Y33" si="103">+SUM(U33:W33)*X33</f>
        <v>1.0836397162784326</v>
      </c>
      <c r="Z33" s="37"/>
      <c r="AA33" s="43">
        <f t="shared" si="2"/>
        <v>2020</v>
      </c>
      <c r="AB33" s="39">
        <f t="shared" ref="AB33" si="104">+(Q33/O$2)*L33</f>
        <v>302336.19790957653</v>
      </c>
      <c r="AC33" s="49">
        <f t="shared" si="39"/>
        <v>558578.61413996189</v>
      </c>
      <c r="AD33" s="49">
        <f t="shared" ref="AD33" si="105">+AC33+AB33</f>
        <v>860914.81204953836</v>
      </c>
      <c r="AE33" s="39">
        <f t="shared" ref="AE33:AE34" si="106">+AD33*0.2</f>
        <v>172182.96240990769</v>
      </c>
      <c r="AG33" s="129">
        <f t="shared" ref="AG33" si="107">AB33*(1+$AC$37)</f>
        <v>280998.22037277214</v>
      </c>
      <c r="AH33" s="129">
        <f t="shared" ref="AH33" si="108">AC33*(1+$AC$37)</f>
        <v>519155.81923988654</v>
      </c>
      <c r="AI33" s="129">
        <f t="shared" ref="AI33" si="109">AD33*(1+$AD$37)</f>
        <v>796090.24171253492</v>
      </c>
      <c r="AJ33" s="113"/>
    </row>
    <row r="34" spans="1:36" x14ac:dyDescent="0.25">
      <c r="A34" s="43">
        <v>2021</v>
      </c>
      <c r="B34" s="51" t="s">
        <v>100</v>
      </c>
      <c r="C34" s="43">
        <v>11.910382763445</v>
      </c>
      <c r="D34" s="43">
        <v>13.922302317913401</v>
      </c>
      <c r="E34" s="43">
        <v>8.9380861611954092</v>
      </c>
      <c r="H34" s="4"/>
      <c r="I34" s="4">
        <v>44384</v>
      </c>
      <c r="J34" s="43">
        <v>2.1566860769263299</v>
      </c>
      <c r="K34" s="43">
        <v>2.6183137795781</v>
      </c>
      <c r="L34" s="43">
        <v>1.3211969262010299</v>
      </c>
      <c r="M34" s="44">
        <f t="shared" si="41"/>
        <v>0.36986301369863012</v>
      </c>
      <c r="N34" s="44">
        <f t="shared" ref="N34" si="110">+(I34-I33)/365</f>
        <v>1.0082191780821919</v>
      </c>
      <c r="O34" s="48">
        <f t="shared" ref="O34" si="111">+P34</f>
        <v>11.910449680860344</v>
      </c>
      <c r="P34" s="47">
        <v>11.910449680860344</v>
      </c>
      <c r="Q34" s="43">
        <f t="shared" ref="Q34" si="112">+O34</f>
        <v>11.910449680860344</v>
      </c>
      <c r="R34" s="43">
        <f t="shared" ref="R34" si="113">+Q33*O$3</f>
        <v>10.728261040000254</v>
      </c>
      <c r="S34" s="43">
        <f t="shared" ref="S34" si="114">+(R33+S33)*EXP(P$5*N34)-O$2*G33*EXP(M34*P$5)</f>
        <v>6.0688916028665796</v>
      </c>
      <c r="T34" s="43">
        <f t="shared" ref="T34" si="115">SUM(Q34:S34)</f>
        <v>28.707602323727176</v>
      </c>
      <c r="U34" s="43">
        <f t="shared" ref="U34" si="116">+(LN(Q34)-LN(C34))^2</f>
        <v>3.1566355204149691E-11</v>
      </c>
      <c r="V34" s="43">
        <f t="shared" ref="V34" si="117">+(LN(R34)-LN(D34))^2</f>
        <v>6.7917863650261409E-2</v>
      </c>
      <c r="W34" s="43">
        <f t="shared" ref="W34" si="118">+(LN(S34)-LN(E34))^2</f>
        <v>0.14988164160390796</v>
      </c>
      <c r="X34" s="43">
        <v>10</v>
      </c>
      <c r="Y34" s="43">
        <f t="shared" ref="Y34" si="119">+SUM(U34:W34)*X34</f>
        <v>2.1779950528573573</v>
      </c>
      <c r="Z34" s="37"/>
      <c r="AA34" s="37">
        <f t="shared" si="2"/>
        <v>2021</v>
      </c>
      <c r="AB34" s="39">
        <f t="shared" ref="AB34" si="120">+(Q34/O$2)*L34</f>
        <v>271476.37391802436</v>
      </c>
      <c r="AC34" s="49">
        <f t="shared" ref="AC34" si="121">+((R34+S34)/O$2)*K34</f>
        <v>758741.23414043046</v>
      </c>
      <c r="AD34" s="49">
        <f t="shared" ref="AD34" si="122">+AC34+AB34</f>
        <v>1030217.6080584548</v>
      </c>
      <c r="AE34" s="39">
        <f t="shared" si="106"/>
        <v>206043.52161169099</v>
      </c>
      <c r="AF34" s="115"/>
      <c r="AG34" s="129">
        <f t="shared" ref="AG34" si="123">AB34*(1+$AC$37)</f>
        <v>252316.38973985321</v>
      </c>
      <c r="AH34" s="129">
        <f t="shared" ref="AH34" si="124">AC34*(1+$AC$37)</f>
        <v>705191.56485743611</v>
      </c>
      <c r="AI34" s="129">
        <f t="shared" ref="AI34" si="125">AD34*(1+$AD$37)</f>
        <v>952644.99243924301</v>
      </c>
      <c r="AJ34" s="113"/>
    </row>
    <row r="35" spans="1:36" x14ac:dyDescent="0.25">
      <c r="H35" s="4"/>
      <c r="I35" s="4"/>
      <c r="M35" s="6"/>
      <c r="N35" s="6"/>
      <c r="O35" s="6"/>
      <c r="P35" s="6"/>
      <c r="Z35" s="37"/>
      <c r="AA35" s="37"/>
      <c r="AB35" s="114"/>
      <c r="AC35" s="37"/>
      <c r="AD35" s="115"/>
      <c r="AE35" s="115"/>
      <c r="AF35" s="115"/>
      <c r="AG35" s="115"/>
      <c r="AH35" s="115"/>
      <c r="AI35" s="115"/>
      <c r="AJ35" s="113"/>
    </row>
    <row r="36" spans="1:36" ht="13.8" thickBot="1" x14ac:dyDescent="0.3">
      <c r="H36" s="4"/>
      <c r="I36" s="4"/>
      <c r="M36" s="6"/>
      <c r="N36" s="6"/>
      <c r="O36" s="6"/>
      <c r="P36" s="6"/>
      <c r="Z36" s="37"/>
      <c r="AA36" s="37"/>
      <c r="AB36" s="114"/>
      <c r="AC36" s="13"/>
      <c r="AD36" s="115"/>
      <c r="AE36" s="115"/>
      <c r="AF36" s="115"/>
      <c r="AG36" s="115"/>
      <c r="AH36" s="115"/>
      <c r="AI36" s="115"/>
      <c r="AJ36" s="113"/>
    </row>
    <row r="37" spans="1:36" x14ac:dyDescent="0.25">
      <c r="H37" s="4"/>
      <c r="I37" s="4"/>
      <c r="M37" s="6"/>
      <c r="N37" s="6"/>
      <c r="O37" s="6"/>
      <c r="P37" s="6"/>
      <c r="Z37" s="37"/>
      <c r="AA37" s="138" t="s">
        <v>84</v>
      </c>
      <c r="AB37" s="117">
        <f>compare!Q28</f>
        <v>-5.7434242895603553E-2</v>
      </c>
      <c r="AC37" s="117">
        <f>compare!R28</f>
        <v>-7.0576985767301953E-2</v>
      </c>
      <c r="AD37" s="117">
        <f>compare!S28</f>
        <v>-7.5297310987923194E-2</v>
      </c>
      <c r="AE37" s="118"/>
      <c r="AF37" s="129"/>
      <c r="AG37" s="110"/>
      <c r="AH37" s="110"/>
      <c r="AI37" s="110"/>
      <c r="AJ37" s="37"/>
    </row>
    <row r="38" spans="1:36" ht="13.8" thickBot="1" x14ac:dyDescent="0.3">
      <c r="H38" s="4"/>
      <c r="I38" s="4"/>
      <c r="M38" s="6"/>
      <c r="N38" s="6"/>
      <c r="O38" s="6"/>
      <c r="P38" s="6"/>
      <c r="Z38" s="37"/>
      <c r="AA38" s="139"/>
      <c r="AB38" s="120">
        <f>AB28*(1+AB37)</f>
        <v>114035.56647416894</v>
      </c>
      <c r="AC38" s="120">
        <f>AC28*(1+AC37)</f>
        <v>215603.49369385504</v>
      </c>
      <c r="AD38" s="120">
        <f>AD28*(1+AD37)</f>
        <v>326382.91068041808</v>
      </c>
      <c r="AE38" s="119"/>
      <c r="AF38" s="129"/>
      <c r="AG38" s="110"/>
      <c r="AH38" s="110"/>
      <c r="AI38" s="110"/>
      <c r="AJ38" s="37"/>
    </row>
    <row r="39" spans="1:36" ht="13.8" thickBot="1" x14ac:dyDescent="0.3">
      <c r="H39" s="4"/>
      <c r="I39" s="4"/>
      <c r="M39" s="6"/>
      <c r="N39" s="6"/>
      <c r="O39" s="6"/>
      <c r="P39" s="6"/>
      <c r="Z39" s="37"/>
      <c r="AA39" s="37">
        <v>2016</v>
      </c>
      <c r="AB39" s="120">
        <f>AB29*(1+$AB$37)</f>
        <v>132362.69022154965</v>
      </c>
      <c r="AC39" s="120">
        <f>AC29*(1+$AC$37)</f>
        <v>227784.93734032928</v>
      </c>
      <c r="AD39" s="120">
        <f>AD29*(1+$AD$37)</f>
        <v>356482.28420010011</v>
      </c>
      <c r="AE39" s="112"/>
      <c r="AF39" s="112"/>
      <c r="AG39" s="110"/>
      <c r="AH39" s="110"/>
      <c r="AI39" s="110"/>
      <c r="AJ39" s="37"/>
    </row>
    <row r="40" spans="1:36" ht="13.8" thickBot="1" x14ac:dyDescent="0.3">
      <c r="H40" s="4"/>
      <c r="I40" s="4"/>
      <c r="M40" s="6"/>
      <c r="N40" s="6"/>
      <c r="O40" s="6"/>
      <c r="P40" s="6"/>
      <c r="Z40" s="37"/>
      <c r="AA40" s="37">
        <v>2017</v>
      </c>
      <c r="AB40" s="120">
        <f>AB30*(1+$AB$37)</f>
        <v>154207.78054064343</v>
      </c>
      <c r="AC40" s="120">
        <f>AC30*(1+$AC$37)</f>
        <v>281406.11791565054</v>
      </c>
      <c r="AD40" s="120">
        <f>AD30*(1+$AD$37)</f>
        <v>431262.22748277691</v>
      </c>
      <c r="AE40" s="110"/>
      <c r="AF40" s="110"/>
      <c r="AG40" s="110"/>
      <c r="AH40" s="110"/>
      <c r="AI40" s="110"/>
      <c r="AJ40" s="37"/>
    </row>
    <row r="41" spans="1:36" ht="13.8" thickBot="1" x14ac:dyDescent="0.3">
      <c r="H41" s="4"/>
      <c r="I41" s="4"/>
      <c r="M41" s="6"/>
      <c r="N41" s="6"/>
      <c r="O41" s="6"/>
      <c r="P41" s="6"/>
      <c r="Z41" s="37"/>
      <c r="AA41" s="37">
        <v>2018</v>
      </c>
      <c r="AB41" s="120">
        <f>AB31*(1+$AB$37)</f>
        <v>155691.12620659475</v>
      </c>
      <c r="AC41" s="120">
        <f>AC31*(1+$AC$37)</f>
        <v>315057.8418459674</v>
      </c>
      <c r="AD41" s="120">
        <f>AD31*(1+$AD$37)</f>
        <v>466198.27605370071</v>
      </c>
      <c r="AE41" s="110"/>
      <c r="AF41" s="110"/>
      <c r="AG41" s="110"/>
      <c r="AH41" s="110"/>
      <c r="AI41" s="110"/>
      <c r="AJ41" s="37"/>
    </row>
    <row r="42" spans="1:36" ht="13.8" thickBot="1" x14ac:dyDescent="0.3">
      <c r="H42" s="4"/>
      <c r="I42" s="4"/>
      <c r="M42" s="6"/>
      <c r="N42" s="6"/>
      <c r="O42" s="6"/>
      <c r="P42" s="6"/>
      <c r="Z42" s="37"/>
      <c r="AA42" s="37">
        <v>2019</v>
      </c>
      <c r="AB42" s="120">
        <f>AB32*(1+$AB$37)</f>
        <v>227321.24137774075</v>
      </c>
      <c r="AC42" s="120">
        <f>AC32*(1+$AC$37)</f>
        <v>352534.72973593062</v>
      </c>
      <c r="AD42" s="120">
        <f t="shared" ref="AD42:AD44" si="126">AD32*(1+$AD$37)</f>
        <v>573757.44199448533</v>
      </c>
      <c r="AE42" s="110"/>
      <c r="AF42" s="110"/>
      <c r="AG42" s="110"/>
      <c r="AH42" s="110"/>
      <c r="AI42" s="110"/>
      <c r="AJ42" s="37"/>
    </row>
    <row r="43" spans="1:36" ht="13.8" thickBot="1" x14ac:dyDescent="0.3">
      <c r="H43" s="4"/>
      <c r="I43" s="4"/>
      <c r="M43" s="6"/>
      <c r="N43" s="6"/>
      <c r="O43" s="6"/>
      <c r="P43" s="6"/>
      <c r="Z43" s="37"/>
      <c r="AA43" s="37">
        <v>2020</v>
      </c>
      <c r="AB43" s="120">
        <f>AB33*(1+$AB$37)</f>
        <v>284971.74728270463</v>
      </c>
      <c r="AC43" s="120">
        <f>AC33*(1+$AC$37)</f>
        <v>519155.81923988654</v>
      </c>
      <c r="AD43" s="120">
        <f t="shared" si="126"/>
        <v>796090.24171253492</v>
      </c>
      <c r="AE43" s="110"/>
      <c r="AF43" s="110"/>
      <c r="AG43" s="110"/>
      <c r="AH43" s="110"/>
      <c r="AI43" s="110"/>
      <c r="AJ43" s="37"/>
    </row>
    <row r="44" spans="1:36" ht="13.8" thickBot="1" x14ac:dyDescent="0.3">
      <c r="H44" s="4"/>
      <c r="I44" s="4"/>
      <c r="M44" s="6"/>
      <c r="N44" s="6"/>
      <c r="O44" s="6"/>
      <c r="P44" s="6"/>
      <c r="Z44" s="37"/>
      <c r="AA44" s="37">
        <v>2020</v>
      </c>
      <c r="AB44" s="120">
        <f>AB34*(1+$AB$37)</f>
        <v>255884.33391799885</v>
      </c>
      <c r="AC44" s="120">
        <f>AC34*(1+$AC$37)</f>
        <v>705191.56485743611</v>
      </c>
      <c r="AD44" s="120">
        <f t="shared" si="126"/>
        <v>952644.99243924301</v>
      </c>
      <c r="AE44" s="110"/>
      <c r="AF44" s="110"/>
      <c r="AG44" s="110"/>
      <c r="AH44" s="110"/>
      <c r="AI44" s="110"/>
      <c r="AJ44" s="37"/>
    </row>
    <row r="45" spans="1:36" x14ac:dyDescent="0.25">
      <c r="H45" s="4"/>
      <c r="I45" s="4"/>
      <c r="M45" s="6"/>
      <c r="N45" s="6"/>
      <c r="O45" s="6"/>
      <c r="P45" s="6"/>
      <c r="Z45" s="37"/>
      <c r="AA45" s="37"/>
      <c r="AB45" s="110"/>
      <c r="AC45" s="110"/>
      <c r="AD45" s="110"/>
      <c r="AE45" s="110"/>
      <c r="AF45" s="110"/>
      <c r="AG45" s="110"/>
      <c r="AH45" s="110"/>
      <c r="AI45" s="110"/>
      <c r="AJ45" s="37"/>
    </row>
    <row r="46" spans="1:36" x14ac:dyDescent="0.25">
      <c r="H46" s="4"/>
      <c r="I46" s="4"/>
      <c r="M46" s="6"/>
      <c r="N46" s="6"/>
      <c r="O46" s="6"/>
      <c r="Z46" s="37"/>
      <c r="AA46" s="37"/>
      <c r="AB46" s="110"/>
      <c r="AC46" s="110"/>
      <c r="AD46" s="110"/>
      <c r="AE46" s="110"/>
      <c r="AF46" s="110"/>
      <c r="AG46" s="110"/>
      <c r="AH46" s="110"/>
      <c r="AI46" s="110"/>
      <c r="AJ46" s="37"/>
    </row>
    <row r="47" spans="1:36" x14ac:dyDescent="0.25">
      <c r="H47" s="4"/>
      <c r="I47" s="4"/>
      <c r="M47" s="6"/>
      <c r="N47" s="6"/>
      <c r="O47" s="6"/>
      <c r="Z47" s="37"/>
      <c r="AA47" s="37"/>
      <c r="AB47" s="110"/>
      <c r="AC47" s="110"/>
      <c r="AD47" s="110"/>
      <c r="AE47" s="110"/>
      <c r="AF47" s="110"/>
      <c r="AG47" s="110"/>
      <c r="AH47" s="110"/>
      <c r="AI47" s="110"/>
      <c r="AJ47" s="37"/>
    </row>
    <row r="48" spans="1:36" x14ac:dyDescent="0.25">
      <c r="H48" s="4"/>
      <c r="I48" s="4"/>
      <c r="Z48" s="37"/>
      <c r="AA48" s="37"/>
      <c r="AB48" s="110"/>
      <c r="AC48" s="110"/>
      <c r="AD48" s="110"/>
      <c r="AE48" s="110"/>
      <c r="AF48" s="110"/>
      <c r="AG48" s="110"/>
      <c r="AH48" s="110"/>
      <c r="AI48" s="110"/>
      <c r="AJ48" s="37"/>
    </row>
    <row r="49" spans="8:36" x14ac:dyDescent="0.25">
      <c r="H49" s="4"/>
      <c r="I49" s="4"/>
      <c r="Z49" s="37"/>
      <c r="AA49" s="37"/>
      <c r="AB49" s="110"/>
      <c r="AC49" s="110"/>
      <c r="AD49" s="110"/>
      <c r="AE49" s="110"/>
      <c r="AF49" s="110"/>
      <c r="AG49" s="110"/>
      <c r="AH49" s="110"/>
      <c r="AI49" s="110"/>
      <c r="AJ49" s="37"/>
    </row>
    <row r="50" spans="8:36" x14ac:dyDescent="0.25">
      <c r="H50" s="4"/>
      <c r="I50" s="4"/>
      <c r="Z50" s="37"/>
      <c r="AA50" s="37"/>
      <c r="AB50" s="110"/>
      <c r="AC50" s="110"/>
      <c r="AD50" s="110"/>
      <c r="AE50" s="110"/>
      <c r="AF50" s="110"/>
      <c r="AG50" s="110"/>
      <c r="AH50" s="110"/>
      <c r="AI50" s="110"/>
      <c r="AJ50" s="37"/>
    </row>
    <row r="51" spans="8:36" x14ac:dyDescent="0.25">
      <c r="H51" s="4"/>
      <c r="I51" s="4"/>
      <c r="Z51" s="37"/>
      <c r="AA51" s="37"/>
      <c r="AB51" s="110"/>
      <c r="AC51" s="110"/>
      <c r="AD51" s="110"/>
      <c r="AE51" s="110"/>
      <c r="AF51" s="110"/>
      <c r="AG51" s="110"/>
      <c r="AH51" s="110"/>
      <c r="AI51" s="110"/>
      <c r="AJ51" s="37"/>
    </row>
    <row r="52" spans="8:36" x14ac:dyDescent="0.25">
      <c r="H52" s="4"/>
      <c r="I52" s="4"/>
      <c r="Z52" s="37"/>
      <c r="AA52" s="37"/>
      <c r="AB52" s="110"/>
      <c r="AC52" s="110"/>
      <c r="AD52" s="110"/>
      <c r="AE52" s="110"/>
      <c r="AF52" s="110"/>
      <c r="AG52" s="110"/>
      <c r="AH52" s="110"/>
      <c r="AI52" s="110"/>
      <c r="AJ52" s="37"/>
    </row>
    <row r="53" spans="8:36" x14ac:dyDescent="0.25">
      <c r="H53" s="4"/>
      <c r="I53" s="4"/>
      <c r="Z53" s="37"/>
      <c r="AA53" s="37"/>
      <c r="AB53" s="112"/>
      <c r="AC53" s="112"/>
      <c r="AD53" s="112"/>
      <c r="AE53" s="112"/>
      <c r="AF53" s="112"/>
      <c r="AG53" s="112"/>
      <c r="AH53" s="112"/>
      <c r="AI53" s="112"/>
      <c r="AJ53" s="37"/>
    </row>
    <row r="54" spans="8:36" x14ac:dyDescent="0.25">
      <c r="H54" s="4"/>
      <c r="I54" s="4"/>
      <c r="Z54" s="37"/>
      <c r="AA54" s="37"/>
      <c r="AB54" s="112"/>
      <c r="AC54" s="112"/>
      <c r="AD54" s="112"/>
      <c r="AE54" s="112"/>
      <c r="AF54" s="112"/>
      <c r="AG54" s="112"/>
      <c r="AH54" s="112"/>
      <c r="AI54" s="112"/>
      <c r="AJ54" s="37"/>
    </row>
    <row r="55" spans="8:36" x14ac:dyDescent="0.25">
      <c r="H55" s="4"/>
      <c r="I55" s="4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8:36" x14ac:dyDescent="0.25">
      <c r="H56" s="4"/>
      <c r="I56" s="4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</row>
    <row r="57" spans="8:36" x14ac:dyDescent="0.25">
      <c r="H57" s="4"/>
      <c r="I57" s="4"/>
    </row>
    <row r="58" spans="8:36" x14ac:dyDescent="0.25">
      <c r="H58" s="4"/>
      <c r="I58" s="4"/>
    </row>
    <row r="59" spans="8:36" x14ac:dyDescent="0.25">
      <c r="H59" s="4"/>
      <c r="I59" s="4"/>
    </row>
    <row r="60" spans="8:36" x14ac:dyDescent="0.25">
      <c r="H60" s="4"/>
      <c r="I60" s="4"/>
    </row>
    <row r="61" spans="8:36" x14ac:dyDescent="0.25">
      <c r="H61" s="4"/>
      <c r="I61" s="4"/>
    </row>
    <row r="62" spans="8:36" x14ac:dyDescent="0.25">
      <c r="H62" s="4"/>
      <c r="I62" s="4"/>
    </row>
    <row r="63" spans="8:36" x14ac:dyDescent="0.25">
      <c r="H63" s="4"/>
      <c r="I63" s="4"/>
    </row>
    <row r="64" spans="8:36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</sheetData>
  <mergeCells count="23">
    <mergeCell ref="C1:M1"/>
    <mergeCell ref="N7:N8"/>
    <mergeCell ref="AB7:AB8"/>
    <mergeCell ref="AC7:AC8"/>
    <mergeCell ref="AD7:AD8"/>
    <mergeCell ref="G7:G8"/>
    <mergeCell ref="AE7:AE8"/>
    <mergeCell ref="AM7:AM8"/>
    <mergeCell ref="H7:H8"/>
    <mergeCell ref="I7:I8"/>
    <mergeCell ref="J7:J8"/>
    <mergeCell ref="K7:K8"/>
    <mergeCell ref="L7:L8"/>
    <mergeCell ref="M7:M8"/>
    <mergeCell ref="AH7:AH8"/>
    <mergeCell ref="AI7:AI8"/>
    <mergeCell ref="AG7:AG8"/>
    <mergeCell ref="AA37:AA38"/>
    <mergeCell ref="A7:A8"/>
    <mergeCell ref="B7:B8"/>
    <mergeCell ref="C7:C8"/>
    <mergeCell ref="D7:D8"/>
    <mergeCell ref="E7:E8"/>
  </mergeCell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9"/>
  <sheetViews>
    <sheetView topLeftCell="A10" workbookViewId="0">
      <selection activeCell="R36" sqref="R36"/>
    </sheetView>
  </sheetViews>
  <sheetFormatPr defaultRowHeight="13.2" x14ac:dyDescent="0.25"/>
  <cols>
    <col min="1" max="1" width="10.109375" bestFit="1" customWidth="1"/>
    <col min="10" max="10" width="3.88671875" customWidth="1"/>
    <col min="15" max="15" width="2.6640625" customWidth="1"/>
  </cols>
  <sheetData>
    <row r="1" spans="1:19" x14ac:dyDescent="0.25">
      <c r="A1" s="31">
        <v>42352</v>
      </c>
    </row>
    <row r="3" spans="1:19" x14ac:dyDescent="0.25">
      <c r="A3" s="46" t="s">
        <v>77</v>
      </c>
    </row>
    <row r="5" spans="1:19" x14ac:dyDescent="0.25">
      <c r="A5" s="46" t="s">
        <v>78</v>
      </c>
      <c r="F5" s="46" t="s">
        <v>79</v>
      </c>
      <c r="K5" s="46" t="s">
        <v>80</v>
      </c>
      <c r="P5" s="46" t="s">
        <v>81</v>
      </c>
      <c r="R5" s="43"/>
      <c r="S5" s="43"/>
    </row>
    <row r="6" spans="1:19" x14ac:dyDescent="0.25">
      <c r="A6" s="43"/>
      <c r="B6" s="140" t="s">
        <v>15</v>
      </c>
      <c r="C6" s="140" t="s">
        <v>16</v>
      </c>
      <c r="D6" s="140" t="s">
        <v>17</v>
      </c>
      <c r="F6" s="43"/>
      <c r="G6" s="140" t="s">
        <v>15</v>
      </c>
      <c r="H6" s="140" t="s">
        <v>16</v>
      </c>
      <c r="I6" s="140" t="s">
        <v>17</v>
      </c>
      <c r="K6" s="43"/>
      <c r="L6" s="140" t="s">
        <v>15</v>
      </c>
      <c r="M6" s="140" t="s">
        <v>16</v>
      </c>
      <c r="N6" s="140" t="s">
        <v>17</v>
      </c>
      <c r="P6" s="43"/>
      <c r="Q6" s="140" t="s">
        <v>15</v>
      </c>
      <c r="R6" s="140" t="s">
        <v>16</v>
      </c>
      <c r="S6" s="140" t="s">
        <v>17</v>
      </c>
    </row>
    <row r="7" spans="1:19" x14ac:dyDescent="0.25">
      <c r="A7" s="43"/>
      <c r="B7" s="140"/>
      <c r="C7" s="140"/>
      <c r="D7" s="140"/>
      <c r="F7" s="43"/>
      <c r="G7" s="140"/>
      <c r="H7" s="140"/>
      <c r="I7" s="140"/>
      <c r="K7" s="43"/>
      <c r="L7" s="140"/>
      <c r="M7" s="140"/>
      <c r="N7" s="140"/>
      <c r="P7" s="43"/>
      <c r="Q7" s="140"/>
      <c r="R7" s="140"/>
      <c r="S7" s="140"/>
    </row>
    <row r="8" spans="1:19" x14ac:dyDescent="0.25">
      <c r="A8" s="43">
        <v>1996</v>
      </c>
      <c r="B8" s="45"/>
      <c r="C8" s="45"/>
      <c r="D8" s="45"/>
      <c r="F8" s="43">
        <v>1996</v>
      </c>
      <c r="G8" s="45"/>
      <c r="H8" s="45"/>
      <c r="I8" s="45"/>
      <c r="K8" s="43">
        <v>1996</v>
      </c>
      <c r="L8" s="45"/>
      <c r="M8" s="45"/>
      <c r="N8" s="45"/>
      <c r="P8" s="43">
        <v>1996</v>
      </c>
      <c r="Q8" s="45"/>
      <c r="R8" s="45"/>
      <c r="S8" s="45"/>
    </row>
    <row r="9" spans="1:19" x14ac:dyDescent="0.25">
      <c r="A9" s="43">
        <v>1997</v>
      </c>
      <c r="B9" s="45">
        <v>171234.06182030571</v>
      </c>
      <c r="C9" s="45">
        <v>494167.87658648571</v>
      </c>
      <c r="D9" s="45">
        <v>665401.93840679142</v>
      </c>
      <c r="F9" s="43">
        <v>1997</v>
      </c>
      <c r="G9" s="45">
        <v>195088.71686348657</v>
      </c>
      <c r="H9" s="45">
        <v>458211.99510761688</v>
      </c>
      <c r="I9" s="45">
        <v>653300.71197110345</v>
      </c>
      <c r="K9" s="43">
        <v>1997</v>
      </c>
      <c r="L9" s="45">
        <f>B9-G9</f>
        <v>-23854.655043180857</v>
      </c>
      <c r="M9" s="45">
        <f t="shared" ref="M9:N9" si="0">C9-H9</f>
        <v>35955.881478868832</v>
      </c>
      <c r="N9" s="45">
        <f t="shared" si="0"/>
        <v>12101.226435687975</v>
      </c>
      <c r="P9" s="43">
        <v>1997</v>
      </c>
      <c r="Q9" s="105">
        <f>L9/G9</f>
        <v>-0.1222759338761409</v>
      </c>
      <c r="R9" s="105">
        <f t="shared" ref="R9:S9" si="1">M9/H9</f>
        <v>7.8469969932638148E-2</v>
      </c>
      <c r="S9" s="105">
        <f t="shared" si="1"/>
        <v>1.8523210236794034E-2</v>
      </c>
    </row>
    <row r="10" spans="1:19" x14ac:dyDescent="0.25">
      <c r="A10" s="43">
        <v>1998</v>
      </c>
      <c r="B10" s="45">
        <v>117612.38226449495</v>
      </c>
      <c r="C10" s="45">
        <v>535472.15284132527</v>
      </c>
      <c r="D10" s="45">
        <v>653084.53510582028</v>
      </c>
      <c r="F10" s="43">
        <v>1998</v>
      </c>
      <c r="G10" s="45">
        <v>140494.53903589339</v>
      </c>
      <c r="H10" s="45">
        <v>557052.61394807405</v>
      </c>
      <c r="I10" s="45">
        <v>697547.15298396745</v>
      </c>
      <c r="K10" s="43">
        <v>1998</v>
      </c>
      <c r="L10" s="45">
        <f t="shared" ref="L10:L26" si="2">B10-G10</f>
        <v>-22882.15677139844</v>
      </c>
      <c r="M10" s="45">
        <f t="shared" ref="M10:M26" si="3">C10-H10</f>
        <v>-21580.461106748786</v>
      </c>
      <c r="N10" s="45">
        <f t="shared" ref="N10:N26" si="4">D10-I10</f>
        <v>-44462.617878147168</v>
      </c>
      <c r="P10" s="43">
        <v>1998</v>
      </c>
      <c r="Q10" s="105">
        <f t="shared" ref="Q10:Q26" si="5">L10/G10</f>
        <v>-0.16286865616572138</v>
      </c>
      <c r="R10" s="105">
        <f t="shared" ref="R10:R26" si="6">M10/H10</f>
        <v>-3.8740435941586694E-2</v>
      </c>
      <c r="S10" s="105">
        <f t="shared" ref="S10:S26" si="7">N10/I10</f>
        <v>-6.3741379615621638E-2</v>
      </c>
    </row>
    <row r="11" spans="1:19" x14ac:dyDescent="0.25">
      <c r="A11" s="43">
        <v>1999</v>
      </c>
      <c r="B11" s="45">
        <v>64323.900342834604</v>
      </c>
      <c r="C11" s="45">
        <v>425066.29324998386</v>
      </c>
      <c r="D11" s="45">
        <v>489390.19359281845</v>
      </c>
      <c r="F11" s="43">
        <v>1999</v>
      </c>
      <c r="G11" s="45">
        <v>57787.486737262669</v>
      </c>
      <c r="H11" s="45">
        <v>485221.60515269911</v>
      </c>
      <c r="I11" s="45">
        <v>543009.09188996174</v>
      </c>
      <c r="K11" s="43">
        <v>1999</v>
      </c>
      <c r="L11" s="45">
        <f t="shared" si="2"/>
        <v>6536.4136055719355</v>
      </c>
      <c r="M11" s="45">
        <f t="shared" si="3"/>
        <v>-60155.311902715242</v>
      </c>
      <c r="N11" s="45">
        <f t="shared" si="4"/>
        <v>-53618.898297143285</v>
      </c>
      <c r="P11" s="43">
        <v>1999</v>
      </c>
      <c r="Q11" s="105">
        <f t="shared" si="5"/>
        <v>0.11311122830606006</v>
      </c>
      <c r="R11" s="105">
        <f t="shared" si="6"/>
        <v>-0.12397492457860441</v>
      </c>
      <c r="S11" s="105">
        <f t="shared" si="7"/>
        <v>-9.8744015704269106E-2</v>
      </c>
    </row>
    <row r="12" spans="1:19" x14ac:dyDescent="0.25">
      <c r="A12" s="43">
        <v>2000</v>
      </c>
      <c r="B12" s="45">
        <v>87012.406098028383</v>
      </c>
      <c r="C12" s="45">
        <v>221745.61348310654</v>
      </c>
      <c r="D12" s="45">
        <v>308758.0195811349</v>
      </c>
      <c r="F12" s="43">
        <v>2000</v>
      </c>
      <c r="G12" s="45">
        <v>85029.131600557666</v>
      </c>
      <c r="H12" s="45">
        <v>248897.00348028415</v>
      </c>
      <c r="I12" s="45">
        <v>333926.13508084184</v>
      </c>
      <c r="K12" s="43">
        <v>2000</v>
      </c>
      <c r="L12" s="45">
        <f t="shared" si="2"/>
        <v>1983.2744974707166</v>
      </c>
      <c r="M12" s="45">
        <f t="shared" si="3"/>
        <v>-27151.389997177612</v>
      </c>
      <c r="N12" s="45">
        <f t="shared" si="4"/>
        <v>-25168.115499706939</v>
      </c>
      <c r="P12" s="43">
        <v>2000</v>
      </c>
      <c r="Q12" s="105">
        <f t="shared" si="5"/>
        <v>2.3324647213705158E-2</v>
      </c>
      <c r="R12" s="105">
        <f t="shared" si="6"/>
        <v>-0.10908684965075664</v>
      </c>
      <c r="S12" s="105">
        <f t="shared" si="7"/>
        <v>-7.5370307549044835E-2</v>
      </c>
    </row>
    <row r="13" spans="1:19" x14ac:dyDescent="0.25">
      <c r="A13" s="43">
        <v>2001</v>
      </c>
      <c r="B13" s="45">
        <v>95416.056289814558</v>
      </c>
      <c r="C13" s="45">
        <v>196271.66476104915</v>
      </c>
      <c r="D13" s="45">
        <v>291687.72105086374</v>
      </c>
      <c r="F13" s="43">
        <v>2001</v>
      </c>
      <c r="G13" s="45">
        <v>95480.016278728421</v>
      </c>
      <c r="H13" s="45">
        <v>206916.69690595852</v>
      </c>
      <c r="I13" s="45">
        <v>302396.71318468696</v>
      </c>
      <c r="K13" s="43">
        <v>2001</v>
      </c>
      <c r="L13" s="45">
        <f t="shared" si="2"/>
        <v>-63.959988913862617</v>
      </c>
      <c r="M13" s="45">
        <f t="shared" si="3"/>
        <v>-10645.032144909375</v>
      </c>
      <c r="N13" s="45">
        <f t="shared" si="4"/>
        <v>-10708.992133823223</v>
      </c>
      <c r="P13" s="43">
        <v>2001</v>
      </c>
      <c r="Q13" s="105">
        <f t="shared" si="5"/>
        <v>-6.6987827826870598E-4</v>
      </c>
      <c r="R13" s="105">
        <f t="shared" si="6"/>
        <v>-5.1445979488776737E-2</v>
      </c>
      <c r="S13" s="105">
        <f t="shared" si="7"/>
        <v>-3.5413718691058561E-2</v>
      </c>
    </row>
    <row r="14" spans="1:19" x14ac:dyDescent="0.25">
      <c r="A14" s="43">
        <v>2002</v>
      </c>
      <c r="B14" s="45">
        <v>71986.864472098066</v>
      </c>
      <c r="C14" s="45">
        <v>214870.74773601693</v>
      </c>
      <c r="D14" s="45">
        <v>286857.612208115</v>
      </c>
      <c r="F14" s="43">
        <v>2002</v>
      </c>
      <c r="G14" s="45">
        <v>53780.467255437477</v>
      </c>
      <c r="H14" s="45">
        <v>206724.52202230575</v>
      </c>
      <c r="I14" s="45">
        <v>260504.98927774324</v>
      </c>
      <c r="K14" s="43">
        <v>2002</v>
      </c>
      <c r="L14" s="45">
        <f t="shared" si="2"/>
        <v>18206.397216660589</v>
      </c>
      <c r="M14" s="45">
        <f t="shared" si="3"/>
        <v>8146.2257137111737</v>
      </c>
      <c r="N14" s="45">
        <f t="shared" si="4"/>
        <v>26352.622930371756</v>
      </c>
      <c r="P14" s="43">
        <v>2002</v>
      </c>
      <c r="Q14" s="105">
        <f t="shared" si="5"/>
        <v>0.33853177827903363</v>
      </c>
      <c r="R14" s="105">
        <f t="shared" si="6"/>
        <v>3.9406189619014764E-2</v>
      </c>
      <c r="S14" s="105">
        <f t="shared" si="7"/>
        <v>0.10115976282617495</v>
      </c>
    </row>
    <row r="15" spans="1:19" x14ac:dyDescent="0.25">
      <c r="A15" s="43">
        <v>2003</v>
      </c>
      <c r="B15" s="45">
        <v>74138.463110551806</v>
      </c>
      <c r="C15" s="45">
        <v>182415.53650254157</v>
      </c>
      <c r="D15" s="45">
        <v>256553.99961309339</v>
      </c>
      <c r="F15" s="43">
        <v>2003</v>
      </c>
      <c r="G15" s="45">
        <v>83987.94877477955</v>
      </c>
      <c r="H15" s="45">
        <v>154372.89083279562</v>
      </c>
      <c r="I15" s="45">
        <v>238360.83960757515</v>
      </c>
      <c r="K15" s="43">
        <v>2003</v>
      </c>
      <c r="L15" s="45">
        <f t="shared" si="2"/>
        <v>-9849.4856642277446</v>
      </c>
      <c r="M15" s="45">
        <f t="shared" si="3"/>
        <v>28042.645669745951</v>
      </c>
      <c r="N15" s="45">
        <f t="shared" si="4"/>
        <v>18193.160005518235</v>
      </c>
      <c r="P15" s="43">
        <v>2003</v>
      </c>
      <c r="Q15" s="105">
        <f t="shared" si="5"/>
        <v>-0.11727260646214772</v>
      </c>
      <c r="R15" s="105">
        <f t="shared" si="6"/>
        <v>0.18165524735893884</v>
      </c>
      <c r="S15" s="105">
        <f t="shared" si="7"/>
        <v>7.6326128215819786E-2</v>
      </c>
    </row>
    <row r="16" spans="1:19" x14ac:dyDescent="0.25">
      <c r="A16" s="43">
        <v>2004</v>
      </c>
      <c r="B16" s="45">
        <v>61645.133415224533</v>
      </c>
      <c r="C16" s="45">
        <v>182584.89465439221</v>
      </c>
      <c r="D16" s="45">
        <v>244230.02806961673</v>
      </c>
      <c r="F16" s="43">
        <v>2004</v>
      </c>
      <c r="G16" s="45">
        <v>51517.953492281449</v>
      </c>
      <c r="H16" s="45">
        <v>179391.59463611364</v>
      </c>
      <c r="I16" s="45">
        <v>230909.54812839511</v>
      </c>
      <c r="K16" s="43">
        <v>2004</v>
      </c>
      <c r="L16" s="45">
        <f t="shared" si="2"/>
        <v>10127.179922943084</v>
      </c>
      <c r="M16" s="45">
        <f t="shared" si="3"/>
        <v>3193.3000182785618</v>
      </c>
      <c r="N16" s="45">
        <f t="shared" si="4"/>
        <v>13320.479941221623</v>
      </c>
      <c r="P16" s="43">
        <v>2004</v>
      </c>
      <c r="Q16" s="105">
        <f t="shared" si="5"/>
        <v>0.19657574178408238</v>
      </c>
      <c r="R16" s="105">
        <f t="shared" si="6"/>
        <v>1.780072263004296E-2</v>
      </c>
      <c r="S16" s="105">
        <f t="shared" si="7"/>
        <v>5.7687003630594327E-2</v>
      </c>
    </row>
    <row r="17" spans="1:19" x14ac:dyDescent="0.25">
      <c r="A17" s="43">
        <v>2005</v>
      </c>
      <c r="B17" s="45">
        <v>64803.334441636085</v>
      </c>
      <c r="C17" s="45">
        <v>197607.45911356917</v>
      </c>
      <c r="D17" s="45">
        <v>262410.79355520528</v>
      </c>
      <c r="F17" s="43">
        <v>2005</v>
      </c>
      <c r="G17" s="45">
        <v>92073.6408075707</v>
      </c>
      <c r="H17" s="45">
        <v>172068.7794608759</v>
      </c>
      <c r="I17" s="45">
        <v>264142.42026844661</v>
      </c>
      <c r="K17" s="43">
        <v>2005</v>
      </c>
      <c r="L17" s="45">
        <f t="shared" si="2"/>
        <v>-27270.306365934615</v>
      </c>
      <c r="M17" s="45">
        <f t="shared" si="3"/>
        <v>25538.679652693274</v>
      </c>
      <c r="N17" s="45">
        <f t="shared" si="4"/>
        <v>-1731.6267132413341</v>
      </c>
      <c r="P17" s="43">
        <v>2005</v>
      </c>
      <c r="Q17" s="105">
        <f t="shared" si="5"/>
        <v>-0.29617929873033033</v>
      </c>
      <c r="R17" s="105">
        <f t="shared" si="6"/>
        <v>0.14842134484077121</v>
      </c>
      <c r="S17" s="105">
        <f t="shared" si="7"/>
        <v>-6.5556555114528389E-3</v>
      </c>
    </row>
    <row r="18" spans="1:19" x14ac:dyDescent="0.25">
      <c r="A18" s="43">
        <v>2006</v>
      </c>
      <c r="B18" s="45">
        <v>67286.944231317844</v>
      </c>
      <c r="C18" s="45">
        <v>189102.84336478604</v>
      </c>
      <c r="D18" s="45">
        <v>256389.78759610388</v>
      </c>
      <c r="F18" s="43">
        <v>2006</v>
      </c>
      <c r="G18" s="45">
        <v>68042.052881224881</v>
      </c>
      <c r="H18" s="45">
        <v>212993.61166613223</v>
      </c>
      <c r="I18" s="45">
        <v>281035.66454735713</v>
      </c>
      <c r="K18" s="43">
        <v>2006</v>
      </c>
      <c r="L18" s="45">
        <f t="shared" si="2"/>
        <v>-755.10864990703703</v>
      </c>
      <c r="M18" s="45">
        <f t="shared" si="3"/>
        <v>-23890.768301346194</v>
      </c>
      <c r="N18" s="45">
        <f t="shared" si="4"/>
        <v>-24645.876951253245</v>
      </c>
      <c r="P18" s="43">
        <v>2006</v>
      </c>
      <c r="Q18" s="105">
        <f t="shared" si="5"/>
        <v>-1.1097675892071699E-2</v>
      </c>
      <c r="R18" s="105">
        <f t="shared" si="6"/>
        <v>-0.11216659558219523</v>
      </c>
      <c r="S18" s="105">
        <f t="shared" si="7"/>
        <v>-8.7696616694356189E-2</v>
      </c>
    </row>
    <row r="19" spans="1:19" x14ac:dyDescent="0.25">
      <c r="A19" s="43">
        <v>2007</v>
      </c>
      <c r="B19" s="45">
        <v>88662.019298702391</v>
      </c>
      <c r="C19" s="45">
        <v>200680.79699476907</v>
      </c>
      <c r="D19" s="45">
        <v>289342.81629347149</v>
      </c>
      <c r="F19" s="43">
        <v>2007</v>
      </c>
      <c r="G19" s="45">
        <v>100416.92173556065</v>
      </c>
      <c r="H19" s="45">
        <v>213908.19784228323</v>
      </c>
      <c r="I19" s="45">
        <v>314325.11957784387</v>
      </c>
      <c r="K19" s="43">
        <v>2007</v>
      </c>
      <c r="L19" s="45">
        <f t="shared" si="2"/>
        <v>-11754.902436858261</v>
      </c>
      <c r="M19" s="45">
        <f t="shared" si="3"/>
        <v>-13227.40084751416</v>
      </c>
      <c r="N19" s="45">
        <f t="shared" si="4"/>
        <v>-24982.303284372378</v>
      </c>
      <c r="P19" s="43">
        <v>2007</v>
      </c>
      <c r="Q19" s="105">
        <f t="shared" si="5"/>
        <v>-0.11706097173356686</v>
      </c>
      <c r="R19" s="105">
        <f t="shared" si="6"/>
        <v>-6.1836811215935081E-2</v>
      </c>
      <c r="S19" s="105">
        <f t="shared" si="7"/>
        <v>-7.947918167636428E-2</v>
      </c>
    </row>
    <row r="20" spans="1:19" x14ac:dyDescent="0.25">
      <c r="A20" s="43">
        <v>2008</v>
      </c>
      <c r="B20" s="45">
        <v>74093.680638304082</v>
      </c>
      <c r="C20" s="45">
        <v>259673.3576381233</v>
      </c>
      <c r="D20" s="45">
        <v>333767.03827642737</v>
      </c>
      <c r="F20" s="43">
        <v>2008</v>
      </c>
      <c r="G20" s="45">
        <v>97393.809857594068</v>
      </c>
      <c r="H20" s="45">
        <v>270268.06355874706</v>
      </c>
      <c r="I20" s="45">
        <v>367661.87341634114</v>
      </c>
      <c r="K20" s="43">
        <v>2008</v>
      </c>
      <c r="L20" s="45">
        <f t="shared" si="2"/>
        <v>-23300.129219289985</v>
      </c>
      <c r="M20" s="45">
        <f t="shared" si="3"/>
        <v>-10594.705920623761</v>
      </c>
      <c r="N20" s="45">
        <f t="shared" si="4"/>
        <v>-33894.835139913775</v>
      </c>
      <c r="P20" s="43">
        <v>2008</v>
      </c>
      <c r="Q20" s="105">
        <f t="shared" si="5"/>
        <v>-0.23923624359041551</v>
      </c>
      <c r="R20" s="105">
        <f t="shared" si="6"/>
        <v>-3.9200731973723688E-2</v>
      </c>
      <c r="S20" s="105">
        <f t="shared" si="7"/>
        <v>-9.2190236711140253E-2</v>
      </c>
    </row>
    <row r="21" spans="1:19" x14ac:dyDescent="0.25">
      <c r="A21" s="43">
        <v>2009</v>
      </c>
      <c r="B21" s="45">
        <v>64589.350267086942</v>
      </c>
      <c r="C21" s="45">
        <v>243572.70727365426</v>
      </c>
      <c r="D21" s="45">
        <v>308162.05754074123</v>
      </c>
      <c r="F21" s="43">
        <v>2009</v>
      </c>
      <c r="G21" s="45">
        <v>71023.834330667931</v>
      </c>
      <c r="H21" s="45">
        <v>303950.48949543334</v>
      </c>
      <c r="I21" s="45">
        <v>374974.32382610126</v>
      </c>
      <c r="K21" s="43">
        <v>2009</v>
      </c>
      <c r="L21" s="45">
        <f t="shared" si="2"/>
        <v>-6434.4840635809887</v>
      </c>
      <c r="M21" s="45">
        <f t="shared" si="3"/>
        <v>-60377.782221779082</v>
      </c>
      <c r="N21" s="45">
        <f t="shared" si="4"/>
        <v>-66812.266285360034</v>
      </c>
      <c r="P21" s="43">
        <v>2009</v>
      </c>
      <c r="Q21" s="105">
        <f t="shared" si="5"/>
        <v>-9.0596123459397535E-2</v>
      </c>
      <c r="R21" s="105">
        <f t="shared" si="6"/>
        <v>-0.19864347750190486</v>
      </c>
      <c r="S21" s="105">
        <f t="shared" si="7"/>
        <v>-0.17817824325578357</v>
      </c>
    </row>
    <row r="22" spans="1:19" x14ac:dyDescent="0.25">
      <c r="A22" s="43">
        <v>2010</v>
      </c>
      <c r="B22" s="45">
        <v>81339.887115458376</v>
      </c>
      <c r="C22" s="45">
        <v>204887.25805754284</v>
      </c>
      <c r="D22" s="45">
        <v>286227.14517300122</v>
      </c>
      <c r="F22" s="43">
        <v>2010</v>
      </c>
      <c r="G22" s="45">
        <v>80804.27560946584</v>
      </c>
      <c r="H22" s="45">
        <v>272347.13002403791</v>
      </c>
      <c r="I22" s="45">
        <v>353151.40563350375</v>
      </c>
      <c r="K22" s="43">
        <v>2010</v>
      </c>
      <c r="L22" s="45">
        <f t="shared" si="2"/>
        <v>535.61150599253597</v>
      </c>
      <c r="M22" s="45">
        <f t="shared" si="3"/>
        <v>-67459.871966495062</v>
      </c>
      <c r="N22" s="45">
        <f t="shared" si="4"/>
        <v>-66924.260460502526</v>
      </c>
      <c r="P22" s="43">
        <v>2010</v>
      </c>
      <c r="Q22" s="105">
        <f t="shared" si="5"/>
        <v>6.6285045185132709E-3</v>
      </c>
      <c r="R22" s="105">
        <f t="shared" si="6"/>
        <v>-0.24769811953054516</v>
      </c>
      <c r="S22" s="105">
        <f t="shared" si="7"/>
        <v>-0.18950585894016153</v>
      </c>
    </row>
    <row r="23" spans="1:19" x14ac:dyDescent="0.25">
      <c r="A23" s="43">
        <v>2011</v>
      </c>
      <c r="B23" s="45">
        <v>83325.311015132524</v>
      </c>
      <c r="C23" s="45">
        <v>221357.04139788379</v>
      </c>
      <c r="D23" s="45">
        <v>304682.35241301631</v>
      </c>
      <c r="F23" s="43">
        <v>2011</v>
      </c>
      <c r="G23" s="45">
        <v>93996.150105954526</v>
      </c>
      <c r="H23" s="45">
        <v>270825.78439038433</v>
      </c>
      <c r="I23" s="45">
        <v>364821.93449633883</v>
      </c>
      <c r="K23" s="43">
        <v>2011</v>
      </c>
      <c r="L23" s="45">
        <f t="shared" si="2"/>
        <v>-10670.839090822003</v>
      </c>
      <c r="M23" s="45">
        <f t="shared" si="3"/>
        <v>-49468.742992500542</v>
      </c>
      <c r="N23" s="45">
        <f t="shared" si="4"/>
        <v>-60139.582083322515</v>
      </c>
      <c r="P23" s="43">
        <v>2011</v>
      </c>
      <c r="Q23" s="105">
        <f t="shared" si="5"/>
        <v>-0.1135242143299869</v>
      </c>
      <c r="R23" s="105">
        <f t="shared" si="6"/>
        <v>-0.18265891153551822</v>
      </c>
      <c r="S23" s="105">
        <f t="shared" si="7"/>
        <v>-0.16484639874066029</v>
      </c>
    </row>
    <row r="24" spans="1:19" x14ac:dyDescent="0.25">
      <c r="A24" s="43">
        <v>2012</v>
      </c>
      <c r="B24" s="39">
        <v>108876.4875052369</v>
      </c>
      <c r="C24" s="49">
        <v>242442.30292399129</v>
      </c>
      <c r="D24" s="49">
        <v>351318.79042922822</v>
      </c>
      <c r="F24" s="43">
        <v>2012</v>
      </c>
      <c r="G24" s="39">
        <v>115296.39718033085</v>
      </c>
      <c r="H24" s="49">
        <v>309075.5962594481</v>
      </c>
      <c r="I24" s="49">
        <v>424371.99343977892</v>
      </c>
      <c r="K24" s="43">
        <v>2012</v>
      </c>
      <c r="L24" s="45">
        <f t="shared" si="2"/>
        <v>-6419.9096750939498</v>
      </c>
      <c r="M24" s="45">
        <f t="shared" si="3"/>
        <v>-66633.293335456809</v>
      </c>
      <c r="N24" s="45">
        <f t="shared" si="4"/>
        <v>-73053.2030105507</v>
      </c>
      <c r="P24" s="43">
        <v>2012</v>
      </c>
      <c r="Q24" s="105">
        <f t="shared" si="5"/>
        <v>-5.5681789128699359E-2</v>
      </c>
      <c r="R24" s="105">
        <f t="shared" si="6"/>
        <v>-0.21558898257215578</v>
      </c>
      <c r="S24" s="105">
        <f t="shared" si="7"/>
        <v>-0.1721442605540778</v>
      </c>
    </row>
    <row r="25" spans="1:19" x14ac:dyDescent="0.25">
      <c r="A25" s="43">
        <v>2013</v>
      </c>
      <c r="B25" s="39">
        <v>139372.54844037938</v>
      </c>
      <c r="C25" s="49">
        <v>285651.84513573861</v>
      </c>
      <c r="D25" s="49">
        <v>425024.39357611799</v>
      </c>
      <c r="F25" s="43">
        <v>2013</v>
      </c>
      <c r="G25" s="39">
        <v>171876.70495343162</v>
      </c>
      <c r="H25" s="49">
        <v>340044.97537043749</v>
      </c>
      <c r="I25" s="49">
        <v>511921.68032386911</v>
      </c>
      <c r="K25" s="43">
        <v>2013</v>
      </c>
      <c r="L25" s="45">
        <f t="shared" si="2"/>
        <v>-32504.156513052236</v>
      </c>
      <c r="M25" s="45">
        <f t="shared" si="3"/>
        <v>-54393.130234698881</v>
      </c>
      <c r="N25" s="45">
        <f t="shared" si="4"/>
        <v>-86897.286747751117</v>
      </c>
      <c r="P25" s="43">
        <v>2013</v>
      </c>
      <c r="Q25" s="105">
        <f t="shared" si="5"/>
        <v>-0.18911321648770804</v>
      </c>
      <c r="R25" s="105">
        <f t="shared" si="6"/>
        <v>-0.15995863539946209</v>
      </c>
      <c r="S25" s="105">
        <f t="shared" si="7"/>
        <v>-0.169747229093277</v>
      </c>
    </row>
    <row r="26" spans="1:19" x14ac:dyDescent="0.25">
      <c r="A26" s="43">
        <v>2014</v>
      </c>
      <c r="B26" s="39">
        <v>110817.81810431581</v>
      </c>
      <c r="C26" s="49">
        <v>366579.31523303239</v>
      </c>
      <c r="D26" s="49">
        <v>477397.13333734823</v>
      </c>
      <c r="F26" s="43">
        <v>2014</v>
      </c>
      <c r="G26" s="39">
        <v>137903.71655721025</v>
      </c>
      <c r="H26" s="49">
        <v>455456.54142863938</v>
      </c>
      <c r="I26" s="49">
        <v>593360.25798584963</v>
      </c>
      <c r="K26" s="43">
        <v>2014</v>
      </c>
      <c r="L26" s="45">
        <f t="shared" si="2"/>
        <v>-27085.898452894442</v>
      </c>
      <c r="M26" s="45">
        <f t="shared" si="3"/>
        <v>-88877.226195606985</v>
      </c>
      <c r="N26" s="45">
        <f t="shared" si="4"/>
        <v>-115963.1246485014</v>
      </c>
      <c r="P26" s="43">
        <v>2014</v>
      </c>
      <c r="Q26" s="105">
        <f t="shared" si="5"/>
        <v>-0.19641166408780347</v>
      </c>
      <c r="R26" s="105">
        <f t="shared" si="6"/>
        <v>-0.19513876322167656</v>
      </c>
      <c r="S26" s="105">
        <f t="shared" si="7"/>
        <v>-0.1954345999547325</v>
      </c>
    </row>
    <row r="28" spans="1:19" x14ac:dyDescent="0.25">
      <c r="Q28" s="9">
        <f>AVERAGE(Q9:Q26)</f>
        <v>-5.7434242895603553E-2</v>
      </c>
      <c r="R28" s="9">
        <f t="shared" ref="R28:S28" si="8">AVERAGE(R9:R26)</f>
        <v>-7.0576985767301953E-2</v>
      </c>
      <c r="S28" s="9">
        <f t="shared" si="8"/>
        <v>-7.5297310987923194E-2</v>
      </c>
    </row>
    <row r="29" spans="1:19" x14ac:dyDescent="0.25">
      <c r="Q29" s="109"/>
      <c r="R29" s="109"/>
      <c r="S29" s="109"/>
    </row>
  </sheetData>
  <mergeCells count="12">
    <mergeCell ref="S6:S7"/>
    <mergeCell ref="B6:B7"/>
    <mergeCell ref="C6:C7"/>
    <mergeCell ref="D6:D7"/>
    <mergeCell ref="G6:G7"/>
    <mergeCell ref="H6:H7"/>
    <mergeCell ref="I6:I7"/>
    <mergeCell ref="L6:L7"/>
    <mergeCell ref="M6:M7"/>
    <mergeCell ref="N6:N7"/>
    <mergeCell ref="Q6:Q7"/>
    <mergeCell ref="R6:R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/>
  <dimension ref="A2:P21"/>
  <sheetViews>
    <sheetView workbookViewId="0">
      <selection activeCell="B13" sqref="B13"/>
    </sheetView>
  </sheetViews>
  <sheetFormatPr defaultRowHeight="13.2" x14ac:dyDescent="0.25"/>
  <cols>
    <col min="3" max="3" width="12.44140625" bestFit="1" customWidth="1"/>
    <col min="9" max="10" width="9.109375" style="43"/>
  </cols>
  <sheetData>
    <row r="2" spans="1:16" x14ac:dyDescent="0.25">
      <c r="C2" s="18" t="s">
        <v>69</v>
      </c>
      <c r="I2" s="46" t="s">
        <v>87</v>
      </c>
      <c r="K2" s="46" t="s">
        <v>88</v>
      </c>
      <c r="L2" s="43"/>
      <c r="N2" s="56" t="s">
        <v>74</v>
      </c>
      <c r="O2" s="56"/>
      <c r="P2" s="56"/>
    </row>
    <row r="3" spans="1:16" x14ac:dyDescent="0.25">
      <c r="A3" s="18" t="s">
        <v>67</v>
      </c>
      <c r="B3" s="18" t="s">
        <v>1</v>
      </c>
      <c r="C3" s="18" t="s">
        <v>49</v>
      </c>
      <c r="D3" s="18" t="s">
        <v>70</v>
      </c>
      <c r="F3" s="18" t="s">
        <v>71</v>
      </c>
      <c r="I3" s="46" t="s">
        <v>89</v>
      </c>
      <c r="J3" s="46" t="s">
        <v>90</v>
      </c>
      <c r="K3" s="46" t="s">
        <v>89</v>
      </c>
      <c r="L3" s="46" t="s">
        <v>90</v>
      </c>
      <c r="M3">
        <v>1997</v>
      </c>
      <c r="N3">
        <v>420246</v>
      </c>
      <c r="O3">
        <v>210005</v>
      </c>
      <c r="P3">
        <v>1997</v>
      </c>
    </row>
    <row r="4" spans="1:16" ht="14.4" x14ac:dyDescent="0.3">
      <c r="A4" s="18" t="s">
        <v>68</v>
      </c>
      <c r="B4">
        <v>2011</v>
      </c>
      <c r="I4" s="122"/>
      <c r="J4" s="123"/>
      <c r="K4" s="124"/>
      <c r="L4" s="43"/>
      <c r="M4">
        <v>1998</v>
      </c>
      <c r="N4">
        <v>453738</v>
      </c>
      <c r="O4">
        <v>165896</v>
      </c>
      <c r="P4">
        <v>1998</v>
      </c>
    </row>
    <row r="5" spans="1:16" x14ac:dyDescent="0.25">
      <c r="A5" s="18" t="s">
        <v>68</v>
      </c>
      <c r="B5">
        <v>2012</v>
      </c>
      <c r="C5">
        <f>89.883274/1000000</f>
        <v>8.9883273999999996E-5</v>
      </c>
      <c r="D5">
        <f>80.115366/100</f>
        <v>0.80115365999999999</v>
      </c>
      <c r="F5" s="100"/>
      <c r="G5" s="100"/>
      <c r="I5" s="125"/>
      <c r="J5" s="123"/>
      <c r="K5" s="126" t="e">
        <f t="shared" ref="K5:K10" si="0">(I5-I4)/I4</f>
        <v>#DIV/0!</v>
      </c>
      <c r="L5" s="43"/>
      <c r="M5" s="30">
        <v>1999</v>
      </c>
      <c r="N5">
        <v>339360</v>
      </c>
      <c r="O5">
        <v>165691</v>
      </c>
      <c r="P5">
        <v>1999</v>
      </c>
    </row>
    <row r="6" spans="1:16" x14ac:dyDescent="0.25">
      <c r="A6" s="18" t="s">
        <v>68</v>
      </c>
      <c r="B6">
        <v>2013</v>
      </c>
      <c r="C6" s="101">
        <v>9.1523957594612639E-5</v>
      </c>
      <c r="D6" s="101">
        <v>0.83160606261434478</v>
      </c>
      <c r="F6" s="100">
        <f>(C5-C6)/C5</f>
        <v>-1.8253491685367877E-2</v>
      </c>
      <c r="G6" s="100">
        <f t="shared" ref="G6:G8" si="1">(D5-D6)/D5</f>
        <v>-3.8010689003586139E-2</v>
      </c>
      <c r="I6" s="125"/>
      <c r="J6" s="123"/>
      <c r="K6" s="126" t="e">
        <f t="shared" si="0"/>
        <v>#DIV/0!</v>
      </c>
      <c r="L6" s="43"/>
      <c r="M6" s="24">
        <v>2000</v>
      </c>
      <c r="N6">
        <v>196353</v>
      </c>
      <c r="O6">
        <v>147627</v>
      </c>
      <c r="P6">
        <v>2000</v>
      </c>
    </row>
    <row r="7" spans="1:16" x14ac:dyDescent="0.25">
      <c r="A7" s="46" t="s">
        <v>68</v>
      </c>
      <c r="B7">
        <v>2014</v>
      </c>
      <c r="C7" s="99">
        <v>6.3608600850949634E-5</v>
      </c>
      <c r="D7" s="99">
        <v>0.84987569458131218</v>
      </c>
      <c r="F7" s="100">
        <f t="shared" ref="F7:F8" si="2">(C6-C7)/C6</f>
        <v>0.3050060058297368</v>
      </c>
      <c r="G7" s="100">
        <f t="shared" si="1"/>
        <v>-2.1969094248222069E-2</v>
      </c>
      <c r="I7" s="127"/>
      <c r="J7" s="128"/>
      <c r="K7" s="126" t="e">
        <f t="shared" si="0"/>
        <v>#DIV/0!</v>
      </c>
      <c r="L7" s="126" t="e">
        <f>(J7-J6)/J6</f>
        <v>#DIV/0!</v>
      </c>
      <c r="M7">
        <v>2001</v>
      </c>
      <c r="N7">
        <v>187197</v>
      </c>
      <c r="O7">
        <v>121087</v>
      </c>
      <c r="P7">
        <v>2001</v>
      </c>
    </row>
    <row r="8" spans="1:16" ht="13.8" thickBot="1" x14ac:dyDescent="0.3">
      <c r="B8">
        <v>2015</v>
      </c>
      <c r="C8">
        <v>6.2988351882650487E-5</v>
      </c>
      <c r="D8">
        <v>0.85333299146307784</v>
      </c>
      <c r="F8" s="100">
        <f t="shared" si="2"/>
        <v>9.7510236037503875E-3</v>
      </c>
      <c r="G8" s="100">
        <f t="shared" si="1"/>
        <v>-4.0680030077444237E-3</v>
      </c>
      <c r="I8" s="120">
        <v>317943.26871226286</v>
      </c>
      <c r="J8" s="120">
        <v>446241.57569349103</v>
      </c>
      <c r="K8" s="126" t="e">
        <f t="shared" si="0"/>
        <v>#DIV/0!</v>
      </c>
      <c r="L8" s="126" t="e">
        <f>(J8-J7)/J7</f>
        <v>#DIV/0!</v>
      </c>
      <c r="M8">
        <v>2002</v>
      </c>
      <c r="N8">
        <v>186543</v>
      </c>
      <c r="O8">
        <v>119092</v>
      </c>
      <c r="P8">
        <v>2002</v>
      </c>
    </row>
    <row r="9" spans="1:16" ht="13.8" thickBot="1" x14ac:dyDescent="0.3">
      <c r="B9">
        <v>2016</v>
      </c>
      <c r="C9">
        <v>6.4343370031801902E-5</v>
      </c>
      <c r="D9">
        <v>0.78558702538357539</v>
      </c>
      <c r="F9" s="100">
        <f t="shared" ref="F9:F10" si="3">(C8-C9)/C8</f>
        <v>-2.1512201996900338E-2</v>
      </c>
      <c r="G9" s="100">
        <f t="shared" ref="G9:G10" si="4">(D8-D9)/D8</f>
        <v>7.9389835805303788E-2</v>
      </c>
      <c r="I9" s="120">
        <v>120316.85543259307</v>
      </c>
      <c r="J9" s="120">
        <v>170831.24493639407</v>
      </c>
      <c r="K9" s="126">
        <f t="shared" si="0"/>
        <v>-0.62157759804162027</v>
      </c>
      <c r="L9" s="126">
        <f>(J9-J8)/J8</f>
        <v>-0.617177658377281</v>
      </c>
      <c r="M9">
        <v>2003</v>
      </c>
      <c r="N9">
        <v>156862</v>
      </c>
      <c r="O9">
        <v>87178</v>
      </c>
      <c r="P9">
        <v>2003</v>
      </c>
    </row>
    <row r="10" spans="1:16" x14ac:dyDescent="0.25">
      <c r="B10">
        <v>2017</v>
      </c>
      <c r="C10">
        <v>6.2507216742051989E-5</v>
      </c>
      <c r="D10">
        <v>0.8063203627612322</v>
      </c>
      <c r="F10" s="100">
        <f t="shared" si="3"/>
        <v>2.8536790796664654E-2</v>
      </c>
      <c r="G10" s="100">
        <f t="shared" si="4"/>
        <v>-2.639215861225996E-2</v>
      </c>
      <c r="I10" s="43">
        <v>163404.96603909985</v>
      </c>
      <c r="J10" s="43">
        <v>378649.32824599912</v>
      </c>
      <c r="K10" s="126">
        <f t="shared" si="0"/>
        <v>0.35812198092765707</v>
      </c>
      <c r="L10" s="126">
        <f>(J10-J9)/J9</f>
        <v>1.2165109689798395</v>
      </c>
      <c r="M10">
        <v>2004</v>
      </c>
      <c r="N10">
        <v>152822</v>
      </c>
      <c r="O10">
        <v>58030</v>
      </c>
      <c r="P10">
        <v>2004</v>
      </c>
    </row>
    <row r="11" spans="1:16" x14ac:dyDescent="0.25">
      <c r="B11">
        <v>2018</v>
      </c>
      <c r="M11">
        <v>2005</v>
      </c>
      <c r="N11">
        <v>158616</v>
      </c>
      <c r="O11">
        <v>70677</v>
      </c>
      <c r="P11">
        <v>2005</v>
      </c>
    </row>
    <row r="12" spans="1:16" x14ac:dyDescent="0.25">
      <c r="B12">
        <v>2019</v>
      </c>
      <c r="M12">
        <v>2006</v>
      </c>
      <c r="N12">
        <v>161472</v>
      </c>
      <c r="O12">
        <v>71734</v>
      </c>
      <c r="P12">
        <v>2006</v>
      </c>
    </row>
    <row r="13" spans="1:16" x14ac:dyDescent="0.25">
      <c r="M13">
        <v>2007</v>
      </c>
      <c r="N13">
        <v>174552</v>
      </c>
      <c r="O13">
        <v>63711</v>
      </c>
      <c r="P13">
        <v>2007</v>
      </c>
    </row>
    <row r="14" spans="1:16" x14ac:dyDescent="0.25">
      <c r="M14">
        <v>2008</v>
      </c>
      <c r="N14">
        <v>219037</v>
      </c>
      <c r="O14">
        <v>83990</v>
      </c>
      <c r="P14">
        <v>2008</v>
      </c>
    </row>
    <row r="15" spans="1:16" x14ac:dyDescent="0.25">
      <c r="M15">
        <v>2009</v>
      </c>
      <c r="N15">
        <v>214613</v>
      </c>
      <c r="O15">
        <v>101052</v>
      </c>
      <c r="P15">
        <v>2009</v>
      </c>
    </row>
    <row r="16" spans="1:16" x14ac:dyDescent="0.25">
      <c r="M16">
        <v>2010</v>
      </c>
      <c r="N16">
        <v>183957</v>
      </c>
      <c r="O16">
        <v>81730</v>
      </c>
      <c r="P16">
        <v>2010</v>
      </c>
    </row>
    <row r="17" spans="13:16" x14ac:dyDescent="0.25">
      <c r="M17">
        <v>2011</v>
      </c>
      <c r="N17">
        <v>173108</v>
      </c>
      <c r="O17">
        <v>79954</v>
      </c>
      <c r="P17">
        <v>2011</v>
      </c>
    </row>
    <row r="18" spans="13:16" x14ac:dyDescent="0.25">
      <c r="M18">
        <v>2012</v>
      </c>
      <c r="N18">
        <v>200402</v>
      </c>
      <c r="O18">
        <v>93938</v>
      </c>
      <c r="P18">
        <v>2012</v>
      </c>
    </row>
    <row r="19" spans="13:16" x14ac:dyDescent="0.25">
      <c r="M19">
        <v>2013</v>
      </c>
      <c r="N19">
        <v>258083.5172</v>
      </c>
      <c r="P19">
        <v>2013</v>
      </c>
    </row>
    <row r="20" spans="13:16" x14ac:dyDescent="0.25">
      <c r="N20" s="56"/>
      <c r="O20" s="56"/>
      <c r="P20" s="56"/>
    </row>
    <row r="21" spans="13:16" x14ac:dyDescent="0.25">
      <c r="N21" s="56"/>
      <c r="O21" s="56"/>
      <c r="P21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AL94"/>
  <sheetViews>
    <sheetView topLeftCell="P1" workbookViewId="0">
      <selection activeCell="AA9" sqref="AA9:AD27"/>
    </sheetView>
  </sheetViews>
  <sheetFormatPr defaultRowHeight="13.2" x14ac:dyDescent="0.25"/>
  <cols>
    <col min="1" max="1" width="7.109375" customWidth="1"/>
    <col min="2" max="2" width="7.5546875" customWidth="1"/>
    <col min="3" max="3" width="6" customWidth="1"/>
    <col min="4" max="4" width="6.6640625" customWidth="1"/>
    <col min="5" max="5" width="6.33203125" customWidth="1"/>
    <col min="6" max="6" width="2" customWidth="1"/>
    <col min="7" max="7" width="10.5546875" bestFit="1" customWidth="1"/>
    <col min="8" max="9" width="9.6640625" customWidth="1"/>
    <col min="10" max="11" width="7.33203125" customWidth="1"/>
    <col min="12" max="12" width="9.109375" customWidth="1"/>
    <col min="13" max="13" width="13.44140625" customWidth="1"/>
    <col min="14" max="14" width="10.88671875" customWidth="1"/>
    <col min="15" max="15" width="10.33203125" customWidth="1"/>
    <col min="16" max="16" width="10.5546875" customWidth="1"/>
    <col min="20" max="20" width="14" customWidth="1"/>
    <col min="24" max="24" width="7.33203125" customWidth="1"/>
    <col min="27" max="27" width="7.6640625" customWidth="1"/>
    <col min="28" max="29" width="11.5546875" customWidth="1"/>
    <col min="30" max="30" width="10.5546875" bestFit="1" customWidth="1"/>
    <col min="34" max="34" width="19.5546875" customWidth="1"/>
  </cols>
  <sheetData>
    <row r="1" spans="1:38" ht="15" thickBot="1" x14ac:dyDescent="0.35">
      <c r="A1" s="20" t="s">
        <v>46</v>
      </c>
      <c r="B1" s="20"/>
      <c r="C1" s="144" t="s">
        <v>76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25" t="s">
        <v>19</v>
      </c>
      <c r="O1" s="20"/>
      <c r="P1" s="20"/>
      <c r="Q1" s="20"/>
      <c r="R1" s="20"/>
      <c r="S1" s="26" t="s">
        <v>47</v>
      </c>
    </row>
    <row r="2" spans="1:38" ht="14.4" x14ac:dyDescent="0.3">
      <c r="A2" s="20" t="s">
        <v>48</v>
      </c>
      <c r="B2" s="20" t="s">
        <v>53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3" t="s">
        <v>49</v>
      </c>
      <c r="O2" s="21">
        <f>P2/1000000</f>
        <v>6.2988351882650487E-5</v>
      </c>
      <c r="P2" s="30">
        <v>62.988351882650491</v>
      </c>
      <c r="Q2" s="20"/>
      <c r="R2" s="20"/>
      <c r="S2" s="22">
        <f>SUM(Y10:Y27)</f>
        <v>31.23474934441273</v>
      </c>
    </row>
    <row r="3" spans="1:38" ht="14.4" x14ac:dyDescent="0.3">
      <c r="A3" s="20" t="s">
        <v>1</v>
      </c>
      <c r="B3" s="20">
        <v>2015</v>
      </c>
      <c r="C3" s="50" t="s">
        <v>72</v>
      </c>
      <c r="D3" s="20"/>
      <c r="E3" s="102" t="s">
        <v>75</v>
      </c>
      <c r="F3" s="20"/>
      <c r="G3" s="20"/>
      <c r="H3" s="20"/>
      <c r="I3" s="20"/>
      <c r="J3" s="20"/>
      <c r="K3" s="20"/>
      <c r="L3" s="20"/>
      <c r="M3" s="20"/>
      <c r="N3" s="23" t="s">
        <v>50</v>
      </c>
      <c r="O3" s="21">
        <f>P3/100</f>
        <v>0.85333299146307784</v>
      </c>
      <c r="P3" s="24">
        <v>85.33329914630778</v>
      </c>
      <c r="Q3" s="20"/>
      <c r="R3" s="20"/>
      <c r="S3" s="20"/>
    </row>
    <row r="4" spans="1:38" ht="14.4" x14ac:dyDescent="0.3">
      <c r="A4" s="27" t="s">
        <v>51</v>
      </c>
      <c r="B4" s="20">
        <v>1</v>
      </c>
      <c r="C4" s="20" t="s">
        <v>54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3" t="s">
        <v>52</v>
      </c>
      <c r="O4" s="20">
        <v>-0.3</v>
      </c>
      <c r="P4" s="20">
        <v>0.74081822068171788</v>
      </c>
      <c r="Q4" s="20"/>
      <c r="R4" s="20"/>
      <c r="S4" s="20"/>
    </row>
    <row r="5" spans="1:38" x14ac:dyDescent="0.25">
      <c r="C5" s="18" t="s">
        <v>55</v>
      </c>
      <c r="O5" t="s">
        <v>14</v>
      </c>
      <c r="P5">
        <v>-0.3</v>
      </c>
      <c r="Q5">
        <f>+EXP(P5)</f>
        <v>0.74081822068171788</v>
      </c>
    </row>
    <row r="7" spans="1:38" ht="12.75" customHeight="1" x14ac:dyDescent="0.25">
      <c r="A7" s="140" t="s">
        <v>2</v>
      </c>
      <c r="B7" s="140" t="s">
        <v>3</v>
      </c>
      <c r="C7" s="140" t="s">
        <v>4</v>
      </c>
      <c r="D7" s="140" t="s">
        <v>0</v>
      </c>
      <c r="E7" s="140" t="s">
        <v>5</v>
      </c>
      <c r="G7" s="140" t="s">
        <v>6</v>
      </c>
      <c r="H7" s="142" t="s">
        <v>7</v>
      </c>
      <c r="I7" s="142" t="s">
        <v>8</v>
      </c>
      <c r="J7" s="140" t="s">
        <v>9</v>
      </c>
      <c r="K7" s="140" t="s">
        <v>10</v>
      </c>
      <c r="L7" s="140" t="s">
        <v>11</v>
      </c>
      <c r="M7" s="140" t="s">
        <v>12</v>
      </c>
      <c r="N7" s="140" t="s">
        <v>13</v>
      </c>
      <c r="O7" t="s">
        <v>19</v>
      </c>
      <c r="Q7" s="34" t="s">
        <v>20</v>
      </c>
      <c r="AB7" s="140" t="s">
        <v>15</v>
      </c>
      <c r="AC7" s="140" t="s">
        <v>16</v>
      </c>
      <c r="AD7" s="140" t="s">
        <v>17</v>
      </c>
      <c r="AE7" s="140" t="s">
        <v>18</v>
      </c>
      <c r="AF7" s="3"/>
      <c r="AI7" s="141" t="s">
        <v>62</v>
      </c>
    </row>
    <row r="8" spans="1:38" ht="12.75" customHeight="1" x14ac:dyDescent="0.25">
      <c r="A8" s="140"/>
      <c r="B8" s="140"/>
      <c r="C8" s="140"/>
      <c r="D8" s="140"/>
      <c r="E8" s="140"/>
      <c r="G8" s="140"/>
      <c r="H8" s="142"/>
      <c r="I8" s="142"/>
      <c r="J8" s="140"/>
      <c r="K8" s="140"/>
      <c r="L8" s="140"/>
      <c r="M8" s="140"/>
      <c r="N8" s="140"/>
      <c r="O8" s="38">
        <f t="shared" ref="O8:O19" si="0">+P8</f>
        <v>3.5621819619259458</v>
      </c>
      <c r="P8" s="30">
        <v>3.5621819619259458</v>
      </c>
      <c r="Q8" s="33" t="s">
        <v>57</v>
      </c>
      <c r="R8" s="33" t="s">
        <v>58</v>
      </c>
      <c r="S8" s="33" t="s">
        <v>59</v>
      </c>
      <c r="T8" s="36" t="s">
        <v>60</v>
      </c>
      <c r="U8" s="36" t="s">
        <v>61</v>
      </c>
      <c r="V8" s="35"/>
      <c r="W8" s="35"/>
      <c r="AB8" s="140"/>
      <c r="AC8" s="140"/>
      <c r="AD8" s="140"/>
      <c r="AE8" s="140"/>
      <c r="AF8" s="3"/>
      <c r="AI8" s="141"/>
    </row>
    <row r="9" spans="1:38" x14ac:dyDescent="0.25">
      <c r="A9">
        <v>1996</v>
      </c>
      <c r="B9" t="s">
        <v>23</v>
      </c>
      <c r="G9" s="93">
        <v>49692</v>
      </c>
      <c r="H9" s="17">
        <v>35479</v>
      </c>
      <c r="I9" s="4"/>
      <c r="J9" s="6"/>
      <c r="K9" s="6"/>
      <c r="L9" s="6"/>
      <c r="M9" s="1"/>
      <c r="N9" s="1"/>
      <c r="O9" s="38">
        <f t="shared" si="0"/>
        <v>7.8048968970658015</v>
      </c>
      <c r="P9" s="30">
        <v>7.8048968970658015</v>
      </c>
      <c r="AA9">
        <f t="shared" ref="AA9:AA27" si="1">+A9</f>
        <v>1996</v>
      </c>
      <c r="AB9" s="5">
        <f>+(Q9/O$2)*L9</f>
        <v>0</v>
      </c>
      <c r="AC9" s="5">
        <f>+((R9+S9)/O$2)*K9</f>
        <v>0</v>
      </c>
      <c r="AD9" s="5">
        <f t="shared" ref="AD9:AD17" si="2">+AC9+AB9</f>
        <v>0</v>
      </c>
      <c r="AE9" s="5">
        <f t="shared" ref="AE9:AE21" si="3">+AD9*0.2</f>
        <v>0</v>
      </c>
      <c r="AK9">
        <f t="shared" ref="AK9:AK18" si="4">+S9</f>
        <v>0</v>
      </c>
      <c r="AL9">
        <f t="shared" ref="AL9:AL18" si="5">+E9</f>
        <v>0</v>
      </c>
    </row>
    <row r="10" spans="1:38" x14ac:dyDescent="0.25">
      <c r="A10">
        <v>1997</v>
      </c>
      <c r="B10" t="s">
        <v>24</v>
      </c>
      <c r="C10" s="42">
        <v>6.0979815549999996</v>
      </c>
      <c r="D10" s="42">
        <v>6.9634133666000002</v>
      </c>
      <c r="E10" s="42">
        <v>3.3816481008000001</v>
      </c>
      <c r="G10" s="93">
        <v>75649</v>
      </c>
      <c r="H10" s="17">
        <v>35844</v>
      </c>
      <c r="I10" s="10">
        <v>35709</v>
      </c>
      <c r="J10" s="14">
        <v>2.26756117</v>
      </c>
      <c r="K10" s="14">
        <v>2.7383306200000002</v>
      </c>
      <c r="L10" s="14">
        <v>1.3311393300000001</v>
      </c>
      <c r="M10" s="1">
        <f t="shared" ref="M10:M16" si="6">+(I10-H9)/365</f>
        <v>0.63013698630136983</v>
      </c>
      <c r="N10" s="1">
        <f t="shared" ref="N10:N16" si="7">+(I10-I9)/365</f>
        <v>97.832876712328769</v>
      </c>
      <c r="O10" s="38">
        <f t="shared" si="0"/>
        <v>8.1026464301321059</v>
      </c>
      <c r="P10" s="30">
        <v>8.1026464301321059</v>
      </c>
      <c r="Q10">
        <f t="shared" ref="Q10:Q26" si="8">+O10</f>
        <v>8.1026464301321059</v>
      </c>
      <c r="R10">
        <f>+O9</f>
        <v>7.8048968970658015</v>
      </c>
      <c r="S10">
        <f>+O8</f>
        <v>3.5621819619259458</v>
      </c>
      <c r="T10">
        <f>SUM(Q10:S10)</f>
        <v>19.469725289123851</v>
      </c>
      <c r="U10">
        <f t="shared" ref="U10:U19" si="9">+(LN(Q10)-LN(C10))^2</f>
        <v>8.0788343879557203E-2</v>
      </c>
      <c r="V10">
        <f t="shared" ref="V10:V19" si="10">+(LN(R10)-LN(D10))^2</f>
        <v>1.30146031672899E-2</v>
      </c>
      <c r="W10">
        <f t="shared" ref="W10:W19" si="11">+(LN(S10)-LN(E10))^2</f>
        <v>2.7050477270077339E-3</v>
      </c>
      <c r="X10">
        <v>10</v>
      </c>
      <c r="Y10">
        <f t="shared" ref="Y10:Y18" si="12">+SUM(U10:W10)*X10</f>
        <v>0.96507994773854844</v>
      </c>
      <c r="AA10">
        <f t="shared" si="1"/>
        <v>1997</v>
      </c>
      <c r="AB10" s="5">
        <f t="shared" ref="AB10:AB25" si="13">+(Q10/O$2)*L10</f>
        <v>171234.06182030571</v>
      </c>
      <c r="AC10" s="5">
        <f>+((R10+S10)/O$2)*K10</f>
        <v>494167.87658648571</v>
      </c>
      <c r="AD10" s="5">
        <f t="shared" si="2"/>
        <v>665401.93840679142</v>
      </c>
      <c r="AE10" s="5">
        <f t="shared" si="3"/>
        <v>133080.38768135829</v>
      </c>
      <c r="AI10" s="5">
        <f t="shared" ref="AI10:AI25" si="14">G10*K10</f>
        <v>207151.97307238</v>
      </c>
      <c r="AK10">
        <f t="shared" si="4"/>
        <v>3.5621819619259458</v>
      </c>
      <c r="AL10">
        <f t="shared" si="5"/>
        <v>3.3816481008000001</v>
      </c>
    </row>
    <row r="11" spans="1:38" x14ac:dyDescent="0.25">
      <c r="A11">
        <v>1998</v>
      </c>
      <c r="B11" t="s">
        <v>25</v>
      </c>
      <c r="C11" s="42">
        <v>5.6255338618000001</v>
      </c>
      <c r="D11" s="42">
        <v>16.971396289000001</v>
      </c>
      <c r="E11" s="42">
        <v>8.0966523858000006</v>
      </c>
      <c r="G11" s="93">
        <v>57877</v>
      </c>
      <c r="H11" s="17">
        <v>36209</v>
      </c>
      <c r="I11" s="10">
        <v>35982</v>
      </c>
      <c r="J11" s="14">
        <v>2.54976855</v>
      </c>
      <c r="K11" s="14">
        <v>2.8723231999999999</v>
      </c>
      <c r="L11" s="14">
        <v>1.34967554</v>
      </c>
      <c r="M11" s="1">
        <f t="shared" si="6"/>
        <v>0.37808219178082192</v>
      </c>
      <c r="N11" s="1">
        <f t="shared" si="7"/>
        <v>0.74794520547945209</v>
      </c>
      <c r="O11" s="38">
        <f t="shared" si="0"/>
        <v>5.4888822537547135</v>
      </c>
      <c r="P11" s="30">
        <v>5.4888822537547135</v>
      </c>
      <c r="Q11">
        <f t="shared" si="8"/>
        <v>5.4888822537547135</v>
      </c>
      <c r="R11">
        <f>+Q10*O$3</f>
        <v>6.9142555169922586</v>
      </c>
      <c r="S11">
        <f>+(R10+S10)*EXP(P$5*N11)-O$2*G10*EXP(M11*P$5)</f>
        <v>4.8283326383134542</v>
      </c>
      <c r="T11">
        <f t="shared" ref="T11:T19" si="15">SUM(Q11:S11)</f>
        <v>17.231470409060428</v>
      </c>
      <c r="U11">
        <f t="shared" si="9"/>
        <v>6.0472782195657138E-4</v>
      </c>
      <c r="V11">
        <f t="shared" si="10"/>
        <v>0.8063035320653209</v>
      </c>
      <c r="W11">
        <f>+(LN(S11)-LN(E11))^2</f>
        <v>0.26723677721862421</v>
      </c>
      <c r="X11">
        <v>10</v>
      </c>
      <c r="Y11">
        <f t="shared" si="12"/>
        <v>10.741450371059017</v>
      </c>
      <c r="AA11">
        <f t="shared" si="1"/>
        <v>1998</v>
      </c>
      <c r="AB11" s="5">
        <f t="shared" si="13"/>
        <v>117612.38226449495</v>
      </c>
      <c r="AC11" s="5">
        <f t="shared" ref="AC11:AC25" si="16">+((R11+S11)/O$2)*K11</f>
        <v>535472.15284132527</v>
      </c>
      <c r="AD11" s="5">
        <f t="shared" si="2"/>
        <v>653084.53510582028</v>
      </c>
      <c r="AE11" s="5">
        <f t="shared" si="3"/>
        <v>130616.90702116406</v>
      </c>
      <c r="AH11" s="13">
        <f t="shared" ref="AH11:AH20" si="17">(AC11-AC10)/AC10</f>
        <v>8.3583490979124334E-2</v>
      </c>
      <c r="AI11" s="5">
        <f t="shared" si="14"/>
        <v>166241.44984639998</v>
      </c>
      <c r="AK11">
        <f t="shared" si="4"/>
        <v>4.8283326383134542</v>
      </c>
      <c r="AL11">
        <f t="shared" si="5"/>
        <v>8.0966523858000006</v>
      </c>
    </row>
    <row r="12" spans="1:38" x14ac:dyDescent="0.25">
      <c r="A12">
        <v>1999</v>
      </c>
      <c r="B12" t="s">
        <v>26</v>
      </c>
      <c r="C12" s="42">
        <v>2.4238540969</v>
      </c>
      <c r="D12" s="42">
        <v>5.4863794119999998</v>
      </c>
      <c r="E12" s="42">
        <v>3.1548361008999999</v>
      </c>
      <c r="G12" s="93">
        <v>86656</v>
      </c>
      <c r="H12" s="17">
        <v>36574</v>
      </c>
      <c r="I12" s="10">
        <v>36454</v>
      </c>
      <c r="J12" s="14">
        <v>2.3350459099999998</v>
      </c>
      <c r="K12" s="14">
        <v>2.76881055</v>
      </c>
      <c r="L12" s="14">
        <v>1.2857182199999999</v>
      </c>
      <c r="M12" s="1">
        <f t="shared" si="6"/>
        <v>0.67123287671232879</v>
      </c>
      <c r="N12" s="1">
        <f t="shared" si="7"/>
        <v>1.2931506849315069</v>
      </c>
      <c r="O12" s="38">
        <f t="shared" si="0"/>
        <v>3.1512787220663392</v>
      </c>
      <c r="P12" s="30">
        <v>3.1512787220663392</v>
      </c>
      <c r="Q12">
        <f t="shared" si="8"/>
        <v>3.1512787220663392</v>
      </c>
      <c r="R12" s="43">
        <f t="shared" ref="R12:R26" si="18">+Q11*O$3</f>
        <v>4.6838443133851104</v>
      </c>
      <c r="S12" s="43">
        <f t="shared" ref="S12:S26" si="19">+(R11+S11)*EXP(P$5*N12)-O$2*G11*EXP(M12*P$5)</f>
        <v>4.9860932894905678</v>
      </c>
      <c r="T12">
        <f t="shared" si="15"/>
        <v>12.821216324942018</v>
      </c>
      <c r="U12">
        <f t="shared" si="9"/>
        <v>6.8879707837322612E-2</v>
      </c>
      <c r="V12">
        <f t="shared" si="10"/>
        <v>2.5011214674512196E-2</v>
      </c>
      <c r="W12">
        <f t="shared" si="11"/>
        <v>0.20950407357814985</v>
      </c>
      <c r="X12">
        <v>10</v>
      </c>
      <c r="Y12">
        <f t="shared" si="12"/>
        <v>3.0339499608998466</v>
      </c>
      <c r="AA12">
        <f t="shared" si="1"/>
        <v>1999</v>
      </c>
      <c r="AB12" s="5">
        <f t="shared" si="13"/>
        <v>64323.900342834604</v>
      </c>
      <c r="AC12" s="5">
        <f t="shared" si="16"/>
        <v>425066.29324998386</v>
      </c>
      <c r="AD12" s="5">
        <f t="shared" si="2"/>
        <v>489390.19359281845</v>
      </c>
      <c r="AE12" s="5">
        <f t="shared" si="3"/>
        <v>97878.038718563694</v>
      </c>
      <c r="AH12" s="13">
        <f t="shared" si="17"/>
        <v>-0.20618412928759269</v>
      </c>
      <c r="AI12" s="5">
        <f t="shared" si="14"/>
        <v>239934.0470208</v>
      </c>
      <c r="AK12">
        <f t="shared" si="4"/>
        <v>4.9860932894905678</v>
      </c>
      <c r="AL12">
        <f t="shared" si="5"/>
        <v>3.1548361008999999</v>
      </c>
    </row>
    <row r="13" spans="1:38" x14ac:dyDescent="0.25">
      <c r="A13">
        <v>2000</v>
      </c>
      <c r="B13" t="s">
        <v>27</v>
      </c>
      <c r="C13" s="42">
        <v>3.5532430552999998</v>
      </c>
      <c r="D13" s="42">
        <v>2.8200548873</v>
      </c>
      <c r="E13" s="42">
        <v>1.8904020291000001</v>
      </c>
      <c r="G13" s="93">
        <v>52747</v>
      </c>
      <c r="H13" s="17">
        <v>36940</v>
      </c>
      <c r="I13" s="10">
        <v>36817</v>
      </c>
      <c r="J13" s="14">
        <v>1.99764557</v>
      </c>
      <c r="K13" s="14">
        <v>2.5892275499999999</v>
      </c>
      <c r="L13" s="14">
        <v>1.3100612599999999</v>
      </c>
      <c r="M13" s="1">
        <f t="shared" si="6"/>
        <v>0.66575342465753429</v>
      </c>
      <c r="N13" s="1">
        <f t="shared" si="7"/>
        <v>0.9945205479452055</v>
      </c>
      <c r="O13" s="38">
        <f t="shared" si="0"/>
        <v>4.1835967681837225</v>
      </c>
      <c r="P13" s="30">
        <v>4.1835967681837225</v>
      </c>
      <c r="Q13">
        <f t="shared" si="8"/>
        <v>4.1835967681837225</v>
      </c>
      <c r="R13" s="43">
        <f t="shared" si="18"/>
        <v>2.6890900988348143</v>
      </c>
      <c r="S13" s="43">
        <f t="shared" si="19"/>
        <v>2.7053337054801521</v>
      </c>
      <c r="T13">
        <f t="shared" si="15"/>
        <v>9.5780205724986889</v>
      </c>
      <c r="U13">
        <f t="shared" si="9"/>
        <v>2.6670359986505177E-2</v>
      </c>
      <c r="V13">
        <f t="shared" si="10"/>
        <v>2.2613320496938771E-3</v>
      </c>
      <c r="W13">
        <f t="shared" si="11"/>
        <v>0.1284761873047299</v>
      </c>
      <c r="X13">
        <v>10</v>
      </c>
      <c r="Y13">
        <f t="shared" si="12"/>
        <v>1.5740787934092895</v>
      </c>
      <c r="AA13">
        <f t="shared" si="1"/>
        <v>2000</v>
      </c>
      <c r="AB13" s="5">
        <f t="shared" si="13"/>
        <v>87012.406098028383</v>
      </c>
      <c r="AC13" s="5">
        <f t="shared" si="16"/>
        <v>221745.61348310654</v>
      </c>
      <c r="AD13" s="5">
        <f t="shared" si="2"/>
        <v>308758.0195811349</v>
      </c>
      <c r="AE13" s="5">
        <f t="shared" si="3"/>
        <v>61751.603916226981</v>
      </c>
      <c r="AH13" s="13">
        <f t="shared" si="17"/>
        <v>-0.4783269880383183</v>
      </c>
      <c r="AI13" s="5">
        <f t="shared" si="14"/>
        <v>136573.98557985001</v>
      </c>
      <c r="AK13">
        <f t="shared" si="4"/>
        <v>2.7053337054801521</v>
      </c>
      <c r="AL13">
        <f t="shared" si="5"/>
        <v>1.8904020291000001</v>
      </c>
    </row>
    <row r="14" spans="1:38" x14ac:dyDescent="0.25">
      <c r="A14">
        <v>2001</v>
      </c>
      <c r="B14" t="s">
        <v>28</v>
      </c>
      <c r="C14" s="42">
        <v>4.7017262618000002</v>
      </c>
      <c r="D14" s="42">
        <v>3.6664562885</v>
      </c>
      <c r="E14" s="42">
        <v>1.3974633591000001</v>
      </c>
      <c r="G14" s="93">
        <v>44592</v>
      </c>
      <c r="H14" s="17">
        <v>37305</v>
      </c>
      <c r="I14" s="10">
        <v>37176</v>
      </c>
      <c r="J14" s="14">
        <v>1.95853451</v>
      </c>
      <c r="K14" s="14">
        <v>2.5493466499999999</v>
      </c>
      <c r="L14" s="14">
        <v>1.2902388</v>
      </c>
      <c r="M14" s="1">
        <f t="shared" si="6"/>
        <v>0.64657534246575343</v>
      </c>
      <c r="N14" s="1">
        <f t="shared" si="7"/>
        <v>0.98356164383561639</v>
      </c>
      <c r="O14" s="38">
        <f t="shared" si="0"/>
        <v>4.6581300522334512</v>
      </c>
      <c r="P14" s="30">
        <v>4.6581300522334512</v>
      </c>
      <c r="Q14">
        <f t="shared" si="8"/>
        <v>4.6581300522334512</v>
      </c>
      <c r="R14" s="43">
        <f t="shared" si="18"/>
        <v>3.5700011452694804</v>
      </c>
      <c r="S14" s="43">
        <f t="shared" si="19"/>
        <v>1.2794094613902991</v>
      </c>
      <c r="T14">
        <f t="shared" si="15"/>
        <v>9.5075406588932321</v>
      </c>
      <c r="U14">
        <f t="shared" si="9"/>
        <v>8.6781144257751654E-5</v>
      </c>
      <c r="V14">
        <f t="shared" si="10"/>
        <v>7.1073907224478421E-4</v>
      </c>
      <c r="W14">
        <f t="shared" si="11"/>
        <v>7.7898441272767783E-3</v>
      </c>
      <c r="X14">
        <v>10</v>
      </c>
      <c r="Y14">
        <f t="shared" si="12"/>
        <v>8.5873643437793135E-2</v>
      </c>
      <c r="AA14">
        <f t="shared" si="1"/>
        <v>2001</v>
      </c>
      <c r="AB14" s="5">
        <f t="shared" si="13"/>
        <v>95416.056289814558</v>
      </c>
      <c r="AC14" s="5">
        <f t="shared" si="16"/>
        <v>196271.66476104915</v>
      </c>
      <c r="AD14" s="5">
        <f t="shared" si="2"/>
        <v>291687.72105086374</v>
      </c>
      <c r="AE14" s="5">
        <f t="shared" si="3"/>
        <v>58337.544210172753</v>
      </c>
      <c r="AH14" s="13">
        <f t="shared" si="17"/>
        <v>-0.11487915509092178</v>
      </c>
      <c r="AI14" s="5">
        <f t="shared" si="14"/>
        <v>113680.4658168</v>
      </c>
      <c r="AK14">
        <f t="shared" si="4"/>
        <v>1.2794094613902991</v>
      </c>
      <c r="AL14">
        <f t="shared" si="5"/>
        <v>1.3974633591000001</v>
      </c>
    </row>
    <row r="15" spans="1:38" x14ac:dyDescent="0.25">
      <c r="A15">
        <v>2002</v>
      </c>
      <c r="B15" t="s">
        <v>29</v>
      </c>
      <c r="C15" s="42">
        <v>3.2333235258999999</v>
      </c>
      <c r="D15" s="42">
        <v>4.0119753406000003</v>
      </c>
      <c r="E15" s="42">
        <v>1.3803292108</v>
      </c>
      <c r="G15" s="93">
        <v>43631</v>
      </c>
      <c r="H15" s="17">
        <v>37670</v>
      </c>
      <c r="I15" s="10">
        <v>37536</v>
      </c>
      <c r="J15" s="14">
        <v>2.1286243800000002</v>
      </c>
      <c r="K15" s="14">
        <v>2.57346239</v>
      </c>
      <c r="L15" s="14">
        <v>1.3024966600000001</v>
      </c>
      <c r="M15" s="1">
        <f t="shared" si="6"/>
        <v>0.63287671232876708</v>
      </c>
      <c r="N15" s="1">
        <f t="shared" si="7"/>
        <v>0.98630136986301364</v>
      </c>
      <c r="O15" s="38">
        <f t="shared" si="0"/>
        <v>3.4812633993988005</v>
      </c>
      <c r="P15" s="30">
        <v>3.4812633993988005</v>
      </c>
      <c r="Q15">
        <f t="shared" si="8"/>
        <v>3.4812633993988005</v>
      </c>
      <c r="R15" s="43">
        <f t="shared" si="18"/>
        <v>3.9749360520964339</v>
      </c>
      <c r="S15" s="43">
        <f t="shared" si="19"/>
        <v>1.2842642844915266</v>
      </c>
      <c r="T15">
        <f t="shared" si="15"/>
        <v>8.7404637359867614</v>
      </c>
      <c r="U15">
        <f t="shared" si="9"/>
        <v>5.4589503859153749E-3</v>
      </c>
      <c r="V15">
        <f t="shared" si="10"/>
        <v>8.6026797661766709E-5</v>
      </c>
      <c r="W15">
        <f t="shared" si="11"/>
        <v>5.2036048242832074E-3</v>
      </c>
      <c r="X15">
        <v>10</v>
      </c>
      <c r="Y15">
        <f t="shared" si="12"/>
        <v>0.10748582007860349</v>
      </c>
      <c r="AA15">
        <f t="shared" si="1"/>
        <v>2002</v>
      </c>
      <c r="AB15" s="5">
        <f t="shared" si="13"/>
        <v>71986.864472098066</v>
      </c>
      <c r="AC15" s="5">
        <f t="shared" si="16"/>
        <v>214870.74773601693</v>
      </c>
      <c r="AD15" s="5">
        <f t="shared" si="2"/>
        <v>286857.612208115</v>
      </c>
      <c r="AE15" s="5">
        <f t="shared" si="3"/>
        <v>57371.522441623005</v>
      </c>
      <c r="AH15" s="13">
        <f t="shared" si="17"/>
        <v>9.4761936205163516E-2</v>
      </c>
      <c r="AI15" s="5">
        <f t="shared" si="14"/>
        <v>112282.73753809</v>
      </c>
      <c r="AK15">
        <f t="shared" si="4"/>
        <v>1.2842642844915266</v>
      </c>
      <c r="AL15">
        <f t="shared" si="5"/>
        <v>1.3803292108</v>
      </c>
    </row>
    <row r="16" spans="1:38" x14ac:dyDescent="0.25">
      <c r="A16">
        <v>2003</v>
      </c>
      <c r="B16" t="s">
        <v>22</v>
      </c>
      <c r="C16" s="42">
        <v>4.1534445803000004</v>
      </c>
      <c r="D16" s="42">
        <v>2.7447431838999998</v>
      </c>
      <c r="E16" s="42">
        <v>1.4856362431000001</v>
      </c>
      <c r="G16" s="93">
        <v>32818</v>
      </c>
      <c r="H16" s="17">
        <v>38035</v>
      </c>
      <c r="I16" s="10">
        <v>37894</v>
      </c>
      <c r="J16" s="14">
        <v>1.9153335600000001</v>
      </c>
      <c r="K16" s="14">
        <v>2.4961251299999998</v>
      </c>
      <c r="L16" s="14">
        <v>1.3134223</v>
      </c>
      <c r="M16" s="1">
        <f t="shared" si="6"/>
        <v>0.61369863013698633</v>
      </c>
      <c r="N16" s="1">
        <f t="shared" si="7"/>
        <v>0.98082191780821915</v>
      </c>
      <c r="O16" s="38">
        <f t="shared" si="0"/>
        <v>3.5554898089109188</v>
      </c>
      <c r="P16" s="30">
        <v>3.5554898089109188</v>
      </c>
      <c r="Q16">
        <f t="shared" si="8"/>
        <v>3.5554898089109188</v>
      </c>
      <c r="R16" s="43">
        <f t="shared" si="18"/>
        <v>2.9706769106799018</v>
      </c>
      <c r="S16" s="43">
        <f t="shared" si="19"/>
        <v>1.6324793429829758</v>
      </c>
      <c r="T16">
        <f t="shared" si="15"/>
        <v>8.158646062573796</v>
      </c>
      <c r="U16">
        <f t="shared" si="9"/>
        <v>2.4163202514004993E-2</v>
      </c>
      <c r="V16">
        <f t="shared" si="10"/>
        <v>6.2571786260810286E-3</v>
      </c>
      <c r="W16">
        <f t="shared" si="11"/>
        <v>8.8843446194992234E-3</v>
      </c>
      <c r="X16">
        <v>10</v>
      </c>
      <c r="Y16">
        <f t="shared" si="12"/>
        <v>0.39304725759585246</v>
      </c>
      <c r="AA16">
        <f t="shared" si="1"/>
        <v>2003</v>
      </c>
      <c r="AB16" s="5">
        <f t="shared" si="13"/>
        <v>74138.463110551806</v>
      </c>
      <c r="AC16" s="5">
        <f t="shared" si="16"/>
        <v>182415.53650254157</v>
      </c>
      <c r="AD16" s="5">
        <f t="shared" si="2"/>
        <v>256553.99961309339</v>
      </c>
      <c r="AE16" s="5">
        <f t="shared" si="3"/>
        <v>51310.79992261868</v>
      </c>
      <c r="AF16" s="5">
        <f>AC16*0.5</f>
        <v>91207.768251270783</v>
      </c>
      <c r="AG16" s="5">
        <f>AF16/K16</f>
        <v>36539.742000542574</v>
      </c>
      <c r="AH16" s="13">
        <f t="shared" si="17"/>
        <v>-0.15104527524309058</v>
      </c>
      <c r="AI16" s="5">
        <f t="shared" si="14"/>
        <v>81917.834516339994</v>
      </c>
      <c r="AK16">
        <f t="shared" si="4"/>
        <v>1.6324793429829758</v>
      </c>
      <c r="AL16">
        <f t="shared" si="5"/>
        <v>1.4856362431000001</v>
      </c>
    </row>
    <row r="17" spans="1:38" x14ac:dyDescent="0.25">
      <c r="A17">
        <v>2004</v>
      </c>
      <c r="B17" t="s">
        <v>21</v>
      </c>
      <c r="C17" s="42">
        <v>4.8968644331000002</v>
      </c>
      <c r="D17" s="42">
        <v>3.3300915500000001</v>
      </c>
      <c r="E17" s="42">
        <v>2.1310884561000001</v>
      </c>
      <c r="G17" s="93">
        <v>22919</v>
      </c>
      <c r="H17" s="17">
        <v>38401</v>
      </c>
      <c r="I17" s="10">
        <v>38285</v>
      </c>
      <c r="J17" s="14">
        <v>1.91331618</v>
      </c>
      <c r="K17" s="14">
        <v>2.4527933800000001</v>
      </c>
      <c r="L17" s="14">
        <v>1.2898485099999999</v>
      </c>
      <c r="M17" s="1">
        <f t="shared" ref="M17:M22" si="20">+(I17-H16)/365</f>
        <v>0.68493150684931503</v>
      </c>
      <c r="N17" s="1">
        <f t="shared" ref="N17:N22" si="21">+(I17-I16)/365</f>
        <v>1.0712328767123287</v>
      </c>
      <c r="O17" s="38">
        <f t="shared" si="0"/>
        <v>3.0103731758476808</v>
      </c>
      <c r="P17" s="30">
        <v>3.0103731758476808</v>
      </c>
      <c r="Q17">
        <f t="shared" si="8"/>
        <v>3.0103731758476808</v>
      </c>
      <c r="R17" s="43">
        <f t="shared" si="18"/>
        <v>3.0340167547544414</v>
      </c>
      <c r="S17" s="43">
        <f t="shared" si="19"/>
        <v>1.6548093350108228</v>
      </c>
      <c r="T17">
        <f t="shared" si="15"/>
        <v>7.6991992656129451</v>
      </c>
      <c r="U17">
        <f t="shared" si="9"/>
        <v>0.23671245182334405</v>
      </c>
      <c r="V17">
        <f t="shared" si="10"/>
        <v>8.669917704882223E-3</v>
      </c>
      <c r="W17">
        <f t="shared" si="11"/>
        <v>6.3982217536153768E-2</v>
      </c>
      <c r="X17">
        <v>10</v>
      </c>
      <c r="Y17">
        <f t="shared" si="12"/>
        <v>3.093645870643801</v>
      </c>
      <c r="AA17">
        <f t="shared" si="1"/>
        <v>2004</v>
      </c>
      <c r="AB17" s="5">
        <f t="shared" si="13"/>
        <v>61645.133415224533</v>
      </c>
      <c r="AC17" s="5">
        <f t="shared" si="16"/>
        <v>182584.89465439221</v>
      </c>
      <c r="AD17" s="5">
        <f t="shared" si="2"/>
        <v>244230.02806961673</v>
      </c>
      <c r="AE17" s="5">
        <f t="shared" si="3"/>
        <v>48846.005613923349</v>
      </c>
      <c r="AF17" s="5">
        <f>AC17*0.5</f>
        <v>91292.447327196103</v>
      </c>
      <c r="AG17" s="5">
        <f>AF17/K17</f>
        <v>37219.787068732265</v>
      </c>
      <c r="AH17" s="13">
        <f t="shared" si="17"/>
        <v>9.284195584309794E-4</v>
      </c>
      <c r="AI17" s="5">
        <f t="shared" si="14"/>
        <v>56215.57147622</v>
      </c>
      <c r="AK17">
        <f t="shared" si="4"/>
        <v>1.6548093350108228</v>
      </c>
      <c r="AL17">
        <f t="shared" si="5"/>
        <v>2.1310884561000001</v>
      </c>
    </row>
    <row r="18" spans="1:38" x14ac:dyDescent="0.25">
      <c r="A18">
        <v>2005</v>
      </c>
      <c r="B18" t="s">
        <v>30</v>
      </c>
      <c r="C18" s="42">
        <v>3.5327117930999998</v>
      </c>
      <c r="D18" s="42">
        <v>1.9114641681</v>
      </c>
      <c r="E18" s="42">
        <v>2.1244422527000002</v>
      </c>
      <c r="G18" s="93">
        <v>28613</v>
      </c>
      <c r="H18" s="17">
        <v>38766</v>
      </c>
      <c r="I18" s="10">
        <v>38645</v>
      </c>
      <c r="J18" s="14">
        <v>1.99030975</v>
      </c>
      <c r="K18" s="14">
        <v>2.5530011400000001</v>
      </c>
      <c r="L18" s="14">
        <v>1.30882795</v>
      </c>
      <c r="M18" s="1">
        <f t="shared" si="20"/>
        <v>0.66849315068493154</v>
      </c>
      <c r="N18" s="1">
        <f t="shared" si="21"/>
        <v>0.98630136986301364</v>
      </c>
      <c r="O18" s="38">
        <f t="shared" si="0"/>
        <v>3.1187103186319161</v>
      </c>
      <c r="P18" s="30">
        <v>3.1187103186319161</v>
      </c>
      <c r="Q18">
        <f t="shared" si="8"/>
        <v>3.1187103186319161</v>
      </c>
      <c r="R18" s="43">
        <f t="shared" si="18"/>
        <v>2.5688507475663074</v>
      </c>
      <c r="S18" s="43">
        <f t="shared" si="19"/>
        <v>2.3065752654757254</v>
      </c>
      <c r="T18">
        <f t="shared" si="15"/>
        <v>7.9941363316739489</v>
      </c>
      <c r="U18">
        <f t="shared" si="9"/>
        <v>1.5536683254295452E-2</v>
      </c>
      <c r="V18">
        <f t="shared" si="10"/>
        <v>8.737291037175457E-2</v>
      </c>
      <c r="W18">
        <f t="shared" si="11"/>
        <v>6.7658121102502989E-3</v>
      </c>
      <c r="X18">
        <v>10</v>
      </c>
      <c r="Y18">
        <f t="shared" si="12"/>
        <v>1.0967540573630032</v>
      </c>
      <c r="AA18">
        <f t="shared" si="1"/>
        <v>2005</v>
      </c>
      <c r="AB18" s="5">
        <f t="shared" si="13"/>
        <v>64803.334441636085</v>
      </c>
      <c r="AC18" s="5">
        <f t="shared" si="16"/>
        <v>197607.45911356917</v>
      </c>
      <c r="AD18" s="5">
        <f t="shared" ref="AD18:AD23" si="22">+AC18+AB18</f>
        <v>262410.79355520528</v>
      </c>
      <c r="AE18" s="5">
        <f t="shared" si="3"/>
        <v>52482.158711041062</v>
      </c>
      <c r="AF18" s="5">
        <f>AC18*0.5</f>
        <v>98803.729556784587</v>
      </c>
      <c r="AG18" s="5">
        <f>AF18/K18</f>
        <v>38701.012705691384</v>
      </c>
      <c r="AH18" s="13">
        <f t="shared" si="17"/>
        <v>8.2277148323866497E-2</v>
      </c>
      <c r="AI18" s="5">
        <f t="shared" si="14"/>
        <v>73049.021618819999</v>
      </c>
      <c r="AK18">
        <f t="shared" si="4"/>
        <v>2.3065752654757254</v>
      </c>
      <c r="AL18">
        <f t="shared" si="5"/>
        <v>2.1244422527000002</v>
      </c>
    </row>
    <row r="19" spans="1:38" x14ac:dyDescent="0.25">
      <c r="A19">
        <v>2006</v>
      </c>
      <c r="B19" t="s">
        <v>31</v>
      </c>
      <c r="C19" s="42">
        <v>4.3407142154000002</v>
      </c>
      <c r="D19" s="42">
        <v>2.5425499913</v>
      </c>
      <c r="E19" s="42">
        <v>1.8519783692</v>
      </c>
      <c r="G19" s="93">
        <v>27506</v>
      </c>
      <c r="H19" s="17">
        <v>39126</v>
      </c>
      <c r="I19" s="10">
        <v>39001</v>
      </c>
      <c r="J19" s="14">
        <v>2.0719206899999998</v>
      </c>
      <c r="K19" s="14">
        <v>2.4742009700000001</v>
      </c>
      <c r="L19" s="14">
        <v>1.3483749300000001</v>
      </c>
      <c r="M19" s="1">
        <f t="shared" si="20"/>
        <v>0.64383561643835618</v>
      </c>
      <c r="N19" s="1">
        <f t="shared" si="21"/>
        <v>0.97534246575342465</v>
      </c>
      <c r="O19" s="38">
        <f t="shared" si="0"/>
        <v>3.143260547235573</v>
      </c>
      <c r="P19" s="30">
        <v>3.143260547235573</v>
      </c>
      <c r="Q19">
        <f t="shared" si="8"/>
        <v>3.143260547235573</v>
      </c>
      <c r="R19" s="43">
        <f t="shared" si="18"/>
        <v>2.6612984057049416</v>
      </c>
      <c r="S19" s="43">
        <f t="shared" si="19"/>
        <v>2.1528927551169224</v>
      </c>
      <c r="T19">
        <f t="shared" si="15"/>
        <v>7.9574517080574365</v>
      </c>
      <c r="U19">
        <f t="shared" si="9"/>
        <v>0.10418579759404549</v>
      </c>
      <c r="V19">
        <f t="shared" si="10"/>
        <v>2.0836134734868316E-3</v>
      </c>
      <c r="W19">
        <f t="shared" si="11"/>
        <v>2.2667695961118606E-2</v>
      </c>
      <c r="X19">
        <v>10</v>
      </c>
      <c r="Y19">
        <f t="shared" ref="Y19:Y23" si="23">+SUM(U19:W19)*X19</f>
        <v>1.2893710702865093</v>
      </c>
      <c r="AA19">
        <f t="shared" si="1"/>
        <v>2006</v>
      </c>
      <c r="AB19" s="5">
        <f t="shared" si="13"/>
        <v>67286.944231317844</v>
      </c>
      <c r="AC19" s="5">
        <f t="shared" si="16"/>
        <v>189102.84336478604</v>
      </c>
      <c r="AD19" s="5">
        <f t="shared" si="22"/>
        <v>256389.78759610388</v>
      </c>
      <c r="AE19" s="5">
        <f t="shared" si="3"/>
        <v>51277.957519220778</v>
      </c>
      <c r="AF19" s="5">
        <f>AC19*0.5</f>
        <v>94551.421682393018</v>
      </c>
      <c r="AG19" s="5">
        <f>AF19/K19</f>
        <v>38214.93194321762</v>
      </c>
      <c r="AH19" s="13">
        <f t="shared" si="17"/>
        <v>-4.303792876510474E-2</v>
      </c>
      <c r="AI19" s="5">
        <f t="shared" si="14"/>
        <v>68055.371880820006</v>
      </c>
    </row>
    <row r="20" spans="1:38" x14ac:dyDescent="0.25">
      <c r="A20">
        <v>2007</v>
      </c>
      <c r="B20" t="s">
        <v>32</v>
      </c>
      <c r="C20" s="42">
        <v>5.2948023252</v>
      </c>
      <c r="D20" s="42">
        <v>2.8124749832</v>
      </c>
      <c r="E20" s="42">
        <v>2.6590863710999999</v>
      </c>
      <c r="G20" s="93">
        <v>23074</v>
      </c>
      <c r="H20" s="17">
        <v>39495</v>
      </c>
      <c r="I20" s="10">
        <v>39361</v>
      </c>
      <c r="J20" s="15">
        <v>1.99790895</v>
      </c>
      <c r="K20" s="15">
        <v>2.6143160700000001</v>
      </c>
      <c r="L20" s="15">
        <v>1.3233095399999999</v>
      </c>
      <c r="M20" s="1">
        <f t="shared" si="20"/>
        <v>0.64383561643835618</v>
      </c>
      <c r="N20" s="1">
        <f t="shared" si="21"/>
        <v>0.98630136986301364</v>
      </c>
      <c r="O20" s="38">
        <f t="shared" ref="O20:O25" si="24">+P20</f>
        <v>4.2202329095375637</v>
      </c>
      <c r="P20" s="30">
        <v>4.2202329095375637</v>
      </c>
      <c r="Q20">
        <f t="shared" si="8"/>
        <v>4.2202329095375637</v>
      </c>
      <c r="R20" s="43">
        <f t="shared" si="18"/>
        <v>2.6822479257204028</v>
      </c>
      <c r="S20" s="43">
        <f t="shared" si="19"/>
        <v>2.1528800078340362</v>
      </c>
      <c r="T20">
        <f t="shared" ref="T20:T25" si="25">SUM(Q20:S20)</f>
        <v>9.0553608430920036</v>
      </c>
      <c r="U20">
        <f t="shared" ref="U20:W22" si="26">+(LN(Q20)-LN(C20))^2</f>
        <v>5.145426586861853E-2</v>
      </c>
      <c r="V20">
        <f t="shared" si="26"/>
        <v>2.2476750487146462E-3</v>
      </c>
      <c r="W20">
        <f t="shared" si="26"/>
        <v>4.4595349433662633E-2</v>
      </c>
      <c r="X20">
        <v>10</v>
      </c>
      <c r="Y20">
        <f t="shared" si="23"/>
        <v>0.98297290350995814</v>
      </c>
      <c r="AA20">
        <f t="shared" si="1"/>
        <v>2007</v>
      </c>
      <c r="AB20" s="5">
        <f t="shared" si="13"/>
        <v>88662.019298702391</v>
      </c>
      <c r="AC20" s="5">
        <f t="shared" si="16"/>
        <v>200680.79699476907</v>
      </c>
      <c r="AD20" s="5">
        <f t="shared" si="22"/>
        <v>289342.81629347149</v>
      </c>
      <c r="AE20" s="5">
        <f t="shared" si="3"/>
        <v>57868.563258694303</v>
      </c>
      <c r="AF20" s="5">
        <f>AC20*0.5</f>
        <v>100340.39849738454</v>
      </c>
      <c r="AG20" s="5">
        <f>AF20/K20</f>
        <v>38381.127534202293</v>
      </c>
      <c r="AH20" s="13">
        <f t="shared" si="17"/>
        <v>6.122569827069578E-2</v>
      </c>
      <c r="AI20" s="5">
        <f t="shared" si="14"/>
        <v>60322.728999179999</v>
      </c>
    </row>
    <row r="21" spans="1:38" x14ac:dyDescent="0.25">
      <c r="A21">
        <v>2008</v>
      </c>
      <c r="B21" t="s">
        <v>42</v>
      </c>
      <c r="C21" s="42">
        <v>4.1981397294000002</v>
      </c>
      <c r="D21" s="42">
        <v>3.2606079444999998</v>
      </c>
      <c r="E21" s="42">
        <v>1.6352119482</v>
      </c>
      <c r="G21" s="93">
        <v>34416</v>
      </c>
      <c r="H21" s="4">
        <v>39861</v>
      </c>
      <c r="I21" s="10">
        <v>39744</v>
      </c>
      <c r="J21" s="14">
        <v>2.2133606100000001</v>
      </c>
      <c r="K21" s="14">
        <v>2.7507295300000001</v>
      </c>
      <c r="L21" s="14">
        <v>1.37953189</v>
      </c>
      <c r="M21" s="1">
        <f t="shared" si="20"/>
        <v>0.68219178082191778</v>
      </c>
      <c r="N21" s="1">
        <f t="shared" si="21"/>
        <v>1.0493150684931507</v>
      </c>
      <c r="O21" s="38">
        <f t="shared" si="24"/>
        <v>3.3830597626316745</v>
      </c>
      <c r="P21" s="30">
        <v>3.3830597626316745</v>
      </c>
      <c r="Q21">
        <f t="shared" si="8"/>
        <v>3.3830597626316745</v>
      </c>
      <c r="R21" s="43">
        <f t="shared" si="18"/>
        <v>3.6012639733666179</v>
      </c>
      <c r="S21" s="43">
        <f t="shared" si="19"/>
        <v>2.3449392600205106</v>
      </c>
      <c r="T21">
        <f t="shared" si="25"/>
        <v>9.3292629960188034</v>
      </c>
      <c r="U21">
        <f t="shared" si="26"/>
        <v>4.659594990074923E-2</v>
      </c>
      <c r="V21">
        <f t="shared" si="26"/>
        <v>9.8746400633308203E-3</v>
      </c>
      <c r="W21">
        <f t="shared" si="26"/>
        <v>0.12995092891923721</v>
      </c>
      <c r="X21">
        <v>10</v>
      </c>
      <c r="Y21">
        <f t="shared" si="23"/>
        <v>1.8642151888331726</v>
      </c>
      <c r="AA21">
        <f t="shared" si="1"/>
        <v>2008</v>
      </c>
      <c r="AB21" s="5">
        <f t="shared" si="13"/>
        <v>74093.680638304082</v>
      </c>
      <c r="AC21" s="5">
        <f t="shared" si="16"/>
        <v>259673.3576381233</v>
      </c>
      <c r="AD21" s="5">
        <f t="shared" si="22"/>
        <v>333767.03827642737</v>
      </c>
      <c r="AE21" s="5">
        <f t="shared" si="3"/>
        <v>66753.407655285482</v>
      </c>
      <c r="AF21" s="5"/>
      <c r="AG21" s="5"/>
      <c r="AH21" s="13">
        <f t="shared" ref="AH21:AH24" si="27">(AC21-AC20)/AC20</f>
        <v>0.29396216043975509</v>
      </c>
      <c r="AI21" s="5">
        <f t="shared" si="14"/>
        <v>94669.107504480009</v>
      </c>
    </row>
    <row r="22" spans="1:38" x14ac:dyDescent="0.25">
      <c r="A22">
        <v>2009</v>
      </c>
      <c r="B22" s="18" t="s">
        <v>43</v>
      </c>
      <c r="C22" s="42">
        <v>2.7214964030000002</v>
      </c>
      <c r="D22" s="42">
        <v>2.6870845742</v>
      </c>
      <c r="E22" s="42">
        <v>2.6920743972999999</v>
      </c>
      <c r="G22" s="93">
        <v>36733</v>
      </c>
      <c r="H22" s="4">
        <v>40228</v>
      </c>
      <c r="I22" s="10">
        <v>40093</v>
      </c>
      <c r="J22" s="14">
        <v>2.2000000000000002</v>
      </c>
      <c r="K22" s="14">
        <v>2.76</v>
      </c>
      <c r="L22" s="14">
        <v>1.41</v>
      </c>
      <c r="M22" s="1">
        <f t="shared" si="20"/>
        <v>0.63561643835616444</v>
      </c>
      <c r="N22" s="1">
        <f t="shared" si="21"/>
        <v>0.95616438356164379</v>
      </c>
      <c r="O22" s="38">
        <f t="shared" si="24"/>
        <v>2.8853735620532182</v>
      </c>
      <c r="P22" s="30">
        <v>2.8853735620532182</v>
      </c>
      <c r="Q22">
        <f t="shared" si="8"/>
        <v>2.8853735620532182</v>
      </c>
      <c r="R22" s="43">
        <f t="shared" si="18"/>
        <v>2.8868765075448568</v>
      </c>
      <c r="S22" s="43">
        <f t="shared" si="19"/>
        <v>2.6719073311373016</v>
      </c>
      <c r="T22">
        <f t="shared" si="25"/>
        <v>8.4441574007353761</v>
      </c>
      <c r="U22">
        <f t="shared" si="26"/>
        <v>3.4190330961834199E-3</v>
      </c>
      <c r="V22">
        <f t="shared" si="26"/>
        <v>5.143517415794583E-3</v>
      </c>
      <c r="W22">
        <f t="shared" si="26"/>
        <v>5.654249268836591E-5</v>
      </c>
      <c r="X22">
        <v>10</v>
      </c>
      <c r="Y22">
        <f t="shared" si="23"/>
        <v>8.61909300466637E-2</v>
      </c>
      <c r="AA22">
        <f t="shared" si="1"/>
        <v>2009</v>
      </c>
      <c r="AB22" s="5">
        <f t="shared" si="13"/>
        <v>64589.350267086942</v>
      </c>
      <c r="AC22" s="5">
        <f t="shared" si="16"/>
        <v>243572.70727365426</v>
      </c>
      <c r="AD22" s="5">
        <f t="shared" si="22"/>
        <v>308162.05754074123</v>
      </c>
      <c r="AE22" s="5">
        <f t="shared" ref="AE22:AE27" si="28">+AD22*0.2</f>
        <v>61632.411508148245</v>
      </c>
      <c r="AF22" s="5"/>
      <c r="AG22" s="5"/>
      <c r="AH22" s="13">
        <f t="shared" si="27"/>
        <v>-6.2003474329879661E-2</v>
      </c>
      <c r="AI22" s="5">
        <f t="shared" si="14"/>
        <v>101383.07999999999</v>
      </c>
    </row>
    <row r="23" spans="1:38" x14ac:dyDescent="0.25">
      <c r="A23">
        <v>2010</v>
      </c>
      <c r="B23" s="18" t="s">
        <v>44</v>
      </c>
      <c r="C23" s="42">
        <v>3.4384252633000001</v>
      </c>
      <c r="D23" s="42">
        <v>2.4218389176000001</v>
      </c>
      <c r="E23" s="42">
        <v>1.7836943757999999</v>
      </c>
      <c r="G23" s="93">
        <v>28952</v>
      </c>
      <c r="H23" s="4">
        <v>40596</v>
      </c>
      <c r="I23" s="10">
        <v>40452</v>
      </c>
      <c r="J23" s="14">
        <v>2.2000000000000002</v>
      </c>
      <c r="K23" s="14">
        <v>2.76</v>
      </c>
      <c r="L23" s="14">
        <v>1.41</v>
      </c>
      <c r="M23" s="1">
        <f>+(I23-H22)/365</f>
        <v>0.61369863013698633</v>
      </c>
      <c r="N23" s="1">
        <f>+(I23-I22)/365</f>
        <v>0.98356164383561639</v>
      </c>
      <c r="O23" s="38">
        <f t="shared" si="24"/>
        <v>3.6336634267542984</v>
      </c>
      <c r="P23" s="30">
        <v>3.6336634267542984</v>
      </c>
      <c r="Q23">
        <f t="shared" si="8"/>
        <v>3.6336634267542984</v>
      </c>
      <c r="R23" s="43">
        <f t="shared" si="18"/>
        <v>2.4621844531953494</v>
      </c>
      <c r="S23" s="43">
        <f t="shared" si="19"/>
        <v>2.2137252231814353</v>
      </c>
      <c r="T23">
        <f t="shared" si="25"/>
        <v>8.3095731031310827</v>
      </c>
      <c r="U23">
        <f t="shared" ref="U23:W24" si="29">+(LN(Q23)-LN(C23))^2</f>
        <v>3.0501047634436938E-3</v>
      </c>
      <c r="V23">
        <f t="shared" si="29"/>
        <v>2.7297020930287802E-4</v>
      </c>
      <c r="W23">
        <f t="shared" si="29"/>
        <v>4.6651685432821471E-2</v>
      </c>
      <c r="X23">
        <v>10</v>
      </c>
      <c r="Y23">
        <f t="shared" si="23"/>
        <v>0.49974760405568042</v>
      </c>
      <c r="AA23">
        <f t="shared" si="1"/>
        <v>2010</v>
      </c>
      <c r="AB23" s="5">
        <f t="shared" si="13"/>
        <v>81339.887115458376</v>
      </c>
      <c r="AC23" s="5">
        <f t="shared" si="16"/>
        <v>204887.25805754284</v>
      </c>
      <c r="AD23" s="5">
        <f t="shared" si="22"/>
        <v>286227.14517300122</v>
      </c>
      <c r="AE23" s="5">
        <f t="shared" si="28"/>
        <v>57245.429034600245</v>
      </c>
      <c r="AF23" s="5"/>
      <c r="AG23" s="5"/>
      <c r="AH23" s="13">
        <f t="shared" si="27"/>
        <v>-0.15882505740944228</v>
      </c>
      <c r="AI23" s="5">
        <f t="shared" si="14"/>
        <v>79907.51999999999</v>
      </c>
    </row>
    <row r="24" spans="1:38" x14ac:dyDescent="0.25">
      <c r="A24">
        <v>2011</v>
      </c>
      <c r="B24" s="18" t="s">
        <v>45</v>
      </c>
      <c r="C24" s="42">
        <v>2.4718311636000001</v>
      </c>
      <c r="D24" s="42">
        <v>2.1402072051999999</v>
      </c>
      <c r="E24" s="42">
        <v>1.6498858318</v>
      </c>
      <c r="G24" s="93">
        <v>28514</v>
      </c>
      <c r="H24" s="29">
        <v>40959</v>
      </c>
      <c r="I24" s="10">
        <v>40778</v>
      </c>
      <c r="J24" s="19">
        <v>2.3199999999999998</v>
      </c>
      <c r="K24" s="19">
        <v>2.73</v>
      </c>
      <c r="L24" s="19">
        <v>1.39</v>
      </c>
      <c r="M24" s="1">
        <f>+(I24-H23)/365</f>
        <v>0.49863013698630138</v>
      </c>
      <c r="N24" s="1">
        <f>+(I24-I23)/365</f>
        <v>0.89315068493150684</v>
      </c>
      <c r="O24" s="38">
        <f t="shared" si="24"/>
        <v>3.7759165546420581</v>
      </c>
      <c r="P24" s="30">
        <v>3.7759165546420581</v>
      </c>
      <c r="Q24">
        <f t="shared" si="8"/>
        <v>3.7759165546420581</v>
      </c>
      <c r="R24" s="43">
        <f t="shared" si="18"/>
        <v>3.1007248819222237</v>
      </c>
      <c r="S24" s="43">
        <f t="shared" si="19"/>
        <v>2.0065700687269832</v>
      </c>
      <c r="T24">
        <f t="shared" si="25"/>
        <v>8.8832115052912641</v>
      </c>
      <c r="U24">
        <f t="shared" si="29"/>
        <v>0.17950805679117945</v>
      </c>
      <c r="V24">
        <f t="shared" si="29"/>
        <v>0.13744315587460693</v>
      </c>
      <c r="W24">
        <f t="shared" si="29"/>
        <v>3.8306607406845855E-2</v>
      </c>
      <c r="X24">
        <v>10</v>
      </c>
      <c r="Y24">
        <f>+SUM(U24:W24)*X24</f>
        <v>3.5525782007263231</v>
      </c>
      <c r="AA24">
        <f t="shared" si="1"/>
        <v>2011</v>
      </c>
      <c r="AB24" s="5">
        <f t="shared" si="13"/>
        <v>83325.311015132524</v>
      </c>
      <c r="AC24" s="5">
        <f t="shared" si="16"/>
        <v>221357.04139788379</v>
      </c>
      <c r="AD24" s="5">
        <f>+AC24+AB24</f>
        <v>304682.35241301631</v>
      </c>
      <c r="AE24" s="5">
        <f t="shared" si="28"/>
        <v>60936.470482603268</v>
      </c>
      <c r="AF24" s="5"/>
      <c r="AG24" s="5"/>
      <c r="AH24" s="13">
        <f t="shared" si="27"/>
        <v>8.038461491692854E-2</v>
      </c>
      <c r="AI24" s="5">
        <f t="shared" si="14"/>
        <v>77843.22</v>
      </c>
    </row>
    <row r="25" spans="1:38" x14ac:dyDescent="0.25">
      <c r="A25">
        <v>2012</v>
      </c>
      <c r="B25" s="28" t="s">
        <v>56</v>
      </c>
      <c r="C25" s="42">
        <v>4.1355961175999996</v>
      </c>
      <c r="D25" s="42">
        <v>3.2928191054</v>
      </c>
      <c r="E25" s="42">
        <v>2.5776212565000001</v>
      </c>
      <c r="G25" s="93">
        <v>32624</v>
      </c>
      <c r="H25" s="52">
        <v>41326</v>
      </c>
      <c r="I25" s="29">
        <v>41135</v>
      </c>
      <c r="J25" s="32">
        <v>2.1770656236999999</v>
      </c>
      <c r="K25" s="32">
        <v>2.788469176</v>
      </c>
      <c r="L25" s="32">
        <v>1.2943057168000001</v>
      </c>
      <c r="M25" s="44">
        <f>+(I25-H24)/365</f>
        <v>0.48219178082191783</v>
      </c>
      <c r="N25" s="44">
        <f>+(I25-I24)/365</f>
        <v>0.9780821917808219</v>
      </c>
      <c r="O25" s="38">
        <f t="shared" si="24"/>
        <v>5.2985553704284323</v>
      </c>
      <c r="P25" s="30">
        <v>5.2985553704284323</v>
      </c>
      <c r="Q25">
        <f t="shared" si="8"/>
        <v>5.2985553704284323</v>
      </c>
      <c r="R25" s="43">
        <f t="shared" si="18"/>
        <v>3.2221141690876656</v>
      </c>
      <c r="S25" s="43">
        <f t="shared" si="19"/>
        <v>2.2543821175675411</v>
      </c>
      <c r="T25">
        <f t="shared" si="25"/>
        <v>10.775051657083639</v>
      </c>
      <c r="U25">
        <f t="shared" ref="U25" si="30">+(LN(Q25)-LN(C25))^2</f>
        <v>6.1406192912168527E-2</v>
      </c>
      <c r="V25">
        <f t="shared" ref="V25" si="31">+(LN(R25)-LN(D25))^2</f>
        <v>4.711656502328527E-4</v>
      </c>
      <c r="W25">
        <f t="shared" ref="W25" si="32">+(LN(S25)-LN(E25))^2</f>
        <v>1.795360151664193E-2</v>
      </c>
      <c r="X25">
        <v>10</v>
      </c>
      <c r="Y25">
        <f>+SUM(U25:W25)*X25</f>
        <v>0.79830960079043312</v>
      </c>
      <c r="AA25">
        <f t="shared" si="1"/>
        <v>2012</v>
      </c>
      <c r="AB25" s="39">
        <f t="shared" si="13"/>
        <v>108876.4875052369</v>
      </c>
      <c r="AC25" s="40">
        <f t="shared" si="16"/>
        <v>242442.30292399129</v>
      </c>
      <c r="AD25" s="40">
        <f>+AC25+AB25</f>
        <v>351318.79042922822</v>
      </c>
      <c r="AE25" s="39">
        <f t="shared" si="28"/>
        <v>70263.758085845649</v>
      </c>
      <c r="AF25" s="2"/>
      <c r="AI25" s="5">
        <f t="shared" si="14"/>
        <v>90971.018397823995</v>
      </c>
    </row>
    <row r="26" spans="1:38" ht="14.4" x14ac:dyDescent="0.3">
      <c r="A26">
        <v>2013</v>
      </c>
      <c r="B26" s="51" t="s">
        <v>73</v>
      </c>
      <c r="C26" s="94">
        <v>6.6426321756000002</v>
      </c>
      <c r="D26" s="94">
        <v>4.6520820185999998</v>
      </c>
      <c r="E26" s="94">
        <v>2.9835484796</v>
      </c>
      <c r="G26" s="96">
        <v>42771</v>
      </c>
      <c r="H26" s="29">
        <v>41685</v>
      </c>
      <c r="I26" s="52">
        <v>41503</v>
      </c>
      <c r="J26" s="94">
        <v>2.0303397903999998</v>
      </c>
      <c r="K26" s="94">
        <v>2.6491782343999999</v>
      </c>
      <c r="L26" s="94">
        <v>1.3233221481999999</v>
      </c>
      <c r="M26" s="44">
        <f>+(I26-H25)/365</f>
        <v>0.48493150684931507</v>
      </c>
      <c r="N26" s="44">
        <f>+(I26-I25)/365</f>
        <v>1.0082191780821919</v>
      </c>
      <c r="O26" s="48">
        <f t="shared" ref="O26" si="33">+P26</f>
        <v>6.6339455860279148</v>
      </c>
      <c r="P26" s="47">
        <v>6.6339455860279148</v>
      </c>
      <c r="Q26" s="43">
        <f t="shared" si="8"/>
        <v>6.6339455860279148</v>
      </c>
      <c r="R26" s="43">
        <f t="shared" si="18"/>
        <v>4.5214321046804509</v>
      </c>
      <c r="S26" s="43">
        <f t="shared" si="19"/>
        <v>2.2703868464568178</v>
      </c>
      <c r="T26" s="43">
        <f t="shared" ref="T26" si="34">SUM(Q26:S26)</f>
        <v>13.425764537165184</v>
      </c>
      <c r="U26" s="43">
        <f t="shared" ref="U26" si="35">+(LN(Q26)-LN(C26))^2</f>
        <v>1.7123259279218154E-6</v>
      </c>
      <c r="V26" s="43">
        <f t="shared" ref="V26" si="36">+(LN(R26)-LN(D26))^2</f>
        <v>8.1145700136561576E-4</v>
      </c>
      <c r="W26" s="43">
        <f t="shared" ref="W26" si="37">+(LN(S26)-LN(E26))^2</f>
        <v>7.4618091860060534E-2</v>
      </c>
      <c r="X26" s="43">
        <v>10</v>
      </c>
      <c r="Y26" s="43">
        <f>+SUM(U26:W26)*X26</f>
        <v>0.75431261187354082</v>
      </c>
      <c r="AA26">
        <f t="shared" si="1"/>
        <v>2013</v>
      </c>
      <c r="AB26" s="39">
        <f t="shared" ref="AB26" si="38">+(Q26/O$2)*L26</f>
        <v>139372.54844037938</v>
      </c>
      <c r="AC26" s="49">
        <f t="shared" ref="AC26" si="39">+((R26+S26)/O$2)*K26</f>
        <v>285651.84513573861</v>
      </c>
      <c r="AD26" s="49">
        <f>+AC26+AB26</f>
        <v>425024.39357611799</v>
      </c>
      <c r="AE26" s="39">
        <f t="shared" si="28"/>
        <v>85004.878715223604</v>
      </c>
    </row>
    <row r="27" spans="1:38" x14ac:dyDescent="0.25">
      <c r="A27">
        <v>2014</v>
      </c>
      <c r="B27" s="51" t="s">
        <v>75</v>
      </c>
      <c r="C27" s="95">
        <v>5.2651926895000001</v>
      </c>
      <c r="D27" s="95">
        <v>5.6536188569999997</v>
      </c>
      <c r="E27" s="95">
        <v>3.2306245479000002</v>
      </c>
      <c r="H27" s="4"/>
      <c r="I27" s="29">
        <v>41872</v>
      </c>
      <c r="J27" s="95">
        <v>2.2037531749000001</v>
      </c>
      <c r="K27" s="95">
        <v>2.7601063080000001</v>
      </c>
      <c r="L27" s="95">
        <v>1.3258086354</v>
      </c>
      <c r="M27" s="44">
        <f>+(I27-H26)/365</f>
        <v>0.51232876712328768</v>
      </c>
      <c r="N27" s="44">
        <f>+(I27-I26)/365</f>
        <v>1.010958904109589</v>
      </c>
      <c r="O27" s="48">
        <f t="shared" ref="O27" si="40">+P27</f>
        <v>5.2648863005151911</v>
      </c>
      <c r="P27" s="47">
        <v>5.2648863005151911</v>
      </c>
      <c r="Q27" s="43">
        <f t="shared" ref="Q27" si="41">+O27</f>
        <v>5.2648863005151911</v>
      </c>
      <c r="R27" s="43">
        <f t="shared" ref="R27" si="42">+Q26*O$3</f>
        <v>5.6609646321284819</v>
      </c>
      <c r="S27" s="43">
        <f t="shared" ref="S27" si="43">+(R26+S26)*EXP(P$5*N27)-O$2*G26*EXP(M27*P$5)</f>
        <v>2.7047373822735303</v>
      </c>
      <c r="T27" s="43">
        <f t="shared" ref="T27" si="44">SUM(Q27:S27)</f>
        <v>13.630588314917203</v>
      </c>
      <c r="U27" s="43">
        <f t="shared" ref="U27" si="45">+(LN(Q27)-LN(C27))^2</f>
        <v>3.3864372204789609E-9</v>
      </c>
      <c r="V27" s="43">
        <f t="shared" ref="V27" si="46">+(LN(R27)-LN(D27))^2</f>
        <v>1.6860025589228075E-6</v>
      </c>
      <c r="W27" s="43">
        <f t="shared" ref="W27" si="47">+(LN(S27)-LN(E27))^2</f>
        <v>3.1566861817473368E-2</v>
      </c>
      <c r="X27" s="43">
        <v>10</v>
      </c>
      <c r="Y27" s="43">
        <f>+SUM(U27:W27)*X27</f>
        <v>0.31568551206469508</v>
      </c>
      <c r="AA27">
        <f t="shared" si="1"/>
        <v>2014</v>
      </c>
      <c r="AB27" s="39">
        <f t="shared" ref="AB27" si="48">+(Q27/O$2)*L27</f>
        <v>110817.81810431581</v>
      </c>
      <c r="AC27" s="49">
        <f t="shared" ref="AC27" si="49">+((R27+S27)/O$2)*K27</f>
        <v>366579.31523303239</v>
      </c>
      <c r="AD27" s="49">
        <f>+AC27+AB27</f>
        <v>477397.13333734823</v>
      </c>
      <c r="AE27" s="39">
        <f t="shared" si="28"/>
        <v>95479.426667469656</v>
      </c>
      <c r="AF27" s="9"/>
    </row>
    <row r="28" spans="1:38" x14ac:dyDescent="0.25">
      <c r="B28" s="8"/>
      <c r="H28" s="4"/>
      <c r="I28" s="4"/>
      <c r="AB28" s="12"/>
      <c r="AD28" s="5"/>
      <c r="AE28" s="5"/>
      <c r="AF28" s="9"/>
    </row>
    <row r="29" spans="1:38" x14ac:dyDescent="0.25">
      <c r="H29" s="4"/>
      <c r="I29" s="4"/>
      <c r="O29" s="37"/>
      <c r="P29" s="37"/>
      <c r="AB29" s="12"/>
      <c r="AD29" s="5"/>
      <c r="AE29" s="5"/>
      <c r="AF29" s="9"/>
    </row>
    <row r="30" spans="1:38" x14ac:dyDescent="0.25">
      <c r="H30" s="4"/>
      <c r="I30" s="4"/>
      <c r="N30" s="6"/>
      <c r="O30" s="41"/>
      <c r="P30" s="41"/>
      <c r="AB30" s="12"/>
      <c r="AD30" s="5"/>
      <c r="AE30" s="5"/>
    </row>
    <row r="31" spans="1:38" x14ac:dyDescent="0.25">
      <c r="H31" s="4"/>
      <c r="I31" s="4"/>
      <c r="N31" s="6"/>
      <c r="O31" s="41"/>
      <c r="P31" s="41"/>
      <c r="AA31" s="43">
        <v>2010</v>
      </c>
      <c r="AB31" s="45">
        <v>59189.669726035878</v>
      </c>
      <c r="AC31" s="45">
        <v>160929.71062933843</v>
      </c>
      <c r="AD31" s="45">
        <v>220119.38035537431</v>
      </c>
      <c r="AE31" s="45">
        <v>44023.876071074861</v>
      </c>
    </row>
    <row r="32" spans="1:38" x14ac:dyDescent="0.25">
      <c r="H32" s="4"/>
      <c r="I32" s="4"/>
      <c r="M32" s="6"/>
      <c r="N32" s="6"/>
      <c r="O32" s="6"/>
      <c r="P32" s="6"/>
      <c r="AA32" s="43">
        <v>2011</v>
      </c>
      <c r="AB32" s="45">
        <v>57797.10095522178</v>
      </c>
      <c r="AC32" s="45">
        <v>159400.08447213002</v>
      </c>
      <c r="AD32" s="45">
        <v>217197.1854273518</v>
      </c>
      <c r="AE32" s="45">
        <v>43439.437085470359</v>
      </c>
      <c r="AF32" s="11"/>
    </row>
    <row r="33" spans="8:32" x14ac:dyDescent="0.25">
      <c r="H33" s="4"/>
      <c r="I33" s="4"/>
      <c r="M33" s="6"/>
      <c r="N33" s="6"/>
      <c r="O33" s="6"/>
      <c r="P33" s="6"/>
      <c r="AA33" s="43">
        <v>2012</v>
      </c>
      <c r="AB33" s="39">
        <v>71598.376990354504</v>
      </c>
      <c r="AC33" s="49">
        <v>151346.87980986538</v>
      </c>
      <c r="AD33" s="49">
        <v>222945.25680021988</v>
      </c>
      <c r="AE33" s="39">
        <v>44589.051360043981</v>
      </c>
      <c r="AF33" s="7"/>
    </row>
    <row r="34" spans="8:32" x14ac:dyDescent="0.25">
      <c r="H34" s="4"/>
      <c r="I34" s="4"/>
      <c r="M34" s="6"/>
      <c r="N34" s="6"/>
      <c r="O34" s="6"/>
      <c r="P34" s="6"/>
      <c r="AB34" s="12"/>
      <c r="AD34" s="16"/>
      <c r="AE34" s="16"/>
      <c r="AF34" s="7"/>
    </row>
    <row r="35" spans="8:32" x14ac:dyDescent="0.25">
      <c r="H35" s="4"/>
      <c r="I35" s="4"/>
      <c r="M35" s="6"/>
      <c r="N35" s="6"/>
      <c r="O35" s="6"/>
      <c r="P35" s="6"/>
      <c r="AB35" s="12"/>
      <c r="AD35" s="16"/>
      <c r="AE35" s="16"/>
      <c r="AF35" s="7"/>
    </row>
    <row r="36" spans="8:32" x14ac:dyDescent="0.25">
      <c r="H36" s="4"/>
      <c r="I36" s="4"/>
      <c r="M36" s="6"/>
      <c r="N36" s="6"/>
      <c r="O36" s="6"/>
      <c r="P36" s="6"/>
      <c r="AB36" s="12"/>
      <c r="AC36" s="13"/>
      <c r="AD36" s="16"/>
      <c r="AE36" s="16"/>
      <c r="AF36" s="7"/>
    </row>
    <row r="37" spans="8:32" x14ac:dyDescent="0.25">
      <c r="H37" s="4"/>
      <c r="I37" s="4"/>
      <c r="M37" s="6"/>
      <c r="N37" s="6"/>
      <c r="O37" s="6"/>
      <c r="P37" s="6"/>
      <c r="AA37" s="43">
        <v>1996</v>
      </c>
      <c r="AB37" s="45">
        <v>0</v>
      </c>
      <c r="AC37" s="45">
        <v>0</v>
      </c>
      <c r="AD37" s="45">
        <v>0</v>
      </c>
      <c r="AE37" s="45">
        <v>0</v>
      </c>
    </row>
    <row r="38" spans="8:32" x14ac:dyDescent="0.25">
      <c r="H38" s="4"/>
      <c r="I38" s="4"/>
      <c r="M38" s="6"/>
      <c r="N38" s="6"/>
      <c r="O38" s="6"/>
      <c r="P38" s="6"/>
      <c r="AA38" s="43">
        <v>1997</v>
      </c>
      <c r="AB38" s="45">
        <v>148726.91947241582</v>
      </c>
      <c r="AC38" s="45">
        <v>428265.75736047613</v>
      </c>
      <c r="AD38" s="45">
        <v>576992.676832892</v>
      </c>
      <c r="AE38" s="45">
        <v>115398.53536657841</v>
      </c>
    </row>
    <row r="39" spans="8:32" x14ac:dyDescent="0.25">
      <c r="H39" s="4"/>
      <c r="I39" s="4"/>
      <c r="M39" s="6"/>
      <c r="N39" s="6"/>
      <c r="O39" s="6"/>
      <c r="P39" s="6"/>
      <c r="AA39" s="43">
        <v>1998</v>
      </c>
      <c r="AB39" s="45">
        <v>99749.759576702389</v>
      </c>
      <c r="AC39" s="45">
        <v>465139.34599215962</v>
      </c>
      <c r="AD39" s="45">
        <v>564889.10556886205</v>
      </c>
      <c r="AE39" s="45">
        <v>112977.82111377241</v>
      </c>
    </row>
    <row r="40" spans="8:32" x14ac:dyDescent="0.25">
      <c r="H40" s="4"/>
      <c r="I40" s="4"/>
      <c r="M40" s="6"/>
      <c r="N40" s="6"/>
      <c r="O40" s="6"/>
      <c r="P40" s="6"/>
      <c r="AA40" s="43">
        <v>1999</v>
      </c>
      <c r="AB40" s="45">
        <v>55682.495984177127</v>
      </c>
      <c r="AC40" s="45">
        <v>347408.90819608618</v>
      </c>
      <c r="AD40" s="45">
        <v>403091.40418026329</v>
      </c>
      <c r="AE40" s="45">
        <v>80618.280836052669</v>
      </c>
    </row>
    <row r="41" spans="8:32" x14ac:dyDescent="0.25">
      <c r="H41" s="4"/>
      <c r="I41" s="4"/>
      <c r="M41" s="6"/>
      <c r="N41" s="6"/>
      <c r="O41" s="6"/>
      <c r="P41" s="6"/>
      <c r="AA41" s="43">
        <v>2000</v>
      </c>
      <c r="AB41" s="45">
        <v>82987.150235955574</v>
      </c>
      <c r="AC41" s="45">
        <v>197865.87981932546</v>
      </c>
      <c r="AD41" s="45">
        <v>280853.03005528101</v>
      </c>
      <c r="AE41" s="45">
        <v>56170.606011056203</v>
      </c>
    </row>
    <row r="42" spans="8:32" x14ac:dyDescent="0.25">
      <c r="H42" s="4"/>
      <c r="I42" s="4"/>
      <c r="M42" s="6"/>
      <c r="N42" s="6"/>
      <c r="O42" s="6"/>
      <c r="P42" s="6"/>
      <c r="AA42" s="43">
        <v>2001</v>
      </c>
      <c r="AB42" s="45">
        <v>86419.898510214174</v>
      </c>
      <c r="AC42" s="45">
        <v>185244.41342371074</v>
      </c>
      <c r="AD42" s="45">
        <v>271664.31193392491</v>
      </c>
      <c r="AE42" s="45">
        <v>54332.862386784982</v>
      </c>
    </row>
    <row r="43" spans="8:32" x14ac:dyDescent="0.25">
      <c r="H43" s="4"/>
      <c r="I43" s="4"/>
      <c r="M43" s="6"/>
      <c r="N43" s="6"/>
      <c r="O43" s="6"/>
      <c r="P43" s="6"/>
      <c r="AA43" s="43">
        <v>2002</v>
      </c>
      <c r="AB43" s="45">
        <v>64417.405266375143</v>
      </c>
      <c r="AC43" s="45">
        <v>190506.01921315672</v>
      </c>
      <c r="AD43" s="45">
        <v>254923.42447953185</v>
      </c>
      <c r="AE43" s="45">
        <v>50984.684895906372</v>
      </c>
    </row>
    <row r="44" spans="8:32" x14ac:dyDescent="0.25">
      <c r="H44" s="4"/>
      <c r="I44" s="4"/>
      <c r="M44" s="6"/>
      <c r="N44" s="6"/>
      <c r="O44" s="6"/>
      <c r="P44" s="6"/>
      <c r="AA44" s="43">
        <v>2003</v>
      </c>
      <c r="AB44" s="45">
        <v>64582.694501134196</v>
      </c>
      <c r="AC44" s="45">
        <v>160410.40671216504</v>
      </c>
      <c r="AD44" s="45">
        <v>224993.10121329923</v>
      </c>
      <c r="AE44" s="45">
        <v>44998.620242659847</v>
      </c>
    </row>
    <row r="45" spans="8:32" x14ac:dyDescent="0.25">
      <c r="H45" s="4"/>
      <c r="I45" s="4"/>
      <c r="M45" s="6"/>
      <c r="N45" s="6"/>
      <c r="O45" s="6"/>
      <c r="P45" s="6"/>
      <c r="AA45" s="43">
        <v>2004</v>
      </c>
      <c r="AB45" s="45">
        <v>51577.188249278654</v>
      </c>
      <c r="AC45" s="45">
        <v>157079.7360689397</v>
      </c>
      <c r="AD45" s="45">
        <v>208656.92431821837</v>
      </c>
      <c r="AE45" s="45">
        <v>41731.384863643674</v>
      </c>
    </row>
    <row r="46" spans="8:32" x14ac:dyDescent="0.25">
      <c r="H46" s="4"/>
      <c r="I46" s="4"/>
      <c r="M46" s="6"/>
      <c r="N46" s="6"/>
      <c r="O46" s="6"/>
      <c r="AA46" s="43">
        <v>2005</v>
      </c>
      <c r="AB46" s="45">
        <v>53944.606723563731</v>
      </c>
      <c r="AC46" s="45">
        <v>161580.4322899559</v>
      </c>
      <c r="AD46" s="45">
        <v>215525.03901351965</v>
      </c>
      <c r="AE46" s="45">
        <v>43105.007802703934</v>
      </c>
    </row>
    <row r="47" spans="8:32" x14ac:dyDescent="0.25">
      <c r="H47" s="4"/>
      <c r="I47" s="4"/>
      <c r="M47" s="6"/>
      <c r="N47" s="6"/>
      <c r="O47" s="6"/>
      <c r="AA47" s="43">
        <v>2006</v>
      </c>
      <c r="AB47" s="45">
        <v>57989.233008865762</v>
      </c>
      <c r="AC47" s="45">
        <v>161819.67201925861</v>
      </c>
      <c r="AD47" s="45">
        <v>219808.90502812437</v>
      </c>
      <c r="AE47" s="45">
        <v>43961.781005624878</v>
      </c>
    </row>
    <row r="48" spans="8:32" x14ac:dyDescent="0.25">
      <c r="H48" s="4"/>
      <c r="I48" s="4"/>
      <c r="AA48" s="43">
        <v>2007</v>
      </c>
      <c r="AB48" s="45">
        <v>75607.957355570965</v>
      </c>
      <c r="AC48" s="45">
        <v>179192.51937041999</v>
      </c>
      <c r="AD48" s="45">
        <v>254800.47672599094</v>
      </c>
      <c r="AE48" s="45">
        <v>50960.095345198191</v>
      </c>
    </row>
    <row r="49" spans="8:31" x14ac:dyDescent="0.25">
      <c r="H49" s="4"/>
      <c r="I49" s="4"/>
      <c r="AA49" s="43">
        <v>2008</v>
      </c>
      <c r="AB49" s="45">
        <v>64719.122280802309</v>
      </c>
      <c r="AC49" s="45">
        <v>221559.1175534061</v>
      </c>
      <c r="AD49" s="45">
        <v>286278.23983420839</v>
      </c>
      <c r="AE49" s="45">
        <v>57255.64796684168</v>
      </c>
    </row>
    <row r="50" spans="8:31" x14ac:dyDescent="0.25">
      <c r="H50" s="4"/>
      <c r="I50" s="4"/>
      <c r="AA50" s="43">
        <v>2009</v>
      </c>
      <c r="AB50" s="45">
        <v>56051.511073612972</v>
      </c>
      <c r="AC50" s="45">
        <v>217243.25044332171</v>
      </c>
      <c r="AD50" s="45">
        <v>273294.76151693467</v>
      </c>
      <c r="AE50" s="45">
        <v>54658.952303386934</v>
      </c>
    </row>
    <row r="51" spans="8:31" x14ac:dyDescent="0.25">
      <c r="H51" s="4"/>
      <c r="I51" s="4"/>
      <c r="AA51" s="43">
        <v>2010</v>
      </c>
      <c r="AB51" s="45">
        <v>71311.019826788994</v>
      </c>
      <c r="AC51" s="45">
        <v>175972.23166926857</v>
      </c>
      <c r="AD51" s="45">
        <v>247283.25149605755</v>
      </c>
      <c r="AE51" s="45">
        <v>49456.650299211513</v>
      </c>
    </row>
    <row r="52" spans="8:31" x14ac:dyDescent="0.25">
      <c r="H52" s="4"/>
      <c r="I52" s="4"/>
      <c r="AA52" s="43">
        <v>2011</v>
      </c>
      <c r="AB52" s="45">
        <v>69223.060814419441</v>
      </c>
      <c r="AC52" s="45">
        <v>193809.63019746752</v>
      </c>
      <c r="AD52" s="45">
        <v>263032.69101188693</v>
      </c>
      <c r="AE52" s="45">
        <v>52606.538202377385</v>
      </c>
    </row>
    <row r="53" spans="8:31" x14ac:dyDescent="0.25">
      <c r="H53" s="4"/>
      <c r="I53" s="4"/>
      <c r="AA53" s="43">
        <v>2012</v>
      </c>
      <c r="AB53" s="39">
        <v>88715.508976427824</v>
      </c>
      <c r="AC53" s="49">
        <v>200151.65168060194</v>
      </c>
      <c r="AD53" s="49">
        <v>288867.16065702977</v>
      </c>
      <c r="AE53" s="39">
        <v>57773.432131405956</v>
      </c>
    </row>
    <row r="54" spans="8:31" x14ac:dyDescent="0.25">
      <c r="H54" s="4"/>
      <c r="I54" s="4"/>
      <c r="AA54" s="43">
        <v>2013</v>
      </c>
      <c r="AB54" s="39">
        <v>120786.35007186873</v>
      </c>
      <c r="AC54" s="49">
        <v>224604.22357392189</v>
      </c>
      <c r="AD54" s="49">
        <v>345390.57364579063</v>
      </c>
      <c r="AE54" s="39">
        <v>69078.114729158129</v>
      </c>
    </row>
    <row r="55" spans="8:31" x14ac:dyDescent="0.25">
      <c r="H55" s="4"/>
      <c r="I55" s="4"/>
    </row>
    <row r="56" spans="8:31" x14ac:dyDescent="0.25">
      <c r="H56" s="4"/>
      <c r="I56" s="4"/>
    </row>
    <row r="57" spans="8:31" x14ac:dyDescent="0.25">
      <c r="H57" s="4"/>
      <c r="I57" s="4"/>
    </row>
    <row r="58" spans="8:31" x14ac:dyDescent="0.25">
      <c r="H58" s="4"/>
      <c r="I58" s="4"/>
    </row>
    <row r="59" spans="8:31" x14ac:dyDescent="0.25">
      <c r="H59" s="4"/>
      <c r="I59" s="4"/>
    </row>
    <row r="60" spans="8:31" x14ac:dyDescent="0.25">
      <c r="H60" s="4"/>
      <c r="I60" s="4"/>
    </row>
    <row r="61" spans="8:31" x14ac:dyDescent="0.25">
      <c r="H61" s="4"/>
      <c r="I61" s="4"/>
    </row>
    <row r="62" spans="8:31" x14ac:dyDescent="0.25">
      <c r="H62" s="4"/>
      <c r="I62" s="4"/>
    </row>
    <row r="63" spans="8:31" x14ac:dyDescent="0.25">
      <c r="H63" s="4"/>
      <c r="I63" s="4"/>
    </row>
    <row r="64" spans="8:31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</sheetData>
  <mergeCells count="19">
    <mergeCell ref="C1:M1"/>
    <mergeCell ref="M7:M8"/>
    <mergeCell ref="A7:A8"/>
    <mergeCell ref="B7:B8"/>
    <mergeCell ref="C7:C8"/>
    <mergeCell ref="D7:D8"/>
    <mergeCell ref="E7:E8"/>
    <mergeCell ref="G7:G8"/>
    <mergeCell ref="H7:H8"/>
    <mergeCell ref="I7:I8"/>
    <mergeCell ref="J7:J8"/>
    <mergeCell ref="K7:K8"/>
    <mergeCell ref="L7:L8"/>
    <mergeCell ref="AI7:AI8"/>
    <mergeCell ref="AE7:AE8"/>
    <mergeCell ref="N7:N8"/>
    <mergeCell ref="AB7:AB8"/>
    <mergeCell ref="AC7:AC8"/>
    <mergeCell ref="AD7:AD8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"/>
  <dimension ref="A2:G10"/>
  <sheetViews>
    <sheetView workbookViewId="0">
      <selection activeCell="G9" sqref="G9"/>
    </sheetView>
  </sheetViews>
  <sheetFormatPr defaultRowHeight="13.2" x14ac:dyDescent="0.25"/>
  <sheetData>
    <row r="2" spans="1:7" x14ac:dyDescent="0.25">
      <c r="A2" s="31">
        <v>41288</v>
      </c>
    </row>
    <row r="3" spans="1:7" x14ac:dyDescent="0.25">
      <c r="A3" s="18" t="s">
        <v>63</v>
      </c>
    </row>
    <row r="6" spans="1:7" x14ac:dyDescent="0.25">
      <c r="A6" s="18" t="s">
        <v>64</v>
      </c>
      <c r="C6" s="18" t="s">
        <v>65</v>
      </c>
      <c r="D6" s="31">
        <v>41085</v>
      </c>
      <c r="F6">
        <f>(D7-D6)/2</f>
        <v>50.5</v>
      </c>
      <c r="G6" s="31">
        <f>D6+F6</f>
        <v>41135.5</v>
      </c>
    </row>
    <row r="7" spans="1:7" x14ac:dyDescent="0.25">
      <c r="C7" s="18" t="s">
        <v>66</v>
      </c>
      <c r="D7" s="31">
        <v>41186</v>
      </c>
    </row>
    <row r="9" spans="1:7" x14ac:dyDescent="0.25">
      <c r="C9" s="18" t="s">
        <v>65</v>
      </c>
      <c r="D9" s="31">
        <v>41455</v>
      </c>
      <c r="F9" s="43">
        <f>(D10-D9)/2</f>
        <v>48</v>
      </c>
      <c r="G9" s="31">
        <f>D9+F9</f>
        <v>41503</v>
      </c>
    </row>
    <row r="10" spans="1:7" x14ac:dyDescent="0.25">
      <c r="C10" s="18" t="s">
        <v>66</v>
      </c>
      <c r="D10" s="31">
        <v>41551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94"/>
  <sheetViews>
    <sheetView workbookViewId="0">
      <pane ySplit="840" activePane="bottomLeft"/>
      <selection activeCell="P1" sqref="P1"/>
      <selection pane="bottomLeft" activeCell="C10" sqref="C10:E25"/>
    </sheetView>
  </sheetViews>
  <sheetFormatPr defaultColWidth="9.109375" defaultRowHeight="13.2" x14ac:dyDescent="0.25"/>
  <cols>
    <col min="1" max="1" width="7.109375" style="56" customWidth="1"/>
    <col min="2" max="2" width="7.5546875" style="56" customWidth="1"/>
    <col min="3" max="3" width="6" style="56" customWidth="1"/>
    <col min="4" max="4" width="6.6640625" style="56" customWidth="1"/>
    <col min="5" max="5" width="6.33203125" style="56" customWidth="1"/>
    <col min="6" max="6" width="2" style="56" customWidth="1"/>
    <col min="7" max="7" width="9.109375" style="56"/>
    <col min="8" max="9" width="9.6640625" style="56" customWidth="1"/>
    <col min="10" max="11" width="7.33203125" style="56" customWidth="1"/>
    <col min="12" max="12" width="9.109375" style="56" customWidth="1"/>
    <col min="13" max="13" width="13.44140625" style="56" customWidth="1"/>
    <col min="14" max="14" width="10.88671875" style="56" customWidth="1"/>
    <col min="15" max="15" width="10.33203125" style="56" customWidth="1"/>
    <col min="16" max="16" width="10.5546875" style="56" customWidth="1"/>
    <col min="17" max="19" width="9.109375" style="56"/>
    <col min="20" max="20" width="14" style="56" customWidth="1"/>
    <col min="21" max="23" width="9.109375" style="56"/>
    <col min="24" max="24" width="7.33203125" style="56" customWidth="1"/>
    <col min="25" max="26" width="9.109375" style="56"/>
    <col min="27" max="27" width="7.6640625" style="56" customWidth="1"/>
    <col min="28" max="29" width="11.5546875" style="56" customWidth="1"/>
    <col min="30" max="30" width="10.5546875" style="56" bestFit="1" customWidth="1"/>
    <col min="31" max="33" width="9.109375" style="56"/>
    <col min="34" max="34" width="19.5546875" style="56" customWidth="1"/>
    <col min="35" max="16384" width="9.109375" style="56"/>
  </cols>
  <sheetData>
    <row r="1" spans="1:38" ht="15" thickBot="1" x14ac:dyDescent="0.3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 t="s">
        <v>19</v>
      </c>
      <c r="O1" s="53"/>
      <c r="P1" s="53"/>
      <c r="Q1" s="53"/>
      <c r="R1" s="53"/>
      <c r="S1" s="55" t="s">
        <v>47</v>
      </c>
    </row>
    <row r="2" spans="1:38" ht="14.4" x14ac:dyDescent="0.3">
      <c r="A2" s="53" t="s">
        <v>48</v>
      </c>
      <c r="B2" s="53" t="s">
        <v>53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7" t="s">
        <v>49</v>
      </c>
      <c r="O2" s="58">
        <f>P2/1000000</f>
        <v>9.1523957594612639E-5</v>
      </c>
      <c r="P2" s="59">
        <v>91.523957594612639</v>
      </c>
      <c r="Q2" s="53"/>
      <c r="R2" s="53"/>
      <c r="S2" s="60">
        <f>SUM(Y10:Y25)</f>
        <v>22.373796710043159</v>
      </c>
    </row>
    <row r="3" spans="1:38" ht="14.4" x14ac:dyDescent="0.3">
      <c r="A3" s="53" t="s">
        <v>1</v>
      </c>
      <c r="B3" s="53">
        <v>2013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7" t="s">
        <v>50</v>
      </c>
      <c r="O3" s="58">
        <f>P3/100</f>
        <v>0.83160606261434478</v>
      </c>
      <c r="P3" s="59">
        <v>83.160606261434481</v>
      </c>
      <c r="Q3" s="53"/>
      <c r="R3" s="53"/>
      <c r="S3" s="53"/>
    </row>
    <row r="4" spans="1:38" ht="14.4" x14ac:dyDescent="0.3">
      <c r="A4" s="61" t="s">
        <v>51</v>
      </c>
      <c r="B4" s="53">
        <v>1</v>
      </c>
      <c r="C4" s="53" t="s">
        <v>54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7" t="s">
        <v>52</v>
      </c>
      <c r="O4" s="53">
        <v>-0.3</v>
      </c>
      <c r="P4" s="53">
        <v>0.74081822068171788</v>
      </c>
      <c r="Q4" s="53"/>
      <c r="R4" s="53"/>
      <c r="S4" s="53"/>
    </row>
    <row r="5" spans="1:38" x14ac:dyDescent="0.25">
      <c r="C5" s="62" t="s">
        <v>55</v>
      </c>
    </row>
    <row r="6" spans="1:38" x14ac:dyDescent="0.25">
      <c r="Q6" s="56" t="s">
        <v>20</v>
      </c>
    </row>
    <row r="7" spans="1:38" ht="12.75" customHeight="1" x14ac:dyDescent="0.25">
      <c r="A7" s="147" t="s">
        <v>2</v>
      </c>
      <c r="B7" s="147" t="s">
        <v>3</v>
      </c>
      <c r="C7" s="147" t="s">
        <v>4</v>
      </c>
      <c r="D7" s="147" t="s">
        <v>0</v>
      </c>
      <c r="E7" s="147" t="s">
        <v>5</v>
      </c>
      <c r="G7" s="147" t="s">
        <v>6</v>
      </c>
      <c r="H7" s="146" t="s">
        <v>7</v>
      </c>
      <c r="I7" s="146" t="s">
        <v>8</v>
      </c>
      <c r="J7" s="147" t="s">
        <v>9</v>
      </c>
      <c r="K7" s="147" t="s">
        <v>10</v>
      </c>
      <c r="L7" s="147" t="s">
        <v>11</v>
      </c>
      <c r="M7" s="147" t="s">
        <v>12</v>
      </c>
      <c r="N7" s="147" t="s">
        <v>13</v>
      </c>
      <c r="O7" s="56" t="s">
        <v>14</v>
      </c>
      <c r="P7" s="56">
        <v>-0.3</v>
      </c>
      <c r="Q7" s="56">
        <f>+EXP(P7)</f>
        <v>0.74081822068171788</v>
      </c>
      <c r="AB7" s="147" t="s">
        <v>15</v>
      </c>
      <c r="AC7" s="147" t="s">
        <v>16</v>
      </c>
      <c r="AD7" s="147" t="s">
        <v>17</v>
      </c>
      <c r="AE7" s="147" t="s">
        <v>18</v>
      </c>
      <c r="AF7" s="63"/>
      <c r="AI7" s="145" t="s">
        <v>62</v>
      </c>
    </row>
    <row r="8" spans="1:38" ht="12.75" customHeight="1" x14ac:dyDescent="0.25">
      <c r="A8" s="147"/>
      <c r="B8" s="147"/>
      <c r="C8" s="147"/>
      <c r="D8" s="147"/>
      <c r="E8" s="147"/>
      <c r="G8" s="147"/>
      <c r="H8" s="146"/>
      <c r="I8" s="146"/>
      <c r="J8" s="147"/>
      <c r="K8" s="147"/>
      <c r="L8" s="147"/>
      <c r="M8" s="147"/>
      <c r="N8" s="147"/>
      <c r="O8" s="56" t="s">
        <v>19</v>
      </c>
      <c r="Q8" s="64" t="s">
        <v>57</v>
      </c>
      <c r="R8" s="64" t="s">
        <v>58</v>
      </c>
      <c r="S8" s="64" t="s">
        <v>59</v>
      </c>
      <c r="T8" s="65" t="s">
        <v>60</v>
      </c>
      <c r="U8" s="65" t="s">
        <v>61</v>
      </c>
      <c r="AB8" s="147"/>
      <c r="AC8" s="147"/>
      <c r="AD8" s="147"/>
      <c r="AE8" s="147"/>
      <c r="AF8" s="63"/>
      <c r="AI8" s="145"/>
    </row>
    <row r="9" spans="1:38" x14ac:dyDescent="0.25">
      <c r="A9" s="56">
        <v>1996</v>
      </c>
      <c r="B9" s="56" t="s">
        <v>23</v>
      </c>
      <c r="G9" s="66">
        <v>45381</v>
      </c>
      <c r="H9" s="67">
        <v>35479</v>
      </c>
      <c r="I9" s="68"/>
      <c r="J9" s="69"/>
      <c r="K9" s="69"/>
      <c r="L9" s="69"/>
      <c r="M9" s="70"/>
      <c r="N9" s="70"/>
      <c r="O9" s="71">
        <f t="shared" ref="O9:O27" si="0">+P9</f>
        <v>2.0467375936536647</v>
      </c>
      <c r="P9" s="59">
        <v>2.0467375936536647</v>
      </c>
      <c r="AA9" s="56">
        <f t="shared" ref="AA9:AA25" si="1">+A9</f>
        <v>1996</v>
      </c>
      <c r="AB9" s="72">
        <f>+(Q9/O$2)*L9</f>
        <v>0</v>
      </c>
      <c r="AC9" s="72">
        <f>+((R9+S9)/O$2)*K9</f>
        <v>0</v>
      </c>
      <c r="AD9" s="72">
        <f t="shared" ref="AD9:AD23" si="2">+AC9+AB9</f>
        <v>0</v>
      </c>
      <c r="AE9" s="72">
        <f t="shared" ref="AE9:AE21" si="3">+AD9*0.2</f>
        <v>0</v>
      </c>
      <c r="AK9" s="56">
        <f t="shared" ref="AK9:AK18" si="4">+S9</f>
        <v>0</v>
      </c>
      <c r="AL9" s="56">
        <f t="shared" ref="AL9:AL18" si="5">+E9</f>
        <v>0</v>
      </c>
    </row>
    <row r="10" spans="1:38" x14ac:dyDescent="0.25">
      <c r="A10" s="56">
        <v>1997</v>
      </c>
      <c r="B10" s="56" t="s">
        <v>24</v>
      </c>
      <c r="C10" s="73">
        <v>7.0588235299999997</v>
      </c>
      <c r="D10" s="73">
        <v>8.1617647099999999</v>
      </c>
      <c r="E10" s="73">
        <v>3.95588235</v>
      </c>
      <c r="G10" s="66">
        <v>65387</v>
      </c>
      <c r="H10" s="67">
        <v>35844</v>
      </c>
      <c r="I10" s="74">
        <v>35709</v>
      </c>
      <c r="J10" s="75">
        <v>2.26756117</v>
      </c>
      <c r="K10" s="75">
        <v>2.7383306200000002</v>
      </c>
      <c r="L10" s="75">
        <v>1.3311393300000001</v>
      </c>
      <c r="M10" s="70">
        <f t="shared" ref="M10:M22" si="6">+(I10-H9)/365</f>
        <v>0.63013698630136983</v>
      </c>
      <c r="N10" s="70">
        <f t="shared" ref="N10:N22" si="7">+(I10-I9)/365</f>
        <v>97.832876712328769</v>
      </c>
      <c r="O10" s="71">
        <f t="shared" si="0"/>
        <v>4.2681418000543703</v>
      </c>
      <c r="P10" s="59">
        <v>4.2681418000543703</v>
      </c>
      <c r="Q10" s="56">
        <f t="shared" ref="Q10:Q25" si="8">+O12</f>
        <v>10.284792172918937</v>
      </c>
      <c r="R10" s="56">
        <f>+O11</f>
        <v>9.7000148506388069</v>
      </c>
      <c r="S10" s="56">
        <f>+O10</f>
        <v>4.2681418000543703</v>
      </c>
      <c r="T10" s="56">
        <f>SUM(Q10:S10)</f>
        <v>24.252948823612112</v>
      </c>
      <c r="U10" s="56">
        <f t="shared" ref="U10:W25" si="9">+(LN(Q10)-LN(C10))^2</f>
        <v>0.14166786427263509</v>
      </c>
      <c r="V10" s="56">
        <f t="shared" si="9"/>
        <v>2.9813895453804119E-2</v>
      </c>
      <c r="W10" s="56">
        <f t="shared" si="9"/>
        <v>5.7721828788651159E-3</v>
      </c>
      <c r="X10" s="56">
        <v>10</v>
      </c>
      <c r="Y10" s="56">
        <f t="shared" ref="Y10:Y18" si="10">+SUM(U10:W10)*X10</f>
        <v>1.7725394260530432</v>
      </c>
      <c r="AA10" s="56">
        <f t="shared" si="1"/>
        <v>1997</v>
      </c>
      <c r="AB10" s="72">
        <f t="shared" ref="AB10:AB25" si="11">+(Q10/O$2)*L10</f>
        <v>149583.69067570151</v>
      </c>
      <c r="AC10" s="72">
        <f>+((R10+S10)/O$2)*K10</f>
        <v>417917.14504925697</v>
      </c>
      <c r="AD10" s="72">
        <f t="shared" si="2"/>
        <v>567500.83572495845</v>
      </c>
      <c r="AE10" s="72">
        <f t="shared" si="3"/>
        <v>113500.16714499169</v>
      </c>
      <c r="AI10" s="72">
        <f t="shared" ref="AI10:AI25" si="12">G10*K10</f>
        <v>179051.22424994002</v>
      </c>
      <c r="AK10" s="56">
        <f t="shared" si="4"/>
        <v>4.2681418000543703</v>
      </c>
      <c r="AL10" s="56">
        <f t="shared" si="5"/>
        <v>3.95588235</v>
      </c>
    </row>
    <row r="11" spans="1:38" x14ac:dyDescent="0.25">
      <c r="A11" s="56">
        <v>1998</v>
      </c>
      <c r="B11" s="56" t="s">
        <v>25</v>
      </c>
      <c r="C11" s="73">
        <v>6.0731707300000002</v>
      </c>
      <c r="D11" s="73">
        <v>18.097560999999999</v>
      </c>
      <c r="E11" s="73">
        <v>8.5365853699999992</v>
      </c>
      <c r="G11" s="66">
        <v>58057</v>
      </c>
      <c r="H11" s="67">
        <v>36209</v>
      </c>
      <c r="I11" s="74">
        <v>35982</v>
      </c>
      <c r="J11" s="75">
        <v>2.54976855</v>
      </c>
      <c r="K11" s="75">
        <v>2.8723231999999999</v>
      </c>
      <c r="L11" s="75">
        <v>1.34967554</v>
      </c>
      <c r="M11" s="70">
        <f t="shared" si="6"/>
        <v>0.37808219178082192</v>
      </c>
      <c r="N11" s="70">
        <f t="shared" si="7"/>
        <v>0.74794520547945209</v>
      </c>
      <c r="O11" s="71">
        <f t="shared" si="0"/>
        <v>9.7000148506388069</v>
      </c>
      <c r="P11" s="59">
        <v>9.7000148506388069</v>
      </c>
      <c r="Q11" s="56">
        <f t="shared" si="8"/>
        <v>6.9168711686237154</v>
      </c>
      <c r="R11" s="56">
        <f>+Q10*O$3</f>
        <v>8.5528955237279494</v>
      </c>
      <c r="S11" s="56">
        <f>+(R10+S10)*EXP(P$7*N11)-O$2*G10*EXP(M11*P$7)</f>
        <v>5.8179071141444023</v>
      </c>
      <c r="T11" s="56">
        <f t="shared" ref="T11:T19" si="13">SUM(Q11:S11)</f>
        <v>21.287673806496066</v>
      </c>
      <c r="U11" s="56">
        <f t="shared" si="9"/>
        <v>1.6921507444867895E-2</v>
      </c>
      <c r="V11" s="56">
        <f t="shared" si="9"/>
        <v>0.56176118443037837</v>
      </c>
      <c r="W11" s="56">
        <f>+(LN(S11)-LN(E11))^2</f>
        <v>0.14701127489302576</v>
      </c>
      <c r="X11" s="56">
        <v>10</v>
      </c>
      <c r="Y11" s="56">
        <f t="shared" si="10"/>
        <v>7.2569396676827207</v>
      </c>
      <c r="AA11" s="56">
        <f t="shared" si="1"/>
        <v>1998</v>
      </c>
      <c r="AB11" s="72">
        <f t="shared" si="11"/>
        <v>102000.96319012498</v>
      </c>
      <c r="AC11" s="72">
        <f t="shared" ref="AC11:AC25" si="14">+((R11+S11)/O$2)*K11</f>
        <v>451003.11332922155</v>
      </c>
      <c r="AD11" s="72">
        <f t="shared" si="2"/>
        <v>553004.07651934656</v>
      </c>
      <c r="AE11" s="72">
        <f t="shared" si="3"/>
        <v>110600.81530386931</v>
      </c>
      <c r="AH11" s="76">
        <f t="shared" ref="AH11:AH24" si="15">(AC11-AC10)/AC10</f>
        <v>7.9168726796468164E-2</v>
      </c>
      <c r="AI11" s="72">
        <f t="shared" si="12"/>
        <v>166758.46802239999</v>
      </c>
      <c r="AK11" s="56">
        <f t="shared" si="4"/>
        <v>5.8179071141444023</v>
      </c>
      <c r="AL11" s="56">
        <f t="shared" si="5"/>
        <v>8.5365853699999992</v>
      </c>
    </row>
    <row r="12" spans="1:38" x14ac:dyDescent="0.25">
      <c r="A12" s="56">
        <v>1999</v>
      </c>
      <c r="B12" s="56" t="s">
        <v>26</v>
      </c>
      <c r="C12" s="73">
        <v>3.06666667</v>
      </c>
      <c r="D12" s="73">
        <v>6.8833333300000001</v>
      </c>
      <c r="E12" s="73">
        <v>4</v>
      </c>
      <c r="G12" s="66">
        <v>65506</v>
      </c>
      <c r="H12" s="67">
        <v>36574</v>
      </c>
      <c r="I12" s="74">
        <v>36454</v>
      </c>
      <c r="J12" s="75">
        <v>2.3350459099999998</v>
      </c>
      <c r="K12" s="75">
        <v>2.76881055</v>
      </c>
      <c r="L12" s="75">
        <v>1.2857182199999999</v>
      </c>
      <c r="M12" s="70">
        <f t="shared" si="6"/>
        <v>0.67123287671232879</v>
      </c>
      <c r="N12" s="70">
        <f t="shared" si="7"/>
        <v>1.2931506849315069</v>
      </c>
      <c r="O12" s="71">
        <f t="shared" si="0"/>
        <v>10.284792172918937</v>
      </c>
      <c r="P12" s="59">
        <v>10.284792172918937</v>
      </c>
      <c r="Q12" s="56">
        <f t="shared" si="8"/>
        <v>4.2431469565384443</v>
      </c>
      <c r="R12" s="56">
        <f t="shared" ref="R12:R25" si="16">+Q11*O$3</f>
        <v>5.7521119981498492</v>
      </c>
      <c r="S12" s="56">
        <f t="shared" ref="S12:S25" si="17">+(R11+S11)*EXP(P$7*N12)-O$2*G11*EXP(M12*P$7)</f>
        <v>5.4054065320986879</v>
      </c>
      <c r="T12" s="56">
        <f t="shared" si="13"/>
        <v>15.400665486786981</v>
      </c>
      <c r="U12" s="56">
        <f t="shared" si="9"/>
        <v>0.10543918452462712</v>
      </c>
      <c r="V12" s="56">
        <f t="shared" si="9"/>
        <v>3.2233153341968669E-2</v>
      </c>
      <c r="W12" s="56">
        <f t="shared" si="9"/>
        <v>9.0664402424086007E-2</v>
      </c>
      <c r="X12" s="56">
        <v>10</v>
      </c>
      <c r="Y12" s="56">
        <f t="shared" si="10"/>
        <v>2.2833674029068178</v>
      </c>
      <c r="AA12" s="56">
        <f t="shared" si="1"/>
        <v>1999</v>
      </c>
      <c r="AB12" s="72">
        <f t="shared" si="11"/>
        <v>59607.249244214843</v>
      </c>
      <c r="AC12" s="72">
        <f t="shared" si="14"/>
        <v>337540.63777713105</v>
      </c>
      <c r="AD12" s="72">
        <f t="shared" si="2"/>
        <v>397147.8870213459</v>
      </c>
      <c r="AE12" s="72">
        <f t="shared" si="3"/>
        <v>79429.577404269192</v>
      </c>
      <c r="AH12" s="76">
        <f t="shared" si="15"/>
        <v>-0.25157803172251186</v>
      </c>
      <c r="AI12" s="72">
        <f t="shared" si="12"/>
        <v>181373.70388829999</v>
      </c>
      <c r="AK12" s="56">
        <f t="shared" si="4"/>
        <v>5.4054065320986879</v>
      </c>
      <c r="AL12" s="56">
        <f t="shared" si="5"/>
        <v>4</v>
      </c>
    </row>
    <row r="13" spans="1:38" x14ac:dyDescent="0.25">
      <c r="A13" s="56">
        <v>2000</v>
      </c>
      <c r="B13" s="56" t="s">
        <v>27</v>
      </c>
      <c r="C13" s="73">
        <v>4.89230769</v>
      </c>
      <c r="D13" s="73">
        <v>3.8769230800000001</v>
      </c>
      <c r="E13" s="73">
        <v>2.6</v>
      </c>
      <c r="G13" s="66">
        <v>46486</v>
      </c>
      <c r="H13" s="67">
        <v>36940</v>
      </c>
      <c r="I13" s="74">
        <v>36817</v>
      </c>
      <c r="J13" s="75">
        <v>1.99764557</v>
      </c>
      <c r="K13" s="75">
        <v>2.5892275499999999</v>
      </c>
      <c r="L13" s="75">
        <v>1.3100612599999999</v>
      </c>
      <c r="M13" s="70">
        <f t="shared" si="6"/>
        <v>0.66575342465753429</v>
      </c>
      <c r="N13" s="70">
        <f t="shared" si="7"/>
        <v>0.9945205479452055</v>
      </c>
      <c r="O13" s="71">
        <f t="shared" si="0"/>
        <v>6.9168711686237154</v>
      </c>
      <c r="P13" s="59">
        <v>6.9168711686237154</v>
      </c>
      <c r="Q13" s="56">
        <f t="shared" si="8"/>
        <v>6.0803018147196743</v>
      </c>
      <c r="R13" s="56">
        <f t="shared" si="16"/>
        <v>3.528626733620976</v>
      </c>
      <c r="S13" s="56">
        <f t="shared" si="17"/>
        <v>3.3693541777490275</v>
      </c>
      <c r="T13" s="56">
        <f t="shared" si="13"/>
        <v>12.978282726089677</v>
      </c>
      <c r="U13" s="56">
        <f t="shared" si="9"/>
        <v>4.7258509017761657E-2</v>
      </c>
      <c r="V13" s="56">
        <f t="shared" si="9"/>
        <v>8.8610311884951866E-3</v>
      </c>
      <c r="W13" s="56">
        <f t="shared" si="9"/>
        <v>6.7189638672523602E-2</v>
      </c>
      <c r="X13" s="56">
        <v>10</v>
      </c>
      <c r="Y13" s="56">
        <f t="shared" si="10"/>
        <v>1.2330917887878043</v>
      </c>
      <c r="AA13" s="56">
        <f t="shared" si="1"/>
        <v>2000</v>
      </c>
      <c r="AB13" s="72">
        <f t="shared" si="11"/>
        <v>87032.598523043096</v>
      </c>
      <c r="AC13" s="72">
        <f t="shared" si="14"/>
        <v>195144.99464940795</v>
      </c>
      <c r="AD13" s="72">
        <f t="shared" si="2"/>
        <v>282177.59317245102</v>
      </c>
      <c r="AE13" s="72">
        <f t="shared" si="3"/>
        <v>56435.518634490203</v>
      </c>
      <c r="AH13" s="76">
        <f t="shared" si="15"/>
        <v>-0.42186222099201903</v>
      </c>
      <c r="AI13" s="72">
        <f t="shared" si="12"/>
        <v>120362.8318893</v>
      </c>
      <c r="AK13" s="56">
        <f t="shared" si="4"/>
        <v>3.3693541777490275</v>
      </c>
      <c r="AL13" s="56">
        <f t="shared" si="5"/>
        <v>2.6</v>
      </c>
    </row>
    <row r="14" spans="1:38" x14ac:dyDescent="0.25">
      <c r="A14" s="56">
        <v>2001</v>
      </c>
      <c r="B14" s="56" t="s">
        <v>28</v>
      </c>
      <c r="C14" s="73">
        <v>5.6417910400000002</v>
      </c>
      <c r="D14" s="73">
        <v>4.5970149300000003</v>
      </c>
      <c r="E14" s="73">
        <v>1.7014925400000001</v>
      </c>
      <c r="G14" s="66">
        <v>44962</v>
      </c>
      <c r="H14" s="67">
        <v>37305</v>
      </c>
      <c r="I14" s="74">
        <v>37176</v>
      </c>
      <c r="J14" s="75">
        <v>1.95853451</v>
      </c>
      <c r="K14" s="75">
        <v>2.5493466499999999</v>
      </c>
      <c r="L14" s="75">
        <v>1.2902388</v>
      </c>
      <c r="M14" s="70">
        <f t="shared" si="6"/>
        <v>0.64657534246575343</v>
      </c>
      <c r="N14" s="70">
        <f t="shared" si="7"/>
        <v>0.98356164383561639</v>
      </c>
      <c r="O14" s="71">
        <f t="shared" si="0"/>
        <v>4.2431469565384443</v>
      </c>
      <c r="P14" s="59">
        <v>4.2431469565384443</v>
      </c>
      <c r="Q14" s="56">
        <f t="shared" si="8"/>
        <v>6.0393122529756553</v>
      </c>
      <c r="R14" s="56">
        <f t="shared" si="16"/>
        <v>5.0564158516458839</v>
      </c>
      <c r="S14" s="56">
        <f t="shared" si="17"/>
        <v>1.6309962512516063</v>
      </c>
      <c r="T14" s="56">
        <f t="shared" si="13"/>
        <v>12.726724355873145</v>
      </c>
      <c r="U14" s="56">
        <f t="shared" si="9"/>
        <v>4.6360526401994792E-3</v>
      </c>
      <c r="V14" s="56">
        <f t="shared" si="9"/>
        <v>9.0727030918308759E-3</v>
      </c>
      <c r="W14" s="56">
        <f t="shared" si="9"/>
        <v>1.7905427544994874E-3</v>
      </c>
      <c r="X14" s="56">
        <v>10</v>
      </c>
      <c r="Y14" s="56">
        <f t="shared" si="10"/>
        <v>0.15499298486529844</v>
      </c>
      <c r="AA14" s="56">
        <f t="shared" si="1"/>
        <v>2001</v>
      </c>
      <c r="AB14" s="72">
        <f t="shared" si="11"/>
        <v>85137.872081738664</v>
      </c>
      <c r="AC14" s="72">
        <f t="shared" si="14"/>
        <v>186273.97776224109</v>
      </c>
      <c r="AD14" s="72">
        <f t="shared" si="2"/>
        <v>271411.84984397975</v>
      </c>
      <c r="AE14" s="72">
        <f t="shared" si="3"/>
        <v>54282.369968795952</v>
      </c>
      <c r="AH14" s="76">
        <f t="shared" si="15"/>
        <v>-4.5458592996988102E-2</v>
      </c>
      <c r="AI14" s="72">
        <f t="shared" si="12"/>
        <v>114623.72407729999</v>
      </c>
      <c r="AK14" s="56">
        <f t="shared" si="4"/>
        <v>1.6309962512516063</v>
      </c>
      <c r="AL14" s="56">
        <f t="shared" si="5"/>
        <v>1.7014925400000001</v>
      </c>
    </row>
    <row r="15" spans="1:38" x14ac:dyDescent="0.25">
      <c r="A15" s="56">
        <v>2002</v>
      </c>
      <c r="B15" s="56" t="s">
        <v>29</v>
      </c>
      <c r="C15" s="73">
        <v>4.2121212100000003</v>
      </c>
      <c r="D15" s="73">
        <v>5.5</v>
      </c>
      <c r="E15" s="73">
        <v>1.8030303000000001</v>
      </c>
      <c r="G15" s="66">
        <v>39792</v>
      </c>
      <c r="H15" s="67">
        <v>37670</v>
      </c>
      <c r="I15" s="74">
        <v>37536</v>
      </c>
      <c r="J15" s="75">
        <v>2.1286243800000002</v>
      </c>
      <c r="K15" s="75">
        <v>2.57346239</v>
      </c>
      <c r="L15" s="75">
        <v>1.3024966600000001</v>
      </c>
      <c r="M15" s="70">
        <f t="shared" si="6"/>
        <v>0.63287671232876708</v>
      </c>
      <c r="N15" s="70">
        <f t="shared" si="7"/>
        <v>0.98630136986301364</v>
      </c>
      <c r="O15" s="71">
        <f t="shared" si="0"/>
        <v>6.0803018147196743</v>
      </c>
      <c r="P15" s="59">
        <v>6.0803018147196743</v>
      </c>
      <c r="Q15" s="56">
        <f t="shared" si="8"/>
        <v>4.6005099903144187</v>
      </c>
      <c r="R15" s="56">
        <f t="shared" si="16"/>
        <v>5.0223286835956529</v>
      </c>
      <c r="S15" s="56">
        <f t="shared" si="17"/>
        <v>1.5710722942294191</v>
      </c>
      <c r="T15" s="56">
        <f t="shared" si="13"/>
        <v>11.193910968139489</v>
      </c>
      <c r="U15" s="56">
        <f t="shared" si="9"/>
        <v>7.779380000269084E-3</v>
      </c>
      <c r="V15" s="56">
        <f t="shared" si="9"/>
        <v>8.2545192555670867E-3</v>
      </c>
      <c r="W15" s="56">
        <f t="shared" si="9"/>
        <v>1.8964146892574935E-2</v>
      </c>
      <c r="X15" s="56">
        <v>10</v>
      </c>
      <c r="Y15" s="56">
        <f t="shared" si="10"/>
        <v>0.34998046148411111</v>
      </c>
      <c r="AA15" s="56">
        <f t="shared" si="1"/>
        <v>2002</v>
      </c>
      <c r="AB15" s="72">
        <f t="shared" si="11"/>
        <v>65470.82375111233</v>
      </c>
      <c r="AC15" s="72">
        <f t="shared" si="14"/>
        <v>185392.65438867806</v>
      </c>
      <c r="AD15" s="72">
        <f t="shared" si="2"/>
        <v>250863.47813979039</v>
      </c>
      <c r="AE15" s="72">
        <f t="shared" si="3"/>
        <v>50172.695627958077</v>
      </c>
      <c r="AH15" s="76">
        <f t="shared" si="15"/>
        <v>-4.7313284665448556E-3</v>
      </c>
      <c r="AI15" s="72">
        <f t="shared" si="12"/>
        <v>102403.21542288001</v>
      </c>
      <c r="AK15" s="56">
        <f t="shared" si="4"/>
        <v>1.5710722942294191</v>
      </c>
      <c r="AL15" s="56">
        <f t="shared" si="5"/>
        <v>1.8030303000000001</v>
      </c>
    </row>
    <row r="16" spans="1:38" x14ac:dyDescent="0.25">
      <c r="A16" s="56">
        <v>2003</v>
      </c>
      <c r="B16" s="56" t="s">
        <v>22</v>
      </c>
      <c r="C16" s="73">
        <v>4.4210526300000001</v>
      </c>
      <c r="D16" s="73">
        <v>3.0921052599999999</v>
      </c>
      <c r="E16" s="73">
        <v>1.60526316</v>
      </c>
      <c r="G16" s="66">
        <v>30118</v>
      </c>
      <c r="H16" s="67">
        <v>38035</v>
      </c>
      <c r="I16" s="74">
        <v>37894</v>
      </c>
      <c r="J16" s="75">
        <v>1.9153335600000001</v>
      </c>
      <c r="K16" s="75">
        <v>2.4961251299999998</v>
      </c>
      <c r="L16" s="75">
        <v>1.3134223</v>
      </c>
      <c r="M16" s="70">
        <f t="shared" si="6"/>
        <v>0.61369863013698633</v>
      </c>
      <c r="N16" s="70">
        <f t="shared" si="7"/>
        <v>0.98082191780821915</v>
      </c>
      <c r="O16" s="71">
        <f t="shared" si="0"/>
        <v>6.0393122529756553</v>
      </c>
      <c r="P16" s="59">
        <v>6.0393122529756553</v>
      </c>
      <c r="Q16" s="56">
        <f t="shared" si="8"/>
        <v>4.5142866437301974</v>
      </c>
      <c r="R16" s="56">
        <f t="shared" si="16"/>
        <v>3.825811999063331</v>
      </c>
      <c r="S16" s="56">
        <f t="shared" si="17"/>
        <v>1.883182526817953</v>
      </c>
      <c r="T16" s="56">
        <f t="shared" si="13"/>
        <v>10.22328116961148</v>
      </c>
      <c r="U16" s="56">
        <f t="shared" si="9"/>
        <v>4.3553010781499407E-4</v>
      </c>
      <c r="V16" s="56">
        <f t="shared" si="9"/>
        <v>4.533431287266914E-2</v>
      </c>
      <c r="W16" s="56">
        <f t="shared" si="9"/>
        <v>2.5496256763925175E-2</v>
      </c>
      <c r="X16" s="56">
        <v>10</v>
      </c>
      <c r="Y16" s="56">
        <f t="shared" si="10"/>
        <v>0.71266099744409317</v>
      </c>
      <c r="AA16" s="56">
        <f t="shared" si="1"/>
        <v>2003</v>
      </c>
      <c r="AB16" s="72">
        <f t="shared" si="11"/>
        <v>64782.652567642072</v>
      </c>
      <c r="AC16" s="72">
        <f t="shared" si="14"/>
        <v>155700.92331675487</v>
      </c>
      <c r="AD16" s="72">
        <f t="shared" si="2"/>
        <v>220483.57588439694</v>
      </c>
      <c r="AE16" s="72">
        <f t="shared" si="3"/>
        <v>44096.715176879392</v>
      </c>
      <c r="AF16" s="72">
        <f>AC16*0.5</f>
        <v>77850.461658377433</v>
      </c>
      <c r="AG16" s="72">
        <f>AF16/K16</f>
        <v>31188.525255693989</v>
      </c>
      <c r="AH16" s="76">
        <f t="shared" si="15"/>
        <v>-0.16015591971445697</v>
      </c>
      <c r="AI16" s="72">
        <f t="shared" si="12"/>
        <v>75178.296665339993</v>
      </c>
      <c r="AK16" s="56">
        <f t="shared" si="4"/>
        <v>1.883182526817953</v>
      </c>
      <c r="AL16" s="56">
        <f t="shared" si="5"/>
        <v>1.60526316</v>
      </c>
    </row>
    <row r="17" spans="1:38" x14ac:dyDescent="0.25">
      <c r="A17" s="56">
        <v>2004</v>
      </c>
      <c r="B17" s="56" t="s">
        <v>21</v>
      </c>
      <c r="C17" s="73">
        <v>5.5064935100000003</v>
      </c>
      <c r="D17" s="73">
        <v>3.7792207800000002</v>
      </c>
      <c r="E17" s="73">
        <v>2.3116883100000001</v>
      </c>
      <c r="G17" s="66">
        <v>22576</v>
      </c>
      <c r="H17" s="67">
        <v>38401</v>
      </c>
      <c r="I17" s="74">
        <v>38285</v>
      </c>
      <c r="J17" s="75">
        <v>1.91331618</v>
      </c>
      <c r="K17" s="75">
        <v>2.4527933800000001</v>
      </c>
      <c r="L17" s="75">
        <v>1.2898485099999999</v>
      </c>
      <c r="M17" s="70">
        <f t="shared" si="6"/>
        <v>0.68493150684931503</v>
      </c>
      <c r="N17" s="70">
        <f t="shared" si="7"/>
        <v>1.0712328767123287</v>
      </c>
      <c r="O17" s="71">
        <f t="shared" si="0"/>
        <v>4.6005099903144187</v>
      </c>
      <c r="P17" s="59">
        <v>4.6005099903144187</v>
      </c>
      <c r="Q17" s="56">
        <f t="shared" si="8"/>
        <v>3.7427014441691</v>
      </c>
      <c r="R17" s="56">
        <f t="shared" si="16"/>
        <v>3.7541081413049948</v>
      </c>
      <c r="S17" s="56">
        <f t="shared" si="17"/>
        <v>1.8953918391375937</v>
      </c>
      <c r="T17" s="56">
        <f t="shared" si="13"/>
        <v>9.3922014246116881</v>
      </c>
      <c r="U17" s="56">
        <f t="shared" si="9"/>
        <v>0.14908894171566353</v>
      </c>
      <c r="V17" s="56">
        <f t="shared" si="9"/>
        <v>4.4450233353046863E-5</v>
      </c>
      <c r="W17" s="56">
        <f t="shared" si="9"/>
        <v>3.9423109265415292E-2</v>
      </c>
      <c r="X17" s="56">
        <v>10</v>
      </c>
      <c r="Y17" s="56">
        <f t="shared" si="10"/>
        <v>1.8855650121443188</v>
      </c>
      <c r="AA17" s="56">
        <f t="shared" si="1"/>
        <v>2004</v>
      </c>
      <c r="AB17" s="72">
        <f t="shared" si="11"/>
        <v>52745.947706052029</v>
      </c>
      <c r="AC17" s="72">
        <f t="shared" si="14"/>
        <v>151403.59438691247</v>
      </c>
      <c r="AD17" s="72">
        <f t="shared" si="2"/>
        <v>204149.54209296452</v>
      </c>
      <c r="AE17" s="72">
        <f t="shared" si="3"/>
        <v>40829.90841859291</v>
      </c>
      <c r="AF17" s="72">
        <f>AC17*0.5</f>
        <v>75701.797193456237</v>
      </c>
      <c r="AG17" s="72">
        <f>AF17/K17</f>
        <v>30863.503550982445</v>
      </c>
      <c r="AH17" s="76">
        <f t="shared" si="15"/>
        <v>-2.7599893682711121E-2</v>
      </c>
      <c r="AI17" s="72">
        <f t="shared" si="12"/>
        <v>55374.263346880005</v>
      </c>
      <c r="AK17" s="56">
        <f t="shared" si="4"/>
        <v>1.8953918391375937</v>
      </c>
      <c r="AL17" s="56">
        <f t="shared" si="5"/>
        <v>2.3116883100000001</v>
      </c>
    </row>
    <row r="18" spans="1:38" x14ac:dyDescent="0.25">
      <c r="A18" s="56">
        <v>2005</v>
      </c>
      <c r="B18" s="56" t="s">
        <v>30</v>
      </c>
      <c r="C18" s="73">
        <v>4.7307692299999999</v>
      </c>
      <c r="D18" s="73">
        <v>2.5128205100000001</v>
      </c>
      <c r="E18" s="73">
        <v>2.9230769200000002</v>
      </c>
      <c r="G18" s="66">
        <v>20630</v>
      </c>
      <c r="H18" s="67">
        <v>38766</v>
      </c>
      <c r="I18" s="74">
        <v>38645</v>
      </c>
      <c r="J18" s="75">
        <v>1.99030975</v>
      </c>
      <c r="K18" s="75">
        <v>2.5530011400000001</v>
      </c>
      <c r="L18" s="75">
        <v>1.30882795</v>
      </c>
      <c r="M18" s="70">
        <f t="shared" si="6"/>
        <v>0.66849315068493154</v>
      </c>
      <c r="N18" s="70">
        <f t="shared" si="7"/>
        <v>0.98630136986301364</v>
      </c>
      <c r="O18" s="71">
        <f t="shared" si="0"/>
        <v>4.5142866437301974</v>
      </c>
      <c r="P18" s="59">
        <v>4.5142866437301974</v>
      </c>
      <c r="Q18" s="56">
        <f t="shared" si="8"/>
        <v>3.9196577183968966</v>
      </c>
      <c r="R18" s="56">
        <f t="shared" si="16"/>
        <v>3.1124532115264874</v>
      </c>
      <c r="S18" s="56">
        <f t="shared" si="17"/>
        <v>2.5117160696941689</v>
      </c>
      <c r="T18" s="56">
        <f t="shared" si="13"/>
        <v>9.5438269996175524</v>
      </c>
      <c r="U18" s="56">
        <f t="shared" si="9"/>
        <v>3.5375396928667119E-2</v>
      </c>
      <c r="V18" s="56">
        <f t="shared" si="9"/>
        <v>4.5798310295271275E-2</v>
      </c>
      <c r="W18" s="56">
        <f t="shared" si="9"/>
        <v>2.3003967438667668E-2</v>
      </c>
      <c r="X18" s="56">
        <v>10</v>
      </c>
      <c r="Y18" s="56">
        <f t="shared" si="10"/>
        <v>1.0417767466260606</v>
      </c>
      <c r="AA18" s="56">
        <f t="shared" si="1"/>
        <v>2005</v>
      </c>
      <c r="AB18" s="72">
        <f t="shared" si="11"/>
        <v>56052.619566497669</v>
      </c>
      <c r="AC18" s="72">
        <f t="shared" si="14"/>
        <v>156882.53615635278</v>
      </c>
      <c r="AD18" s="72">
        <f t="shared" si="2"/>
        <v>212935.15572285047</v>
      </c>
      <c r="AE18" s="72">
        <f t="shared" si="3"/>
        <v>42587.031144570094</v>
      </c>
      <c r="AF18" s="72">
        <f>AC18*0.5</f>
        <v>78441.268078176392</v>
      </c>
      <c r="AG18" s="72">
        <f>AF18/K18</f>
        <v>30725.120662569068</v>
      </c>
      <c r="AH18" s="76">
        <f t="shared" si="15"/>
        <v>3.6187659821594803E-2</v>
      </c>
      <c r="AI18" s="72">
        <f t="shared" si="12"/>
        <v>52668.413518200003</v>
      </c>
      <c r="AK18" s="56">
        <f t="shared" si="4"/>
        <v>2.5117160696941689</v>
      </c>
      <c r="AL18" s="56">
        <f t="shared" si="5"/>
        <v>2.9230769200000002</v>
      </c>
    </row>
    <row r="19" spans="1:38" x14ac:dyDescent="0.25">
      <c r="A19" s="56">
        <v>2006</v>
      </c>
      <c r="B19" s="56" t="s">
        <v>31</v>
      </c>
      <c r="C19" s="77">
        <v>5.1428571400000003</v>
      </c>
      <c r="D19" s="77">
        <v>2.9809523800000002</v>
      </c>
      <c r="E19" s="77">
        <v>2.3523809500000001</v>
      </c>
      <c r="G19" s="66">
        <v>20393</v>
      </c>
      <c r="H19" s="67">
        <v>39126</v>
      </c>
      <c r="I19" s="74">
        <v>39001</v>
      </c>
      <c r="J19" s="75">
        <v>2.0719206899999998</v>
      </c>
      <c r="K19" s="75">
        <v>2.4742009700000001</v>
      </c>
      <c r="L19" s="75">
        <v>1.3483749300000001</v>
      </c>
      <c r="M19" s="70">
        <f t="shared" si="6"/>
        <v>0.64383561643835618</v>
      </c>
      <c r="N19" s="70">
        <f t="shared" si="7"/>
        <v>0.97534246575342465</v>
      </c>
      <c r="O19" s="71">
        <f t="shared" si="0"/>
        <v>3.7427014441691</v>
      </c>
      <c r="P19" s="59">
        <v>3.7427014441691</v>
      </c>
      <c r="Q19" s="56">
        <f t="shared" si="8"/>
        <v>3.81417931237426</v>
      </c>
      <c r="R19" s="56">
        <f t="shared" si="16"/>
        <v>3.2596111219919695</v>
      </c>
      <c r="S19" s="56">
        <f t="shared" si="17"/>
        <v>2.6409197314340185</v>
      </c>
      <c r="T19" s="56">
        <f t="shared" si="13"/>
        <v>9.7147101658002484</v>
      </c>
      <c r="U19" s="56">
        <f t="shared" si="9"/>
        <v>8.9331208198602755E-2</v>
      </c>
      <c r="V19" s="56">
        <f t="shared" si="9"/>
        <v>7.9861140323783525E-3</v>
      </c>
      <c r="W19" s="56">
        <f t="shared" si="9"/>
        <v>1.3386317410300549E-2</v>
      </c>
      <c r="X19" s="56">
        <v>10</v>
      </c>
      <c r="Y19" s="56">
        <f t="shared" ref="Y19:Y23" si="18">+SUM(U19:W19)*X19</f>
        <v>1.1070363964128167</v>
      </c>
      <c r="AA19" s="56">
        <f t="shared" si="1"/>
        <v>2006</v>
      </c>
      <c r="AB19" s="72">
        <f t="shared" si="11"/>
        <v>56192.322737066817</v>
      </c>
      <c r="AC19" s="72">
        <f t="shared" si="14"/>
        <v>159511.23120926812</v>
      </c>
      <c r="AD19" s="72">
        <f t="shared" si="2"/>
        <v>215703.55394633493</v>
      </c>
      <c r="AE19" s="72">
        <f t="shared" si="3"/>
        <v>43140.710789266988</v>
      </c>
      <c r="AF19" s="72">
        <f>AC19*0.5</f>
        <v>79755.615604634062</v>
      </c>
      <c r="AG19" s="72">
        <f>AF19/K19</f>
        <v>32234.897880843553</v>
      </c>
      <c r="AH19" s="76">
        <f t="shared" si="15"/>
        <v>1.6755816914481299E-2</v>
      </c>
      <c r="AI19" s="72">
        <f t="shared" si="12"/>
        <v>50456.380381210001</v>
      </c>
    </row>
    <row r="20" spans="1:38" x14ac:dyDescent="0.25">
      <c r="A20" s="56">
        <v>2007</v>
      </c>
      <c r="B20" s="56" t="s">
        <v>32</v>
      </c>
      <c r="C20" s="73">
        <v>6.2934782599999997</v>
      </c>
      <c r="D20" s="73">
        <v>3.10869565</v>
      </c>
      <c r="E20" s="73">
        <v>3.2608695700000001</v>
      </c>
      <c r="G20" s="66">
        <v>22391</v>
      </c>
      <c r="H20" s="67">
        <v>39495</v>
      </c>
      <c r="I20" s="74">
        <v>39361</v>
      </c>
      <c r="J20" s="78">
        <v>1.99790895</v>
      </c>
      <c r="K20" s="78">
        <v>2.6143160700000001</v>
      </c>
      <c r="L20" s="78">
        <v>1.3233095399999999</v>
      </c>
      <c r="M20" s="70">
        <f t="shared" si="6"/>
        <v>0.64383561643835618</v>
      </c>
      <c r="N20" s="70">
        <f t="shared" si="7"/>
        <v>0.98630136986301364</v>
      </c>
      <c r="O20" s="71">
        <f t="shared" si="0"/>
        <v>3.9196577183968966</v>
      </c>
      <c r="P20" s="59">
        <v>3.9196577183968966</v>
      </c>
      <c r="Q20" s="56">
        <f t="shared" si="8"/>
        <v>5.3158996469007338</v>
      </c>
      <c r="R20" s="56">
        <f t="shared" si="16"/>
        <v>3.1718946400686474</v>
      </c>
      <c r="S20" s="56">
        <f t="shared" si="17"/>
        <v>2.8506007290213686</v>
      </c>
      <c r="T20" s="56">
        <f t="shared" ref="T20:T25" si="19">SUM(Q20:S20)</f>
        <v>11.338395015990749</v>
      </c>
      <c r="U20" s="56">
        <f t="shared" si="9"/>
        <v>2.8497368878165161E-2</v>
      </c>
      <c r="V20" s="56">
        <f t="shared" si="9"/>
        <v>4.0505002073414786E-4</v>
      </c>
      <c r="W20" s="56">
        <f t="shared" si="9"/>
        <v>1.8080606261519479E-2</v>
      </c>
      <c r="X20" s="56">
        <v>10</v>
      </c>
      <c r="Y20" s="56">
        <f t="shared" si="18"/>
        <v>0.4698302516041879</v>
      </c>
      <c r="AA20" s="56">
        <f t="shared" si="1"/>
        <v>2007</v>
      </c>
      <c r="AB20" s="72">
        <f t="shared" si="11"/>
        <v>76860.539046887192</v>
      </c>
      <c r="AC20" s="72">
        <f t="shared" si="14"/>
        <v>172028.25182288</v>
      </c>
      <c r="AD20" s="72">
        <f t="shared" si="2"/>
        <v>248888.7908697672</v>
      </c>
      <c r="AE20" s="72">
        <f t="shared" si="3"/>
        <v>49777.758173953443</v>
      </c>
      <c r="AF20" s="72">
        <f>AC20*0.5</f>
        <v>86014.125911440002</v>
      </c>
      <c r="AG20" s="72">
        <f>AF20/K20</f>
        <v>32901.196186060239</v>
      </c>
      <c r="AH20" s="76">
        <f t="shared" si="15"/>
        <v>7.8471092716915852E-2</v>
      </c>
      <c r="AI20" s="72">
        <f t="shared" si="12"/>
        <v>58537.15112337</v>
      </c>
    </row>
    <row r="21" spans="1:38" x14ac:dyDescent="0.25">
      <c r="A21" s="56">
        <v>2008</v>
      </c>
      <c r="B21" s="56" t="s">
        <v>42</v>
      </c>
      <c r="C21" s="73">
        <v>5.5742574300000003</v>
      </c>
      <c r="D21" s="73">
        <v>4.2574257400000004</v>
      </c>
      <c r="E21" s="73">
        <v>2.1287128700000002</v>
      </c>
      <c r="G21" s="66">
        <v>26362</v>
      </c>
      <c r="H21" s="68">
        <v>39861</v>
      </c>
      <c r="I21" s="74">
        <v>39744</v>
      </c>
      <c r="J21" s="75">
        <v>2.2133606100000001</v>
      </c>
      <c r="K21" s="75">
        <v>2.7507295300000001</v>
      </c>
      <c r="L21" s="75">
        <v>1.37953189</v>
      </c>
      <c r="M21" s="70">
        <f t="shared" si="6"/>
        <v>0.68219178082191778</v>
      </c>
      <c r="N21" s="70">
        <f t="shared" si="7"/>
        <v>1.0493150684931507</v>
      </c>
      <c r="O21" s="71">
        <f t="shared" si="0"/>
        <v>3.81417931237426</v>
      </c>
      <c r="P21" s="59">
        <v>3.81417931237426</v>
      </c>
      <c r="Q21" s="56">
        <f t="shared" si="8"/>
        <v>4.2647101577779889</v>
      </c>
      <c r="R21" s="56">
        <f t="shared" si="16"/>
        <v>4.4207343746121053</v>
      </c>
      <c r="S21" s="56">
        <f t="shared" si="17"/>
        <v>2.7260142056679921</v>
      </c>
      <c r="T21" s="56">
        <f t="shared" si="19"/>
        <v>11.411458738058085</v>
      </c>
      <c r="U21" s="56">
        <f t="shared" si="9"/>
        <v>7.1708748246788537E-2</v>
      </c>
      <c r="V21" s="56">
        <f t="shared" si="9"/>
        <v>1.4168553564440191E-3</v>
      </c>
      <c r="W21" s="56">
        <f t="shared" si="9"/>
        <v>6.1168683026184119E-2</v>
      </c>
      <c r="X21" s="56">
        <v>10</v>
      </c>
      <c r="Y21" s="56">
        <f t="shared" si="18"/>
        <v>1.3429428662941667</v>
      </c>
      <c r="AA21" s="56">
        <f t="shared" si="1"/>
        <v>2008</v>
      </c>
      <c r="AB21" s="72">
        <f t="shared" si="11"/>
        <v>64281.569753797172</v>
      </c>
      <c r="AC21" s="72">
        <f t="shared" si="14"/>
        <v>214793.73138929048</v>
      </c>
      <c r="AD21" s="72">
        <f t="shared" si="2"/>
        <v>279075.30114308768</v>
      </c>
      <c r="AE21" s="72">
        <f t="shared" si="3"/>
        <v>55815.060228617542</v>
      </c>
      <c r="AF21" s="72"/>
      <c r="AG21" s="72"/>
      <c r="AH21" s="76">
        <f t="shared" si="15"/>
        <v>0.24859567607791389</v>
      </c>
      <c r="AI21" s="72">
        <f t="shared" si="12"/>
        <v>72514.731869859999</v>
      </c>
    </row>
    <row r="22" spans="1:38" x14ac:dyDescent="0.25">
      <c r="A22" s="56">
        <v>2009</v>
      </c>
      <c r="B22" s="62" t="s">
        <v>43</v>
      </c>
      <c r="C22" s="73">
        <v>3.9298245600000001</v>
      </c>
      <c r="D22" s="77">
        <v>3</v>
      </c>
      <c r="E22" s="77">
        <v>3.24561404</v>
      </c>
      <c r="G22" s="66">
        <v>34582</v>
      </c>
      <c r="H22" s="68">
        <v>40228</v>
      </c>
      <c r="I22" s="74">
        <v>40093</v>
      </c>
      <c r="J22" s="75">
        <v>2.2000000000000002</v>
      </c>
      <c r="K22" s="75">
        <v>2.76</v>
      </c>
      <c r="L22" s="75">
        <v>1.41</v>
      </c>
      <c r="M22" s="70">
        <f t="shared" si="6"/>
        <v>0.63561643835616444</v>
      </c>
      <c r="N22" s="70">
        <f t="shared" si="7"/>
        <v>0.95616438356164379</v>
      </c>
      <c r="O22" s="71">
        <f t="shared" si="0"/>
        <v>5.3158996469007338</v>
      </c>
      <c r="P22" s="59">
        <v>5.3158996469007338</v>
      </c>
      <c r="Q22" s="56">
        <f t="shared" si="8"/>
        <v>3.9027424588487754</v>
      </c>
      <c r="R22" s="56">
        <f t="shared" si="16"/>
        <v>3.5465588225011544</v>
      </c>
      <c r="S22" s="56">
        <f t="shared" si="17"/>
        <v>3.3706436365949086</v>
      </c>
      <c r="T22" s="56">
        <f t="shared" si="19"/>
        <v>10.819944917944838</v>
      </c>
      <c r="U22" s="56">
        <f t="shared" si="9"/>
        <v>4.7821140029491144E-5</v>
      </c>
      <c r="V22" s="56">
        <f t="shared" si="9"/>
        <v>2.8011210230563709E-2</v>
      </c>
      <c r="W22" s="56">
        <f t="shared" si="9"/>
        <v>1.4287763045503468E-3</v>
      </c>
      <c r="X22" s="56">
        <v>10</v>
      </c>
      <c r="Y22" s="56">
        <f t="shared" si="18"/>
        <v>0.29487807675143546</v>
      </c>
      <c r="AA22" s="56">
        <f t="shared" si="1"/>
        <v>2009</v>
      </c>
      <c r="AB22" s="72">
        <f t="shared" si="11"/>
        <v>60124.878901660246</v>
      </c>
      <c r="AC22" s="72">
        <f t="shared" si="14"/>
        <v>208595.42450805154</v>
      </c>
      <c r="AD22" s="72">
        <f t="shared" si="2"/>
        <v>268720.30340971181</v>
      </c>
      <c r="AE22" s="72">
        <f>+AD22*0.2</f>
        <v>53744.060681942363</v>
      </c>
      <c r="AF22" s="72"/>
      <c r="AG22" s="72"/>
      <c r="AH22" s="76">
        <f t="shared" si="15"/>
        <v>-2.885701943510249E-2</v>
      </c>
      <c r="AI22" s="72">
        <f t="shared" si="12"/>
        <v>95446.319999999992</v>
      </c>
    </row>
    <row r="23" spans="1:38" x14ac:dyDescent="0.25">
      <c r="A23" s="56">
        <v>2010</v>
      </c>
      <c r="B23" s="62" t="s">
        <v>44</v>
      </c>
      <c r="C23" s="73">
        <v>4.8333000000000004</v>
      </c>
      <c r="D23" s="73">
        <v>3.5463</v>
      </c>
      <c r="E23" s="73">
        <v>2.4630000000000001</v>
      </c>
      <c r="G23" s="66">
        <v>24320</v>
      </c>
      <c r="H23" s="68">
        <v>40596</v>
      </c>
      <c r="I23" s="74">
        <v>40452</v>
      </c>
      <c r="J23" s="75">
        <v>2.2000000000000002</v>
      </c>
      <c r="K23" s="75">
        <v>2.76</v>
      </c>
      <c r="L23" s="75">
        <v>1.41</v>
      </c>
      <c r="M23" s="70">
        <f>+(I23-H22)/365</f>
        <v>0.61369863013698633</v>
      </c>
      <c r="N23" s="70">
        <f>+(I23-I22)/365</f>
        <v>0.98356164383561639</v>
      </c>
      <c r="O23" s="71">
        <f t="shared" si="0"/>
        <v>4.2647101577779889</v>
      </c>
      <c r="P23" s="59">
        <v>4.2647101577779889</v>
      </c>
      <c r="Q23" s="56">
        <f t="shared" si="8"/>
        <v>4.0405525837082061</v>
      </c>
      <c r="R23" s="56">
        <f t="shared" si="16"/>
        <v>3.2455442896010567</v>
      </c>
      <c r="S23" s="56">
        <f t="shared" si="17"/>
        <v>2.5168669196862146</v>
      </c>
      <c r="T23" s="56">
        <f t="shared" si="19"/>
        <v>9.8029637929954774</v>
      </c>
      <c r="U23" s="56">
        <f t="shared" si="9"/>
        <v>3.2094007128489851E-2</v>
      </c>
      <c r="V23" s="56">
        <f t="shared" si="9"/>
        <v>7.85381254883003E-3</v>
      </c>
      <c r="W23" s="56">
        <f t="shared" si="9"/>
        <v>4.6806124037209314E-4</v>
      </c>
      <c r="X23" s="56">
        <v>10</v>
      </c>
      <c r="Y23" s="56">
        <f t="shared" si="18"/>
        <v>0.40415880917691982</v>
      </c>
      <c r="AA23" s="56">
        <f t="shared" si="1"/>
        <v>2010</v>
      </c>
      <c r="AB23" s="72">
        <f t="shared" si="11"/>
        <v>62247.954445579206</v>
      </c>
      <c r="AC23" s="72">
        <f t="shared" si="14"/>
        <v>173771.49497924506</v>
      </c>
      <c r="AD23" s="72">
        <f t="shared" si="2"/>
        <v>236019.44942482427</v>
      </c>
      <c r="AE23" s="72">
        <f>+AD23*0.2</f>
        <v>47203.889884964854</v>
      </c>
      <c r="AF23" s="72"/>
      <c r="AG23" s="72"/>
      <c r="AH23" s="76">
        <f t="shared" si="15"/>
        <v>-0.16694483884742309</v>
      </c>
      <c r="AI23" s="72">
        <f t="shared" si="12"/>
        <v>67123.199999999997</v>
      </c>
    </row>
    <row r="24" spans="1:38" x14ac:dyDescent="0.25">
      <c r="A24" s="56">
        <v>2011</v>
      </c>
      <c r="B24" s="62" t="s">
        <v>45</v>
      </c>
      <c r="C24" s="77">
        <v>2.9636363636</v>
      </c>
      <c r="D24" s="77">
        <v>2.7181818182000002</v>
      </c>
      <c r="E24" s="73">
        <v>2.2090909090999999</v>
      </c>
      <c r="G24" s="79">
        <v>27345</v>
      </c>
      <c r="H24" s="80">
        <v>40959</v>
      </c>
      <c r="I24" s="74">
        <v>40778</v>
      </c>
      <c r="J24" s="81">
        <v>2.3199999999999998</v>
      </c>
      <c r="K24" s="81">
        <v>2.73</v>
      </c>
      <c r="L24" s="81">
        <v>1.39</v>
      </c>
      <c r="M24" s="70">
        <f>+(I24-H23)/365</f>
        <v>0.49863013698630138</v>
      </c>
      <c r="N24" s="70">
        <f>+(I24-I23)/365</f>
        <v>0.89315068493150684</v>
      </c>
      <c r="O24" s="71">
        <f t="shared" si="0"/>
        <v>3.9027424588487754</v>
      </c>
      <c r="P24" s="59">
        <v>3.9027424588487754</v>
      </c>
      <c r="Q24" s="56">
        <f t="shared" si="8"/>
        <v>3.8826833903262736</v>
      </c>
      <c r="R24" s="56">
        <f t="shared" si="16"/>
        <v>3.3601480249237992</v>
      </c>
      <c r="S24" s="56">
        <f t="shared" si="17"/>
        <v>2.4913494767236353</v>
      </c>
      <c r="T24" s="56">
        <f t="shared" si="19"/>
        <v>9.7341808919737076</v>
      </c>
      <c r="U24" s="56">
        <f t="shared" si="9"/>
        <v>7.2959139006163451E-2</v>
      </c>
      <c r="V24" s="56">
        <f t="shared" si="9"/>
        <v>4.4953252341251505E-2</v>
      </c>
      <c r="W24" s="56">
        <f t="shared" si="9"/>
        <v>1.4458485979238135E-2</v>
      </c>
      <c r="X24" s="56">
        <v>10</v>
      </c>
      <c r="Y24" s="56">
        <f>+SUM(U24:W24)*X24</f>
        <v>1.3237087732665309</v>
      </c>
      <c r="AA24" s="56">
        <f t="shared" si="1"/>
        <v>2011</v>
      </c>
      <c r="AB24" s="72">
        <f t="shared" si="11"/>
        <v>58967.40104332201</v>
      </c>
      <c r="AC24" s="72">
        <f t="shared" si="14"/>
        <v>174539.96307998165</v>
      </c>
      <c r="AD24" s="72">
        <f>+AC24+AB24</f>
        <v>233507.36412330368</v>
      </c>
      <c r="AE24" s="72">
        <f>+AD24*0.2</f>
        <v>46701.472824660741</v>
      </c>
      <c r="AF24" s="72"/>
      <c r="AG24" s="72"/>
      <c r="AH24" s="76">
        <f t="shared" si="15"/>
        <v>4.4222908989093486E-3</v>
      </c>
      <c r="AI24" s="72">
        <f t="shared" si="12"/>
        <v>74651.850000000006</v>
      </c>
    </row>
    <row r="25" spans="1:38" x14ac:dyDescent="0.25">
      <c r="A25" s="56">
        <v>2012</v>
      </c>
      <c r="B25" s="82" t="s">
        <v>56</v>
      </c>
      <c r="C25" s="83">
        <v>5.2222222</v>
      </c>
      <c r="D25" s="83">
        <v>4.2301587302000003</v>
      </c>
      <c r="E25" s="83">
        <v>3.4603174603000002</v>
      </c>
      <c r="H25" s="68"/>
      <c r="I25" s="80">
        <v>41135</v>
      </c>
      <c r="J25" s="83">
        <v>2.1770656236999999</v>
      </c>
      <c r="K25" s="83">
        <v>2.788469176</v>
      </c>
      <c r="L25" s="83">
        <v>1.2943057168000001</v>
      </c>
      <c r="O25" s="71">
        <f t="shared" si="0"/>
        <v>4.0405525837082061</v>
      </c>
      <c r="P25" s="59">
        <v>4.0405525837082061</v>
      </c>
      <c r="Q25" s="56">
        <f t="shared" si="8"/>
        <v>5.2222225285201533</v>
      </c>
      <c r="R25" s="56">
        <f t="shared" si="16"/>
        <v>3.2288630466073474</v>
      </c>
      <c r="S25" s="56">
        <f t="shared" si="17"/>
        <v>3.3487748812227522</v>
      </c>
      <c r="T25" s="56">
        <f t="shared" si="19"/>
        <v>11.799860456350252</v>
      </c>
      <c r="U25" s="56">
        <f t="shared" si="9"/>
        <v>3.9574306458700536E-15</v>
      </c>
      <c r="V25" s="56">
        <f t="shared" si="9"/>
        <v>7.2959109528364666E-2</v>
      </c>
      <c r="W25" s="56">
        <f t="shared" si="9"/>
        <v>1.0735953259149572E-3</v>
      </c>
      <c r="X25" s="56">
        <v>10</v>
      </c>
      <c r="Y25" s="56">
        <f>+SUM(U25:W25)*X25</f>
        <v>0.74032704854283582</v>
      </c>
      <c r="AA25" s="56">
        <f t="shared" si="1"/>
        <v>2012</v>
      </c>
      <c r="AB25" s="84">
        <f t="shared" si="11"/>
        <v>73851.182255510867</v>
      </c>
      <c r="AC25" s="85">
        <f t="shared" si="14"/>
        <v>200401.52430779918</v>
      </c>
      <c r="AD25" s="85">
        <f>+AC25+AB25</f>
        <v>274252.70656331006</v>
      </c>
      <c r="AE25" s="84">
        <f>+AD25*0.2</f>
        <v>54850.541312662011</v>
      </c>
      <c r="AF25" s="86"/>
      <c r="AI25" s="72">
        <f t="shared" si="12"/>
        <v>0</v>
      </c>
    </row>
    <row r="26" spans="1:38" x14ac:dyDescent="0.25">
      <c r="B26" s="87"/>
      <c r="H26" s="68"/>
      <c r="I26" s="68"/>
      <c r="M26" s="70"/>
      <c r="O26" s="71">
        <f t="shared" si="0"/>
        <v>3.8826833903262736</v>
      </c>
      <c r="P26" s="59">
        <v>3.8826833903262736</v>
      </c>
      <c r="AD26" s="76"/>
    </row>
    <row r="27" spans="1:38" x14ac:dyDescent="0.25">
      <c r="B27" s="87"/>
      <c r="H27" s="68"/>
      <c r="I27" s="68"/>
      <c r="M27" s="70"/>
      <c r="O27" s="71">
        <f t="shared" si="0"/>
        <v>5.2222225285201533</v>
      </c>
      <c r="P27" s="59">
        <v>5.2222225285201533</v>
      </c>
      <c r="AB27" s="88"/>
      <c r="AD27" s="72"/>
      <c r="AE27" s="72"/>
      <c r="AF27" s="89"/>
    </row>
    <row r="28" spans="1:38" x14ac:dyDescent="0.25">
      <c r="B28" s="87"/>
      <c r="H28" s="68"/>
      <c r="I28" s="68"/>
      <c r="O28" s="58"/>
      <c r="P28" s="58"/>
      <c r="AB28" s="88"/>
      <c r="AD28" s="72"/>
      <c r="AE28" s="72"/>
      <c r="AF28" s="89"/>
    </row>
    <row r="29" spans="1:38" x14ac:dyDescent="0.25">
      <c r="H29" s="68"/>
      <c r="I29" s="68"/>
      <c r="O29" s="58"/>
      <c r="P29" s="58"/>
      <c r="AB29" s="88"/>
      <c r="AD29" s="72"/>
      <c r="AE29" s="72"/>
      <c r="AF29" s="89"/>
    </row>
    <row r="30" spans="1:38" x14ac:dyDescent="0.25">
      <c r="H30" s="68"/>
      <c r="I30" s="68"/>
      <c r="O30" s="58"/>
      <c r="P30" s="58"/>
      <c r="AB30" s="88"/>
      <c r="AD30" s="72"/>
      <c r="AE30" s="72"/>
    </row>
    <row r="31" spans="1:38" x14ac:dyDescent="0.25">
      <c r="H31" s="68"/>
      <c r="I31" s="68"/>
      <c r="O31" s="58"/>
      <c r="P31" s="58"/>
    </row>
    <row r="32" spans="1:38" x14ac:dyDescent="0.25">
      <c r="H32" s="68"/>
      <c r="I32" s="68"/>
      <c r="AB32" s="90"/>
      <c r="AD32" s="90"/>
      <c r="AE32" s="90"/>
      <c r="AF32" s="90"/>
    </row>
    <row r="33" spans="8:32" x14ac:dyDescent="0.25">
      <c r="H33" s="68"/>
      <c r="I33" s="68"/>
      <c r="AB33" s="88"/>
      <c r="AD33" s="91"/>
      <c r="AE33" s="91"/>
      <c r="AF33" s="92"/>
    </row>
    <row r="34" spans="8:32" x14ac:dyDescent="0.25">
      <c r="H34" s="68"/>
      <c r="I34" s="68"/>
      <c r="AB34" s="88"/>
      <c r="AD34" s="91"/>
      <c r="AE34" s="91"/>
      <c r="AF34" s="92"/>
    </row>
    <row r="35" spans="8:32" x14ac:dyDescent="0.25">
      <c r="H35" s="68"/>
      <c r="I35" s="68"/>
      <c r="AB35" s="88"/>
      <c r="AD35" s="91"/>
      <c r="AE35" s="91"/>
      <c r="AF35" s="92"/>
    </row>
    <row r="36" spans="8:32" x14ac:dyDescent="0.25">
      <c r="H36" s="68"/>
      <c r="I36" s="68"/>
      <c r="AB36" s="88"/>
      <c r="AC36" s="76"/>
      <c r="AD36" s="91"/>
      <c r="AE36" s="91"/>
      <c r="AF36" s="92"/>
    </row>
    <row r="37" spans="8:32" x14ac:dyDescent="0.25">
      <c r="H37" s="68"/>
      <c r="I37" s="68"/>
    </row>
    <row r="38" spans="8:32" x14ac:dyDescent="0.25">
      <c r="H38" s="68"/>
      <c r="I38" s="68"/>
    </row>
    <row r="39" spans="8:32" x14ac:dyDescent="0.25">
      <c r="H39" s="68"/>
      <c r="I39" s="68"/>
    </row>
    <row r="40" spans="8:32" x14ac:dyDescent="0.25">
      <c r="H40" s="68"/>
      <c r="I40" s="68"/>
    </row>
    <row r="41" spans="8:32" x14ac:dyDescent="0.25">
      <c r="H41" s="68"/>
      <c r="I41" s="68"/>
    </row>
    <row r="42" spans="8:32" x14ac:dyDescent="0.25">
      <c r="H42" s="68"/>
      <c r="I42" s="68"/>
    </row>
    <row r="43" spans="8:32" x14ac:dyDescent="0.25">
      <c r="H43" s="68"/>
      <c r="I43" s="68"/>
    </row>
    <row r="44" spans="8:32" x14ac:dyDescent="0.25">
      <c r="H44" s="68"/>
      <c r="I44" s="68"/>
    </row>
    <row r="45" spans="8:32" x14ac:dyDescent="0.25">
      <c r="H45" s="68"/>
      <c r="I45" s="68"/>
    </row>
    <row r="46" spans="8:32" x14ac:dyDescent="0.25">
      <c r="H46" s="68"/>
      <c r="I46" s="68"/>
    </row>
    <row r="47" spans="8:32" x14ac:dyDescent="0.25">
      <c r="H47" s="68"/>
      <c r="I47" s="68"/>
    </row>
    <row r="48" spans="8:32" x14ac:dyDescent="0.25">
      <c r="H48" s="68"/>
      <c r="I48" s="68"/>
    </row>
    <row r="49" spans="8:9" x14ac:dyDescent="0.25">
      <c r="H49" s="68"/>
      <c r="I49" s="68"/>
    </row>
    <row r="50" spans="8:9" x14ac:dyDescent="0.25">
      <c r="H50" s="68"/>
      <c r="I50" s="68"/>
    </row>
    <row r="51" spans="8:9" x14ac:dyDescent="0.25">
      <c r="H51" s="68"/>
      <c r="I51" s="68"/>
    </row>
    <row r="52" spans="8:9" x14ac:dyDescent="0.25">
      <c r="H52" s="68"/>
      <c r="I52" s="68"/>
    </row>
    <row r="53" spans="8:9" x14ac:dyDescent="0.25">
      <c r="H53" s="68"/>
      <c r="I53" s="68"/>
    </row>
    <row r="54" spans="8:9" x14ac:dyDescent="0.25">
      <c r="H54" s="68"/>
      <c r="I54" s="68"/>
    </row>
    <row r="55" spans="8:9" x14ac:dyDescent="0.25">
      <c r="H55" s="68"/>
      <c r="I55" s="68"/>
    </row>
    <row r="56" spans="8:9" x14ac:dyDescent="0.25">
      <c r="H56" s="68"/>
      <c r="I56" s="68"/>
    </row>
    <row r="57" spans="8:9" x14ac:dyDescent="0.25">
      <c r="H57" s="68"/>
      <c r="I57" s="68"/>
    </row>
    <row r="58" spans="8:9" x14ac:dyDescent="0.25">
      <c r="H58" s="68"/>
      <c r="I58" s="68"/>
    </row>
    <row r="59" spans="8:9" x14ac:dyDescent="0.25">
      <c r="H59" s="68"/>
      <c r="I59" s="68"/>
    </row>
    <row r="60" spans="8:9" x14ac:dyDescent="0.25">
      <c r="H60" s="68"/>
      <c r="I60" s="68"/>
    </row>
    <row r="61" spans="8:9" x14ac:dyDescent="0.25">
      <c r="H61" s="68"/>
      <c r="I61" s="68"/>
    </row>
    <row r="62" spans="8:9" x14ac:dyDescent="0.25">
      <c r="H62" s="68"/>
      <c r="I62" s="68"/>
    </row>
    <row r="63" spans="8:9" x14ac:dyDescent="0.25">
      <c r="H63" s="68"/>
      <c r="I63" s="68"/>
    </row>
    <row r="64" spans="8:9" x14ac:dyDescent="0.25">
      <c r="H64" s="68"/>
      <c r="I64" s="68"/>
    </row>
    <row r="65" spans="8:9" x14ac:dyDescent="0.25">
      <c r="H65" s="68"/>
      <c r="I65" s="68"/>
    </row>
    <row r="66" spans="8:9" x14ac:dyDescent="0.25">
      <c r="H66" s="68"/>
      <c r="I66" s="68"/>
    </row>
    <row r="67" spans="8:9" x14ac:dyDescent="0.25">
      <c r="H67" s="68"/>
      <c r="I67" s="68"/>
    </row>
    <row r="68" spans="8:9" x14ac:dyDescent="0.25">
      <c r="H68" s="68"/>
      <c r="I68" s="68"/>
    </row>
    <row r="69" spans="8:9" x14ac:dyDescent="0.25">
      <c r="H69" s="68"/>
      <c r="I69" s="68"/>
    </row>
    <row r="70" spans="8:9" x14ac:dyDescent="0.25">
      <c r="H70" s="68"/>
      <c r="I70" s="68"/>
    </row>
    <row r="71" spans="8:9" x14ac:dyDescent="0.25">
      <c r="H71" s="68"/>
      <c r="I71" s="68"/>
    </row>
    <row r="72" spans="8:9" x14ac:dyDescent="0.25">
      <c r="H72" s="68"/>
      <c r="I72" s="68"/>
    </row>
    <row r="73" spans="8:9" x14ac:dyDescent="0.25">
      <c r="H73" s="68"/>
      <c r="I73" s="68"/>
    </row>
    <row r="74" spans="8:9" x14ac:dyDescent="0.25">
      <c r="H74" s="68"/>
      <c r="I74" s="68"/>
    </row>
    <row r="75" spans="8:9" x14ac:dyDescent="0.25">
      <c r="H75" s="68"/>
      <c r="I75" s="68"/>
    </row>
    <row r="76" spans="8:9" x14ac:dyDescent="0.25">
      <c r="H76" s="68"/>
      <c r="I76" s="68"/>
    </row>
    <row r="77" spans="8:9" x14ac:dyDescent="0.25">
      <c r="H77" s="68"/>
      <c r="I77" s="68"/>
    </row>
    <row r="78" spans="8:9" x14ac:dyDescent="0.25">
      <c r="H78" s="68"/>
      <c r="I78" s="68"/>
    </row>
    <row r="79" spans="8:9" x14ac:dyDescent="0.25">
      <c r="H79" s="68"/>
      <c r="I79" s="68"/>
    </row>
    <row r="80" spans="8:9" x14ac:dyDescent="0.25">
      <c r="H80" s="68"/>
      <c r="I80" s="68"/>
    </row>
    <row r="81" spans="8:9" x14ac:dyDescent="0.25">
      <c r="H81" s="68"/>
      <c r="I81" s="68"/>
    </row>
    <row r="82" spans="8:9" x14ac:dyDescent="0.25">
      <c r="H82" s="68"/>
      <c r="I82" s="68"/>
    </row>
    <row r="83" spans="8:9" x14ac:dyDescent="0.25">
      <c r="H83" s="68"/>
      <c r="I83" s="68"/>
    </row>
    <row r="84" spans="8:9" x14ac:dyDescent="0.25">
      <c r="H84" s="68"/>
      <c r="I84" s="68"/>
    </row>
    <row r="85" spans="8:9" x14ac:dyDescent="0.25">
      <c r="H85" s="68"/>
      <c r="I85" s="68"/>
    </row>
    <row r="86" spans="8:9" x14ac:dyDescent="0.25">
      <c r="H86" s="68"/>
      <c r="I86" s="68"/>
    </row>
    <row r="87" spans="8:9" x14ac:dyDescent="0.25">
      <c r="H87" s="68"/>
      <c r="I87" s="68"/>
    </row>
    <row r="88" spans="8:9" x14ac:dyDescent="0.25">
      <c r="H88" s="68"/>
      <c r="I88" s="68"/>
    </row>
    <row r="89" spans="8:9" x14ac:dyDescent="0.25">
      <c r="H89" s="68"/>
      <c r="I89" s="68"/>
    </row>
    <row r="90" spans="8:9" x14ac:dyDescent="0.25">
      <c r="H90" s="68"/>
      <c r="I90" s="68"/>
    </row>
    <row r="91" spans="8:9" x14ac:dyDescent="0.25">
      <c r="H91" s="68"/>
      <c r="I91" s="68"/>
    </row>
    <row r="92" spans="8:9" x14ac:dyDescent="0.25">
      <c r="H92" s="68"/>
      <c r="I92" s="68"/>
    </row>
    <row r="93" spans="8:9" x14ac:dyDescent="0.25">
      <c r="H93" s="68"/>
      <c r="I93" s="68"/>
    </row>
    <row r="94" spans="8:9" x14ac:dyDescent="0.25">
      <c r="H94" s="68"/>
      <c r="I94" s="68"/>
    </row>
  </sheetData>
  <mergeCells count="18">
    <mergeCell ref="G7:G8"/>
    <mergeCell ref="A7:A8"/>
    <mergeCell ref="B7:B8"/>
    <mergeCell ref="C7:C8"/>
    <mergeCell ref="D7:D8"/>
    <mergeCell ref="E7:E8"/>
    <mergeCell ref="AI7:AI8"/>
    <mergeCell ref="H7:H8"/>
    <mergeCell ref="I7:I8"/>
    <mergeCell ref="J7:J8"/>
    <mergeCell ref="K7:K8"/>
    <mergeCell ref="L7:L8"/>
    <mergeCell ref="M7:M8"/>
    <mergeCell ref="N7:N8"/>
    <mergeCell ref="AB7:AB8"/>
    <mergeCell ref="AC7:AC8"/>
    <mergeCell ref="AD7:AD8"/>
    <mergeCell ref="AE7:AE8"/>
  </mergeCells>
  <pageMargins left="0.75" right="0.75" top="1" bottom="1" header="0.5" footer="0.5"/>
  <pageSetup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/>
  <dimension ref="A2:I38"/>
  <sheetViews>
    <sheetView workbookViewId="0">
      <selection activeCell="B8" sqref="B8"/>
    </sheetView>
  </sheetViews>
  <sheetFormatPr defaultRowHeight="13.2" x14ac:dyDescent="0.25"/>
  <cols>
    <col min="2" max="7" width="10.5546875" customWidth="1"/>
  </cols>
  <sheetData>
    <row r="2" spans="1:9" x14ac:dyDescent="0.25">
      <c r="A2" t="s">
        <v>1</v>
      </c>
      <c r="B2" s="148" t="s">
        <v>35</v>
      </c>
      <c r="C2" s="148"/>
      <c r="D2" s="148" t="s">
        <v>16</v>
      </c>
      <c r="E2" s="148"/>
      <c r="F2" s="148" t="s">
        <v>17</v>
      </c>
      <c r="G2" s="148"/>
      <c r="H2" t="s">
        <v>36</v>
      </c>
      <c r="I2" t="s">
        <v>37</v>
      </c>
    </row>
    <row r="3" spans="1:9" x14ac:dyDescent="0.25">
      <c r="B3" s="2" t="s">
        <v>33</v>
      </c>
      <c r="C3" s="2" t="s">
        <v>34</v>
      </c>
      <c r="D3" s="2" t="s">
        <v>33</v>
      </c>
      <c r="E3" s="2" t="s">
        <v>34</v>
      </c>
      <c r="F3" s="2" t="s">
        <v>33</v>
      </c>
      <c r="G3" s="2" t="s">
        <v>34</v>
      </c>
      <c r="H3">
        <v>0.5</v>
      </c>
    </row>
    <row r="4" spans="1:9" x14ac:dyDescent="0.25">
      <c r="A4">
        <v>1997</v>
      </c>
      <c r="B4" s="5">
        <f>('Estimates 3S_strata_TC&amp;RC'!Q10/'Estimates 3S_strata_TC&amp;RC'!O$2)</f>
        <v>128637.21923106705</v>
      </c>
      <c r="C4" s="5">
        <f>('Estimates 3S_strata_TC&amp;RC'!Q10/'Estimates 3S_strata_TC&amp;RC'!O$2)*'Estimates 3S_strata_TC&amp;RC'!L10</f>
        <v>171234.06182030571</v>
      </c>
      <c r="D4" s="5">
        <f>+(('Estimates 3S_strata_TC&amp;RC'!R10+'Estimates 3S_strata_TC&amp;RC'!S10)/'Estimates 3S_strata_TC&amp;RC'!O$2)</f>
        <v>180463.18913327044</v>
      </c>
      <c r="E4" s="5">
        <f>+(('Estimates 3S_strata_TC&amp;RC'!R10+'Estimates 3S_strata_TC&amp;RC'!S10)/'Estimates 3S_strata_TC&amp;RC'!O$2)*'Estimates 3S_strata_TC&amp;RC'!K10</f>
        <v>494167.87658648571</v>
      </c>
      <c r="F4" s="5">
        <f>B4+D4</f>
        <v>309100.40836433752</v>
      </c>
      <c r="G4" s="5">
        <f>+'Estimates 3S_strata_TC&amp;RC'!AC10+'Estimates 3S_strata_TC&amp;RC'!AB10</f>
        <v>665401.93840679142</v>
      </c>
      <c r="I4" s="5">
        <f>E4*$H$3</f>
        <v>247083.93829324286</v>
      </c>
    </row>
    <row r="5" spans="1:9" x14ac:dyDescent="0.25">
      <c r="A5">
        <v>1998</v>
      </c>
      <c r="B5" s="5">
        <f>('Estimates 3S_strata_TC&amp;RC'!Q11/'Estimates 3S_strata_TC&amp;RC'!O$2)</f>
        <v>87141.226745870314</v>
      </c>
      <c r="C5" s="5">
        <f>('Estimates 3S_strata_TC&amp;RC'!Q11/'Estimates 3S_strata_TC&amp;RC'!O$2)*'Estimates 3S_strata_TC&amp;RC'!L11</f>
        <v>117612.38226449495</v>
      </c>
      <c r="D5" s="5">
        <f>+(('Estimates 3S_strata_TC&amp;RC'!R11+'Estimates 3S_strata_TC&amp;RC'!S11)/'Estimates 3S_strata_TC&amp;RC'!O$2)</f>
        <v>186424.75639277825</v>
      </c>
      <c r="E5" s="5">
        <f>+(('Estimates 3S_strata_TC&amp;RC'!R11+'Estimates 3S_strata_TC&amp;RC'!S11)/'Estimates 3S_strata_TC&amp;RC'!O$2)*'Estimates 3S_strata_TC&amp;RC'!K11</f>
        <v>535472.15284132527</v>
      </c>
      <c r="F5" s="5">
        <f t="shared" ref="F5:F19" si="0">B5+D5</f>
        <v>273565.98313864856</v>
      </c>
      <c r="G5" s="5">
        <f>+'Estimates 3S_strata_TC&amp;RC'!AC11+'Estimates 3S_strata_TC&amp;RC'!AB11</f>
        <v>653084.53510582028</v>
      </c>
      <c r="I5" s="5">
        <f t="shared" ref="I5:I14" si="1">E5*$H$3</f>
        <v>267736.07642066263</v>
      </c>
    </row>
    <row r="6" spans="1:9" x14ac:dyDescent="0.25">
      <c r="A6">
        <v>1999</v>
      </c>
      <c r="B6" s="5">
        <f>('Estimates 3S_strata_TC&amp;RC'!Q12/'Estimates 3S_strata_TC&amp;RC'!O$2)</f>
        <v>50029.547176234781</v>
      </c>
      <c r="C6" s="5">
        <f>('Estimates 3S_strata_TC&amp;RC'!Q12/'Estimates 3S_strata_TC&amp;RC'!O$2)*'Estimates 3S_strata_TC&amp;RC'!L12</f>
        <v>64323.900342834604</v>
      </c>
      <c r="D6" s="5">
        <f>+(('Estimates 3S_strata_TC&amp;RC'!R12+'Estimates 3S_strata_TC&amp;RC'!S12)/'Estimates 3S_strata_TC&amp;RC'!O$2)</f>
        <v>153519.45738937749</v>
      </c>
      <c r="E6" s="5">
        <f>+(('Estimates 3S_strata_TC&amp;RC'!R12+'Estimates 3S_strata_TC&amp;RC'!S12)/'Estimates 3S_strata_TC&amp;RC'!O$2)*'Estimates 3S_strata_TC&amp;RC'!K12</f>
        <v>425066.29324998386</v>
      </c>
      <c r="F6" s="5">
        <f t="shared" si="0"/>
        <v>203549.00456561227</v>
      </c>
      <c r="G6" s="5">
        <f>+'Estimates 3S_strata_TC&amp;RC'!AC12+'Estimates 3S_strata_TC&amp;RC'!AB12</f>
        <v>489390.19359281845</v>
      </c>
      <c r="I6" s="5">
        <f t="shared" si="1"/>
        <v>212533.14662499193</v>
      </c>
    </row>
    <row r="7" spans="1:9" x14ac:dyDescent="0.25">
      <c r="A7">
        <v>2000</v>
      </c>
      <c r="B7" s="5">
        <f>('Estimates 3S_strata_TC&amp;RC'!Q13/'Estimates 3S_strata_TC&amp;RC'!O$2)</f>
        <v>66418.578088499766</v>
      </c>
      <c r="C7" s="5">
        <f>('Estimates 3S_strata_TC&amp;RC'!Q13/'Estimates 3S_strata_TC&amp;RC'!O$2)*'Estimates 3S_strata_TC&amp;RC'!L13</f>
        <v>87012.406098028383</v>
      </c>
      <c r="D7" s="5">
        <f>+(('Estimates 3S_strata_TC&amp;RC'!R13+'Estimates 3S_strata_TC&amp;RC'!S13)/'Estimates 3S_strata_TC&amp;RC'!O$2)</f>
        <v>85641.609013123059</v>
      </c>
      <c r="E7" s="5">
        <f>+(('Estimates 3S_strata_TC&amp;RC'!R13+'Estimates 3S_strata_TC&amp;RC'!S13)/'Estimates 3S_strata_TC&amp;RC'!O$2)*'Estimates 3S_strata_TC&amp;RC'!K13</f>
        <v>221745.61348310654</v>
      </c>
      <c r="F7" s="5">
        <f t="shared" si="0"/>
        <v>152060.18710162281</v>
      </c>
      <c r="G7" s="5">
        <f>+'Estimates 3S_strata_TC&amp;RC'!AC13+'Estimates 3S_strata_TC&amp;RC'!AB13</f>
        <v>308758.0195811349</v>
      </c>
      <c r="I7" s="5">
        <f t="shared" si="1"/>
        <v>110872.80674155327</v>
      </c>
    </row>
    <row r="8" spans="1:9" x14ac:dyDescent="0.25">
      <c r="A8">
        <v>2001</v>
      </c>
      <c r="B8" s="5">
        <f>('Estimates 3S_strata_TC&amp;RC'!Q14/'Estimates 3S_strata_TC&amp;RC'!O$2)</f>
        <v>73952.245343896459</v>
      </c>
      <c r="C8" s="5">
        <f>('Estimates 3S_strata_TC&amp;RC'!Q14/'Estimates 3S_strata_TC&amp;RC'!O$2)*'Estimates 3S_strata_TC&amp;RC'!L14</f>
        <v>95416.056289814558</v>
      </c>
      <c r="D8" s="5">
        <f>+(('Estimates 3S_strata_TC&amp;RC'!R14+'Estimates 3S_strata_TC&amp;RC'!S14)/'Estimates 3S_strata_TC&amp;RC'!O$2)</f>
        <v>76989.006089481452</v>
      </c>
      <c r="E8" s="5">
        <f>+(('Estimates 3S_strata_TC&amp;RC'!R14+'Estimates 3S_strata_TC&amp;RC'!S14)/'Estimates 3S_strata_TC&amp;RC'!O$2)*'Estimates 3S_strata_TC&amp;RC'!K14</f>
        <v>196271.66476104915</v>
      </c>
      <c r="F8" s="5">
        <f t="shared" si="0"/>
        <v>150941.25143337791</v>
      </c>
      <c r="G8" s="5">
        <f>+'Estimates 3S_strata_TC&amp;RC'!AC14+'Estimates 3S_strata_TC&amp;RC'!AB14</f>
        <v>291687.72105086374</v>
      </c>
      <c r="I8" s="5">
        <f t="shared" si="1"/>
        <v>98135.832380524575</v>
      </c>
    </row>
    <row r="9" spans="1:9" x14ac:dyDescent="0.25">
      <c r="A9">
        <v>2002</v>
      </c>
      <c r="B9" s="5">
        <f>('Estimates 3S_strata_TC&amp;RC'!Q15/'Estimates 3S_strata_TC&amp;RC'!O$2)</f>
        <v>55268.367806868744</v>
      </c>
      <c r="C9" s="5">
        <f>('Estimates 3S_strata_TC&amp;RC'!Q15/'Estimates 3S_strata_TC&amp;RC'!O$2)*'Estimates 3S_strata_TC&amp;RC'!L15</f>
        <v>71986.864472098066</v>
      </c>
      <c r="D9" s="5">
        <f>+(('Estimates 3S_strata_TC&amp;RC'!R15+'Estimates 3S_strata_TC&amp;RC'!S15)/'Estimates 3S_strata_TC&amp;RC'!O$2)</f>
        <v>83494.807839805624</v>
      </c>
      <c r="E9" s="5">
        <f>+(('Estimates 3S_strata_TC&amp;RC'!R15+'Estimates 3S_strata_TC&amp;RC'!S15)/'Estimates 3S_strata_TC&amp;RC'!O$2)*'Estimates 3S_strata_TC&amp;RC'!K15</f>
        <v>214870.74773601693</v>
      </c>
      <c r="F9" s="5">
        <f t="shared" si="0"/>
        <v>138763.17564667435</v>
      </c>
      <c r="G9" s="5">
        <f>+'Estimates 3S_strata_TC&amp;RC'!AC15+'Estimates 3S_strata_TC&amp;RC'!AB15</f>
        <v>286857.612208115</v>
      </c>
      <c r="I9" s="5">
        <f t="shared" si="1"/>
        <v>107435.37386800846</v>
      </c>
    </row>
    <row r="10" spans="1:9" x14ac:dyDescent="0.25">
      <c r="A10">
        <v>2003</v>
      </c>
      <c r="B10" s="5">
        <f>('Estimates 3S_strata_TC&amp;RC'!Q16/'Estimates 3S_strata_TC&amp;RC'!O$2)</f>
        <v>56446.782661259676</v>
      </c>
      <c r="C10" s="5">
        <f>('Estimates 3S_strata_TC&amp;RC'!Q16/'Estimates 3S_strata_TC&amp;RC'!O$2)*'Estimates 3S_strata_TC&amp;RC'!L16</f>
        <v>74138.463110551806</v>
      </c>
      <c r="D10" s="5">
        <f>+(('Estimates 3S_strata_TC&amp;RC'!R16+'Estimates 3S_strata_TC&amp;RC'!S16)/'Estimates 3S_strata_TC&amp;RC'!O$2)</f>
        <v>73079.484001085148</v>
      </c>
      <c r="E10" s="5">
        <f>+(('Estimates 3S_strata_TC&amp;RC'!R16+'Estimates 3S_strata_TC&amp;RC'!S16)/'Estimates 3S_strata_TC&amp;RC'!O$2)*'Estimates 3S_strata_TC&amp;RC'!K16</f>
        <v>182415.53650254157</v>
      </c>
      <c r="F10" s="5">
        <f t="shared" si="0"/>
        <v>129526.26666234483</v>
      </c>
      <c r="G10" s="5">
        <f>+'Estimates 3S_strata_TC&amp;RC'!AC16+'Estimates 3S_strata_TC&amp;RC'!AB16</f>
        <v>256553.99961309339</v>
      </c>
      <c r="I10" s="5">
        <f t="shared" si="1"/>
        <v>91207.768251270783</v>
      </c>
    </row>
    <row r="11" spans="1:9" x14ac:dyDescent="0.25">
      <c r="A11">
        <v>2004</v>
      </c>
      <c r="B11" s="5">
        <f>('Estimates 3S_strata_TC&amp;RC'!Q17/'Estimates 3S_strata_TC&amp;RC'!O$2)</f>
        <v>47792.537602128592</v>
      </c>
      <c r="C11" s="5">
        <f>('Estimates 3S_strata_TC&amp;RC'!Q17/'Estimates 3S_strata_TC&amp;RC'!O$2)*'Estimates 3S_strata_TC&amp;RC'!L17</f>
        <v>61645.133415224533</v>
      </c>
      <c r="D11" s="5">
        <f>+(('Estimates 3S_strata_TC&amp;RC'!R17+'Estimates 3S_strata_TC&amp;RC'!S17)/'Estimates 3S_strata_TC&amp;RC'!O$2)</f>
        <v>74439.574137464529</v>
      </c>
      <c r="E11" s="5">
        <f>+(('Estimates 3S_strata_TC&amp;RC'!R17+'Estimates 3S_strata_TC&amp;RC'!S17)/'Estimates 3S_strata_TC&amp;RC'!O$2)*'Estimates 3S_strata_TC&amp;RC'!K17</f>
        <v>182584.89465439221</v>
      </c>
      <c r="F11" s="5">
        <f t="shared" si="0"/>
        <v>122232.11173959312</v>
      </c>
      <c r="G11" s="5">
        <f>+'Estimates 3S_strata_TC&amp;RC'!AC17+'Estimates 3S_strata_TC&amp;RC'!AB17</f>
        <v>244230.02806961673</v>
      </c>
      <c r="I11" s="5">
        <f t="shared" si="1"/>
        <v>91292.447327196103</v>
      </c>
    </row>
    <row r="12" spans="1:9" x14ac:dyDescent="0.25">
      <c r="A12">
        <v>2005</v>
      </c>
      <c r="B12" s="5">
        <f>('Estimates 3S_strata_TC&amp;RC'!Q18/'Estimates 3S_strata_TC&amp;RC'!O$2)</f>
        <v>49512.492792987869</v>
      </c>
      <c r="C12" s="5">
        <f>('Estimates 3S_strata_TC&amp;RC'!Q18/'Estimates 3S_strata_TC&amp;RC'!O$2)*'Estimates 3S_strata_TC&amp;RC'!L18</f>
        <v>64803.334441636085</v>
      </c>
      <c r="D12" s="5">
        <f>+(('Estimates 3S_strata_TC&amp;RC'!R18+'Estimates 3S_strata_TC&amp;RC'!S18)/'Estimates 3S_strata_TC&amp;RC'!O$2)</f>
        <v>77402.025411382769</v>
      </c>
      <c r="E12" s="5">
        <f>+(('Estimates 3S_strata_TC&amp;RC'!R18+'Estimates 3S_strata_TC&amp;RC'!S18)/'Estimates 3S_strata_TC&amp;RC'!O$2)*'Estimates 3S_strata_TC&amp;RC'!K18</f>
        <v>197607.45911356917</v>
      </c>
      <c r="F12" s="5">
        <f t="shared" si="0"/>
        <v>126914.51820437063</v>
      </c>
      <c r="G12" s="5">
        <f>+'Estimates 3S_strata_TC&amp;RC'!AC18+'Estimates 3S_strata_TC&amp;RC'!AB18</f>
        <v>262410.79355520528</v>
      </c>
      <c r="I12" s="5">
        <f t="shared" si="1"/>
        <v>98803.729556784587</v>
      </c>
    </row>
    <row r="13" spans="1:9" x14ac:dyDescent="0.25">
      <c r="A13">
        <v>2006</v>
      </c>
      <c r="B13" s="5">
        <f>('Estimates 3S_strata_TC&amp;RC'!Q19/'Estimates 3S_strata_TC&amp;RC'!O$2)</f>
        <v>49902.251023992147</v>
      </c>
      <c r="C13" s="5">
        <f>('Estimates 3S_strata_TC&amp;RC'!Q19/'Estimates 3S_strata_TC&amp;RC'!O$2)*'Estimates 3S_strata_TC&amp;RC'!L19</f>
        <v>67286.944231317844</v>
      </c>
      <c r="D13" s="5">
        <f>+(('Estimates 3S_strata_TC&amp;RC'!R19+'Estimates 3S_strata_TC&amp;RC'!S19)/'Estimates 3S_strata_TC&amp;RC'!O$2)</f>
        <v>76429.86388643524</v>
      </c>
      <c r="E13" s="5">
        <f>+(('Estimates 3S_strata_TC&amp;RC'!R19+'Estimates 3S_strata_TC&amp;RC'!S19)/'Estimates 3S_strata_TC&amp;RC'!O$2)*'Estimates 3S_strata_TC&amp;RC'!K19</f>
        <v>189102.84336478604</v>
      </c>
      <c r="F13" s="5">
        <f t="shared" si="0"/>
        <v>126332.11491042739</v>
      </c>
      <c r="G13" s="5">
        <f>+'Estimates 3S_strata_TC&amp;RC'!AC19+'Estimates 3S_strata_TC&amp;RC'!AB19</f>
        <v>256389.78759610388</v>
      </c>
      <c r="I13" s="5">
        <f t="shared" si="1"/>
        <v>94551.421682393018</v>
      </c>
    </row>
    <row r="14" spans="1:9" x14ac:dyDescent="0.25">
      <c r="A14">
        <v>2007</v>
      </c>
      <c r="B14" s="5">
        <f>('Estimates 3S_strata_TC&amp;RC'!Q20/'Estimates 3S_strata_TC&amp;RC'!O$2)</f>
        <v>67000.211680407287</v>
      </c>
      <c r="C14" s="5">
        <f>('Estimates 3S_strata_TC&amp;RC'!Q20/'Estimates 3S_strata_TC&amp;RC'!O$2)*'Estimates 3S_strata_TC&amp;RC'!L20</f>
        <v>88662.019298702391</v>
      </c>
      <c r="D14" s="5">
        <f>+(('Estimates 3S_strata_TC&amp;RC'!R20+'Estimates 3S_strata_TC&amp;RC'!S20)/'Estimates 3S_strata_TC&amp;RC'!O$2)</f>
        <v>76762.255068404585</v>
      </c>
      <c r="E14" s="5">
        <f>+(('Estimates 3S_strata_TC&amp;RC'!R20+'Estimates 3S_strata_TC&amp;RC'!S20)/'Estimates 3S_strata_TC&amp;RC'!O$2)*'Estimates 3S_strata_TC&amp;RC'!K20</f>
        <v>200680.79699476907</v>
      </c>
      <c r="F14" s="5">
        <f t="shared" si="0"/>
        <v>143762.46674881189</v>
      </c>
      <c r="G14" s="5">
        <f>+'Estimates 3S_strata_TC&amp;RC'!AC20+'Estimates 3S_strata_TC&amp;RC'!AB20</f>
        <v>289342.81629347149</v>
      </c>
      <c r="I14" s="5">
        <f t="shared" si="1"/>
        <v>100340.39849738454</v>
      </c>
    </row>
    <row r="15" spans="1:9" x14ac:dyDescent="0.25">
      <c r="A15">
        <v>2008</v>
      </c>
      <c r="B15" s="5">
        <f>('Estimates 3S_strata_TC&amp;RC'!Q21/'Estimates 3S_strata_TC&amp;RC'!O$2)</f>
        <v>53709.291662916243</v>
      </c>
      <c r="C15" s="5">
        <f>('Estimates 3S_strata_TC&amp;RC'!Q21/'Estimates 3S_strata_TC&amp;RC'!O$2)*'Estimates 3S_strata_TC&amp;RC'!L21</f>
        <v>74093.680638304082</v>
      </c>
      <c r="D15" s="5">
        <f>+(('Estimates 3S_strata_TC&amp;RC'!R21+'Estimates 3S_strata_TC&amp;RC'!S21)/'Estimates 3S_strata_TC&amp;RC'!O$2)</f>
        <v>94401.632296477837</v>
      </c>
      <c r="E15" s="5">
        <f>+(('Estimates 3S_strata_TC&amp;RC'!R21+'Estimates 3S_strata_TC&amp;RC'!S21)/'Estimates 3S_strata_TC&amp;RC'!O$2)*'Estimates 3S_strata_TC&amp;RC'!K21</f>
        <v>259673.3576381233</v>
      </c>
      <c r="F15" s="5">
        <f t="shared" si="0"/>
        <v>148110.92395939407</v>
      </c>
      <c r="G15" s="5">
        <f>+'Estimates 3S_strata_TC&amp;RC'!AC21+'Estimates 3S_strata_TC&amp;RC'!AB21</f>
        <v>333767.03827642737</v>
      </c>
      <c r="I15" s="5">
        <f>E15*$H$3</f>
        <v>129836.67881906165</v>
      </c>
    </row>
    <row r="16" spans="1:9" x14ac:dyDescent="0.25">
      <c r="A16">
        <v>2009</v>
      </c>
      <c r="B16" s="5">
        <f>('Estimates 3S_strata_TC&amp;RC'!Q22/'Estimates 3S_strata_TC&amp;RC'!O$2)</f>
        <v>45808.049834813435</v>
      </c>
      <c r="C16" s="5">
        <f>('Estimates 3S_strata_TC&amp;RC'!Q22/'Estimates 3S_strata_TC&amp;RC'!O$2)*'Estimates 3S_strata_TC&amp;RC'!L22</f>
        <v>64589.350267086942</v>
      </c>
      <c r="D16" s="5">
        <f>+(('Estimates 3S_strata_TC&amp;RC'!R22+'Estimates 3S_strata_TC&amp;RC'!S22)/'Estimates 3S_strata_TC&amp;RC'!O$2)</f>
        <v>88250.980896251553</v>
      </c>
      <c r="E16" s="5">
        <f>+(('Estimates 3S_strata_TC&amp;RC'!R22+'Estimates 3S_strata_TC&amp;RC'!S22)/'Estimates 3S_strata_TC&amp;RC'!O$2)*'Estimates 3S_strata_TC&amp;RC'!K22</f>
        <v>243572.70727365426</v>
      </c>
      <c r="F16" s="5">
        <f t="shared" si="0"/>
        <v>134059.030731065</v>
      </c>
      <c r="G16" s="5">
        <f>+'Estimates 3S_strata_TC&amp;RC'!AC22+'Estimates 3S_strata_TC&amp;RC'!AB22</f>
        <v>308162.05754074123</v>
      </c>
      <c r="I16" s="5">
        <f>E16*$H$3</f>
        <v>121786.35363682713</v>
      </c>
    </row>
    <row r="17" spans="1:9" x14ac:dyDescent="0.25">
      <c r="A17">
        <v>2010</v>
      </c>
      <c r="B17" s="5">
        <f>('Estimates 3S_strata_TC&amp;RC'!Q23/'Estimates 3S_strata_TC&amp;RC'!O$2)</f>
        <v>57687.863202452747</v>
      </c>
      <c r="C17" s="5">
        <f>('Estimates 3S_strata_TC&amp;RC'!Q23/'Estimates 3S_strata_TC&amp;RC'!O$2)*'Estimates 3S_strata_TC&amp;RC'!L23</f>
        <v>81339.887115458376</v>
      </c>
      <c r="D17" s="5">
        <f>+(('Estimates 3S_strata_TC&amp;RC'!R23+'Estimates 3S_strata_TC&amp;RC'!S23)/'Estimates 3S_strata_TC&amp;RC'!O$2)</f>
        <v>74234.513788964803</v>
      </c>
      <c r="E17" s="5">
        <f>+(('Estimates 3S_strata_TC&amp;RC'!R23+'Estimates 3S_strata_TC&amp;RC'!S23)/'Estimates 3S_strata_TC&amp;RC'!O$2)*'Estimates 3S_strata_TC&amp;RC'!K23</f>
        <v>204887.25805754284</v>
      </c>
      <c r="F17" s="5">
        <f t="shared" si="0"/>
        <v>131922.37699141755</v>
      </c>
      <c r="G17" s="5">
        <f>+'Estimates 3S_strata_TC&amp;RC'!AC23+'Estimates 3S_strata_TC&amp;RC'!AB23</f>
        <v>286227.14517300122</v>
      </c>
      <c r="I17" s="5">
        <f>E17*$H$3</f>
        <v>102443.62902877142</v>
      </c>
    </row>
    <row r="18" spans="1:9" x14ac:dyDescent="0.25">
      <c r="A18">
        <v>2011</v>
      </c>
      <c r="B18" s="5">
        <f>('Estimates 3S_strata_TC&amp;RC'!Q24/'Estimates 3S_strata_TC&amp;RC'!O$2)</f>
        <v>59946.266917361536</v>
      </c>
      <c r="C18" s="5">
        <f>('Estimates 3S_strata_TC&amp;RC'!Q24/'Estimates 3S_strata_TC&amp;RC'!O$2)*'Estimates 3S_strata_TC&amp;RC'!L24</f>
        <v>83325.311015132524</v>
      </c>
      <c r="D18" s="5">
        <f>+(('Estimates 3S_strata_TC&amp;RC'!R24+'Estimates 3S_strata_TC&amp;RC'!S24)/'Estimates 3S_strata_TC&amp;RC'!O$2)</f>
        <v>81083.165347210175</v>
      </c>
      <c r="E18" s="5">
        <f>+(('Estimates 3S_strata_TC&amp;RC'!R24+'Estimates 3S_strata_TC&amp;RC'!S24)/'Estimates 3S_strata_TC&amp;RC'!O$2)*'Estimates 3S_strata_TC&amp;RC'!K24</f>
        <v>221357.04139788379</v>
      </c>
      <c r="F18" s="5">
        <f t="shared" si="0"/>
        <v>141029.43226457172</v>
      </c>
      <c r="G18" s="5">
        <f>+'Estimates 3S_strata_TC&amp;RC'!AC24+'Estimates 3S_strata_TC&amp;RC'!AB24</f>
        <v>304682.35241301631</v>
      </c>
      <c r="I18" s="5">
        <f t="shared" ref="I18:I19" si="2">E18*$H$3</f>
        <v>110678.52069894189</v>
      </c>
    </row>
    <row r="19" spans="1:9" x14ac:dyDescent="0.25">
      <c r="A19">
        <v>2012</v>
      </c>
      <c r="B19" s="5">
        <f>('Estimates 3S_strata_TC&amp;RC'!Q25/'Estimates 3S_strata_TC&amp;RC'!O$2)</f>
        <v>84119.60643612055</v>
      </c>
      <c r="C19" s="5">
        <f>('Estimates 3S_strata_TC&amp;RC'!Q25/'Estimates 3S_strata_TC&amp;RC'!O$2)*'Estimates 3S_strata_TC&amp;RC'!L25</f>
        <v>108876.4875052369</v>
      </c>
      <c r="D19" s="5">
        <f>+(('Estimates 3S_strata_TC&amp;RC'!R25+'Estimates 3S_strata_TC&amp;RC'!S25)/'Estimates 3S_strata_TC&amp;RC'!O$2)</f>
        <v>86944.587736763016</v>
      </c>
      <c r="E19" s="5">
        <f>+(('Estimates 3S_strata_TC&amp;RC'!R25+'Estimates 3S_strata_TC&amp;RC'!S25)/'Estimates 3S_strata_TC&amp;RC'!O$2)*'Estimates 3S_strata_TC&amp;RC'!K25</f>
        <v>242442.30292399129</v>
      </c>
      <c r="F19" s="5">
        <f t="shared" si="0"/>
        <v>171064.19417288358</v>
      </c>
      <c r="G19" s="5">
        <f>+'Estimates 3S_strata_TC&amp;RC'!AC25+'Estimates 3S_strata_TC&amp;RC'!AB25</f>
        <v>351318.79042922822</v>
      </c>
      <c r="I19" s="5">
        <f t="shared" si="2"/>
        <v>121221.15146199564</v>
      </c>
    </row>
    <row r="26" spans="1:9" x14ac:dyDescent="0.25">
      <c r="D26" s="6">
        <f>'Estimates 3S_strata_TC&amp;RC'!G10/'CSA Results'!D4</f>
        <v>0.41919352286373424</v>
      </c>
      <c r="E26" s="6">
        <f t="shared" ref="E26:E35" si="3">(D5-D4)/D5</f>
        <v>3.1978409814560162E-2</v>
      </c>
      <c r="F26">
        <f>'Estimates 3S_strata_TC&amp;RC'!G10/'CSA Results'!F4</f>
        <v>0.24473924314856391</v>
      </c>
      <c r="G26" s="6">
        <f t="shared" ref="G26:G35" si="4">(F5-F4)/F5</f>
        <v>-0.12989343491467439</v>
      </c>
    </row>
    <row r="27" spans="1:9" x14ac:dyDescent="0.25">
      <c r="D27" s="6">
        <f>'Estimates 3S_strata_TC&amp;RC'!G11/'CSA Results'!D5</f>
        <v>0.31045769413832019</v>
      </c>
      <c r="E27" s="6">
        <f t="shared" si="3"/>
        <v>-0.21433959944205466</v>
      </c>
      <c r="F27">
        <f>'Estimates 3S_strata_TC&amp;RC'!G11/'CSA Results'!F5</f>
        <v>0.21156504670636192</v>
      </c>
      <c r="G27" s="6">
        <f t="shared" si="4"/>
        <v>-0.34398094317610345</v>
      </c>
    </row>
    <row r="28" spans="1:9" x14ac:dyDescent="0.25">
      <c r="D28" s="6">
        <f>'Estimates 3S_strata_TC&amp;RC'!G12/'CSA Results'!D6</f>
        <v>0.56446265166382747</v>
      </c>
      <c r="E28" s="6">
        <f t="shared" si="3"/>
        <v>-0.79258025577092273</v>
      </c>
      <c r="F28">
        <f>'Estimates 3S_strata_TC&amp;RC'!G12/'CSA Results'!F6</f>
        <v>0.42572549143598087</v>
      </c>
      <c r="G28" s="6">
        <f t="shared" si="4"/>
        <v>-0.33860814224553826</v>
      </c>
    </row>
    <row r="29" spans="1:9" x14ac:dyDescent="0.25">
      <c r="D29" s="6">
        <f>'Estimates 3S_strata_TC&amp;RC'!G13/'CSA Results'!D7</f>
        <v>0.61590388839982513</v>
      </c>
      <c r="E29" s="6">
        <f t="shared" si="3"/>
        <v>-0.11238751301172806</v>
      </c>
      <c r="F29">
        <f>'Estimates 3S_strata_TC&amp;RC'!G13/'CSA Results'!F7</f>
        <v>0.34688238259728588</v>
      </c>
      <c r="G29" s="6">
        <f t="shared" si="4"/>
        <v>-7.4130541360906427E-3</v>
      </c>
    </row>
    <row r="30" spans="1:9" x14ac:dyDescent="0.25">
      <c r="D30" s="6">
        <f>'Estimates 3S_strata_TC&amp;RC'!G14/'CSA Results'!D8</f>
        <v>0.57919958010852068</v>
      </c>
      <c r="E30" s="6">
        <f t="shared" si="3"/>
        <v>7.7918638519490935E-2</v>
      </c>
      <c r="F30">
        <f>'Estimates 3S_strata_TC&amp;RC'!G14/'CSA Results'!F8</f>
        <v>0.29542619778584456</v>
      </c>
      <c r="G30" s="6">
        <f t="shared" si="4"/>
        <v>-8.776158177376954E-2</v>
      </c>
    </row>
    <row r="31" spans="1:9" x14ac:dyDescent="0.25">
      <c r="D31" s="6">
        <f>'Estimates 3S_strata_TC&amp;RC'!G15/'CSA Results'!D9</f>
        <v>0.52255943966852503</v>
      </c>
      <c r="E31" s="6">
        <f t="shared" si="3"/>
        <v>-0.14252048958864871</v>
      </c>
      <c r="F31">
        <f>'Estimates 3S_strata_TC&amp;RC'!G15/'CSA Results'!F9</f>
        <v>0.31442779971464047</v>
      </c>
      <c r="G31" s="6">
        <f t="shared" si="4"/>
        <v>-7.1313017987376506E-2</v>
      </c>
    </row>
    <row r="32" spans="1:9" x14ac:dyDescent="0.25">
      <c r="D32" s="6">
        <f>'Estimates 3S_strata_TC&amp;RC'!G16/'CSA Results'!D10</f>
        <v>0.44907268364829572</v>
      </c>
      <c r="E32" s="6">
        <f t="shared" si="3"/>
        <v>1.8271062833698629E-2</v>
      </c>
      <c r="F32">
        <f>'Estimates 3S_strata_TC&amp;RC'!G16/'CSA Results'!F10</f>
        <v>0.25336945814667466</v>
      </c>
      <c r="G32" s="6">
        <f t="shared" si="4"/>
        <v>-5.9674620841791488E-2</v>
      </c>
    </row>
    <row r="33" spans="3:7" x14ac:dyDescent="0.25">
      <c r="D33" s="6">
        <f>'Estimates 3S_strata_TC&amp;RC'!G17/'CSA Results'!D11</f>
        <v>0.30788730679297571</v>
      </c>
      <c r="E33" s="6">
        <f t="shared" si="3"/>
        <v>3.82735627158741E-2</v>
      </c>
      <c r="F33">
        <f>'Estimates 3S_strata_TC&amp;RC'!G17/'CSA Results'!F11</f>
        <v>0.18750391917328002</v>
      </c>
      <c r="G33" s="6">
        <f t="shared" si="4"/>
        <v>3.6894175158411924E-2</v>
      </c>
    </row>
    <row r="34" spans="3:7" x14ac:dyDescent="0.25">
      <c r="D34" s="6">
        <f>'Estimates 3S_strata_TC&amp;RC'!G18/'CSA Results'!D12</f>
        <v>0.36966732909023026</v>
      </c>
      <c r="E34" s="6">
        <f t="shared" si="3"/>
        <v>-1.2719655322061459E-2</v>
      </c>
      <c r="F34">
        <f>'Estimates 3S_strata_TC&amp;RC'!G18/'CSA Results'!F12</f>
        <v>0.22545096025912847</v>
      </c>
      <c r="G34" s="6">
        <f t="shared" si="4"/>
        <v>-4.6100969207724793E-3</v>
      </c>
    </row>
    <row r="35" spans="3:7" x14ac:dyDescent="0.25">
      <c r="D35" s="6">
        <f>'Estimates 3S_strata_TC&amp;RC'!G19/'CSA Results'!D13</f>
        <v>0.35988550288235904</v>
      </c>
      <c r="E35" s="6">
        <f t="shared" si="3"/>
        <v>4.3301383169781094E-3</v>
      </c>
      <c r="F35">
        <f>'Estimates 3S_strata_TC&amp;RC'!G19/'CSA Results'!F13</f>
        <v>0.21772769354413513</v>
      </c>
      <c r="G35" s="6">
        <f t="shared" si="4"/>
        <v>0.12124410656391679</v>
      </c>
    </row>
    <row r="36" spans="3:7" x14ac:dyDescent="0.25">
      <c r="D36" s="9"/>
      <c r="E36" s="9"/>
    </row>
    <row r="37" spans="3:7" x14ac:dyDescent="0.25">
      <c r="C37" t="s">
        <v>40</v>
      </c>
      <c r="D37" t="s">
        <v>38</v>
      </c>
      <c r="F37" t="s">
        <v>41</v>
      </c>
    </row>
    <row r="38" spans="3:7" x14ac:dyDescent="0.25">
      <c r="C38" t="s">
        <v>39</v>
      </c>
      <c r="D38" s="6">
        <f>AVERAGE(D26:D35)</f>
        <v>0.44982895992566141</v>
      </c>
      <c r="E38" s="6">
        <f>AVERAGE(E26:E35)</f>
        <v>-0.11037757009348137</v>
      </c>
      <c r="F38">
        <f>AVERAGE(F26:F35)</f>
        <v>0.27228181925118961</v>
      </c>
      <c r="G38" s="6">
        <f>AVERAGE(G26:G35)</f>
        <v>-8.8511661027378813E-2</v>
      </c>
    </row>
  </sheetData>
  <mergeCells count="3">
    <mergeCell ref="B2:C2"/>
    <mergeCell ref="D2:E2"/>
    <mergeCell ref="F2:G2"/>
  </mergeCells>
  <phoneticPr fontId="1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Estimates 3S_strata_RC_ONLY</vt:lpstr>
      <vt:lpstr>compare</vt:lpstr>
      <vt:lpstr>parameter_history</vt:lpstr>
      <vt:lpstr>Estimates 3S_strata_TC&amp;RC</vt:lpstr>
      <vt:lpstr>read me</vt:lpstr>
      <vt:lpstr>Estimates 3 original_NOT USE</vt:lpstr>
      <vt:lpstr>CSA Results</vt:lpstr>
    </vt:vector>
  </TitlesOfParts>
  <Company>Department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State of Alaska</dc:creator>
  <cp:lastModifiedBy>Palof, Katie J (DFG)</cp:lastModifiedBy>
  <cp:lastPrinted>2005-08-17T19:42:07Z</cp:lastPrinted>
  <dcterms:created xsi:type="dcterms:W3CDTF">2005-07-11T22:59:37Z</dcterms:created>
  <dcterms:modified xsi:type="dcterms:W3CDTF">2021-11-10T09:25:36Z</dcterms:modified>
</cp:coreProperties>
</file>