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<sst xmlns="http://schemas.openxmlformats.org/spreadsheetml/2006/main" count="519" uniqueCount="402">
  <si>
    <t>Servicio de Kinesiología</t>
  </si>
  <si>
    <t xml:space="preserve">Hoja Ingreso UTI </t>
  </si>
  <si>
    <t>Cama UTI</t>
  </si>
  <si>
    <t>UTI 2</t>
  </si>
  <si>
    <t>HC</t>
  </si>
  <si>
    <t>Fecha de ingreso al hospital</t>
  </si>
  <si>
    <t>SOFA / %</t>
  </si>
  <si>
    <t>Nombre y Apellido:</t>
  </si>
  <si>
    <t>Barbieri Alfredo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</si>
  <si>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</si>
  <si>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</si>
  <si>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</si>
  <si>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</si>
  <si>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</si>
  <si>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</si>
  <si>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</si>
  <si>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</si>
  <si>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</si>
  <si>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</si>
  <si>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</si>
  <si>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</si>
  <si>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</si>
  <si>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IAM</t>
  </si>
  <si>
    <t>TEC</t>
  </si>
  <si>
    <t>OTROS</t>
  </si>
  <si>
    <t>HTA</t>
  </si>
  <si>
    <t>Motivo de ingreso:</t>
  </si>
  <si>
    <t>HSA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</si>
  <si>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</si>
  <si>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</si>
  <si>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</si>
  <si>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</si>
  <si>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</si>
  <si>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</si>
  <si>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</si>
  <si>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</si>
  <si>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</si>
  <si>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</si>
  <si>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</si>
  <si>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</si>
  <si>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</si>
  <si>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</si>
  <si>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</si>
  <si>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</si>
  <si>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</si>
  <si>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</si>
  <si>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</si>
  <si>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</si>
  <si>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</si>
  <si>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</si>
  <si>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</si>
  <si>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</si>
  <si>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</si>
  <si>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</si>
  <si>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</si>
  <si>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</si>
  <si>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</si>
  <si>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</si>
  <si>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</si>
  <si>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</si>
  <si>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</si>
  <si>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</si>
  <si>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</si>
  <si>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</si>
  <si>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</si>
  <si>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</si>
  <si>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</si>
  <si>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</si>
  <si>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</si>
  <si>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</si>
  <si>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</si>
  <si>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</si>
  <si>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</si>
  <si>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</si>
  <si>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</si>
  <si>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</si>
  <si>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</si>
  <si>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</si>
  <si>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</si>
  <si>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</si>
  <si>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</si>
  <si>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</si>
  <si>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</si>
  <si>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</si>
  <si>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</si>
  <si>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</si>
  <si>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</si>
  <si>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</si>
  <si>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</si>
  <si>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</si>
  <si>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</si>
  <si>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</si>
  <si>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</si>
  <si>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</si>
  <si>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</si>
  <si>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</si>
  <si>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</si>
  <si>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</si>
  <si>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</si>
  <si>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</si>
  <si>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</si>
  <si>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</si>
  <si>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SI</t>
  </si>
  <si>
    <t>Causa de muerte</t>
  </si>
  <si>
    <t>PCR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</si>
  <si>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</si>
  <si>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</si>
  <si>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</si>
  <si>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</si>
  <si>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</si>
  <si>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</si>
  <si>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</si>
  <si>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</si>
  <si>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</si>
  <si>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</si>
  <si>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</si>
  <si>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</si>
  <si>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</si>
  <si>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</si>
  <si>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</si>
  <si>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</si>
  <si>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</si>
  <si>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</si>
  <si>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</si>
  <si>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</si>
  <si>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</si>
  <si>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</si>
  <si>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</si>
  <si>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</si>
  <si>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</si>
  <si>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</si>
  <si>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</si>
  <si>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</si>
  <si>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</si>
  <si>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</si>
  <si>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</si>
  <si>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</si>
  <si>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</si>
  <si>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</si>
  <si>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</si>
  <si>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</si>
  <si>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</si>
  <si>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</si>
  <si>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</si>
  <si>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</si>
  <si>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</si>
  <si>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</si>
  <si>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</si>
  <si>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</si>
  <si>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</si>
  <si>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</si>
  <si>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</si>
  <si>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</si>
  <si>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</si>
  <si>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</si>
  <si>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</si>
  <si>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</si>
  <si>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</si>
  <si>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</si>
  <si>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</si>
  <si>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</si>
  <si>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</si>
  <si>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</si>
  <si>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</si>
  <si>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</si>
  <si>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</si>
  <si>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</si>
  <si>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</si>
  <si>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</si>
  <si>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</si>
  <si>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</si>
  <si>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</si>
  <si>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</si>
  <si>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</si>
  <si>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</si>
  <si>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</si>
  <si>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</si>
  <si>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</si>
  <si>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</si>
  <si>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</si>
  <si>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</si>
  <si>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</si>
  <si>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</si>
  <si>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</si>
  <si>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</si>
  <si>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</si>
  <si>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</si>
  <si>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</si>
  <si>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</si>
  <si>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</si>
  <si>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</si>
  <si>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</si>
  <si>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</si>
  <si>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</si>
  <si>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</si>
  <si>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</si>
  <si>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</si>
  <si>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</si>
  <si>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</si>
  <si>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</si>
  <si>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</si>
  <si>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</si>
  <si>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</si>
  <si>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</si>
  <si>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</si>
  <si>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</si>
  <si>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</si>
  <si>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</si>
  <si>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</si>
  <si>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</si>
  <si>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</si>
  <si>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</si>
  <si>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</si>
  <si>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</si>
  <si>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</si>
  <si>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</si>
  <si>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</si>
  <si>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</si>
  <si>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</si>
  <si>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</si>
  <si>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</si>
  <si>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</si>
  <si>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</si>
  <si>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</si>
  <si>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</si>
  <si>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</si>
  <si>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</si>
  <si>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</si>
  <si>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</si>
  <si>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</si>
  <si>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</si>
  <si>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</si>
  <si>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</si>
  <si>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</si>
  <si>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</si>
  <si>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</si>
  <si>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</si>
  <si>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</si>
  <si>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</si>
  <si>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</si>
  <si>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</si>
  <si>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</si>
  <si>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</si>
  <si>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</si>
  <si>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</si>
  <si>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</si>
  <si>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</si>
  <si>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</si>
  <si>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</si>
  <si>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</si>
  <si>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</si>
  <si>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</si>
  <si>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</si>
  <si>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</si>
  <si>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</si>
  <si>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</si>
  <si>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</si>
  <si>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</si>
  <si>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</si>
  <si>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</si>
  <si>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</si>
  <si>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</si>
  <si>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</si>
  <si>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</si>
  <si>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IC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</si>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</sst>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3" fillId="0" fontId="3" numFmtId="0" xfId="0" applyBorder="1" applyFont="1"/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2" xfId="0" applyAlignment="1" applyBorder="1" applyFont="1" applyNumberFormat="1">
      <alignment horizontal="center"/>
    </xf>
    <xf borderId="24" fillId="8" fontId="3" numFmtId="2" xfId="0" applyAlignment="1" applyBorder="1" applyFont="1" applyNumberFormat="1">
      <alignment horizontal="center"/>
    </xf>
    <xf borderId="23" fillId="8" fontId="3" numFmtId="2" xfId="0" applyAlignment="1" applyBorder="1" applyFont="1" applyNumberFormat="1">
      <alignment horizontal="center"/>
    </xf>
    <xf borderId="23" fillId="9" fontId="3" numFmtId="2" xfId="0" applyAlignment="1" applyBorder="1" applyFont="1" applyNumberFormat="1">
      <alignment horizontal="center"/>
    </xf>
    <xf borderId="24" fillId="9" fontId="3" numFmtId="2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165536.0</v>
      </c>
      <c r="E3" s="12" t="s">
        <v>5</v>
      </c>
      <c r="F3" s="13"/>
      <c r="G3" s="14">
        <v>44230.0</v>
      </c>
      <c r="H3" s="15" t="s">
        <v>6</v>
      </c>
      <c r="I3" s="16">
        <v>7.0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44230.0</v>
      </c>
      <c r="H4" s="25" t="s">
        <v>10</v>
      </c>
      <c r="I4" s="26">
        <v>35.0</v>
      </c>
      <c r="J4" s="27">
        <v>74.5</v>
      </c>
      <c r="K4" s="18"/>
      <c r="L4" s="28"/>
    </row>
    <row r="5">
      <c r="A5" s="29" t="s">
        <v>11</v>
      </c>
      <c r="B5" s="30">
        <v>83.0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54.0</v>
      </c>
      <c r="J5" s="27">
        <v>55.2</v>
      </c>
      <c r="K5" s="18"/>
      <c r="L5" s="28"/>
    </row>
    <row r="6">
      <c r="A6" s="37" t="s">
        <v>16</v>
      </c>
      <c r="B6" s="38">
        <v>177.0</v>
      </c>
      <c r="C6" s="39" t="s">
        <v>17</v>
      </c>
      <c r="D6" s="40">
        <f>IFS(D5="Mujer",((B6-152.4)*0.91)+45.5,D5="Hombre",((B6-152.4)*0.91)+50,D5="","")</f>
        <v>72.386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44230.0</v>
      </c>
      <c r="C22" s="74" t="s">
        <v>39</v>
      </c>
      <c r="D22" s="75"/>
      <c r="E22" s="74" t="s">
        <v>40</v>
      </c>
      <c r="F22" s="32"/>
      <c r="G22" s="74" t="s">
        <v>41</v>
      </c>
      <c r="H22" s="73">
        <v>44230.0</v>
      </c>
      <c r="I22" s="76" t="s">
        <v>42</v>
      </c>
      <c r="J22" s="77">
        <v>44237.0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/>
      <c r="E23" s="81" t="s">
        <v>45</v>
      </c>
      <c r="F23" s="82"/>
      <c r="G23" s="83" t="s">
        <v>46</v>
      </c>
      <c r="H23" s="84"/>
      <c r="I23" s="85" t="s">
        <v>47</v>
      </c>
      <c r="J23" s="86"/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75">
        <v>0.0</v>
      </c>
      <c r="E25" s="61" t="s">
        <v>52</v>
      </c>
      <c r="F25" s="75">
        <v>0.0</v>
      </c>
      <c r="G25" s="87" t="s">
        <v>53</v>
      </c>
      <c r="H25" s="75">
        <v>0.0</v>
      </c>
      <c r="I25" s="87" t="s">
        <v>54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89"/>
      <c r="C26" s="90" t="s">
        <v>56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57</v>
      </c>
      <c r="B27" s="94"/>
      <c r="C27" s="95" t="s">
        <v>58</v>
      </c>
      <c r="D27" s="96"/>
      <c r="E27" s="97" t="s">
        <v>59</v>
      </c>
      <c r="F27" s="96"/>
      <c r="G27" s="98" t="s">
        <v>60</v>
      </c>
      <c r="H27" s="99">
        <v>4.0</v>
      </c>
      <c r="I27" s="90" t="s">
        <v>61</v>
      </c>
      <c r="J27" s="100">
        <v>1.0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63</v>
      </c>
      <c r="B29" s="102"/>
      <c r="C29" s="74" t="s">
        <v>64</v>
      </c>
      <c r="D29" s="32"/>
      <c r="E29" s="74" t="s">
        <v>65</v>
      </c>
      <c r="F29" s="32"/>
      <c r="G29" s="103" t="s">
        <v>66</v>
      </c>
      <c r="H29" s="104"/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>
        <v>44237.0</v>
      </c>
      <c r="C30" s="90" t="s">
        <v>70</v>
      </c>
      <c r="D30" s="75" t="s">
        <v>71</v>
      </c>
      <c r="E30" s="108" t="s">
        <v>72</v>
      </c>
      <c r="F30" s="71" t="s">
        <v>73</v>
      </c>
      <c r="G30" s="109" t="s">
        <v>74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75</v>
      </c>
      <c r="B31" s="111"/>
      <c r="C31" s="90" t="s">
        <v>76</v>
      </c>
      <c r="D31" s="64"/>
      <c r="E31" s="90" t="s">
        <v>77</v>
      </c>
      <c r="F31" s="112"/>
      <c r="G31" s="113" t="s">
        <v>78</v>
      </c>
      <c r="H31" s="32"/>
      <c r="I31" s="74" t="s">
        <v>79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80</v>
      </c>
      <c r="B32" s="30"/>
      <c r="C32" s="61" t="s">
        <v>76</v>
      </c>
      <c r="D32" s="115"/>
      <c r="E32" s="61" t="s">
        <v>77</v>
      </c>
      <c r="F32" s="115"/>
      <c r="G32" s="90" t="s">
        <v>78</v>
      </c>
      <c r="H32" s="30"/>
      <c r="I32" s="74" t="s">
        <v>81</v>
      </c>
      <c r="J32" s="116"/>
    </row>
    <row r="33" ht="15.75" customHeight="1">
      <c r="A33" s="117" t="s">
        <v>82</v>
      </c>
      <c r="B33" s="82" t="s">
        <v>73</v>
      </c>
      <c r="C33" s="103" t="s">
        <v>49</v>
      </c>
      <c r="D33" s="118"/>
      <c r="E33" s="83" t="s">
        <v>83</v>
      </c>
      <c r="F33" s="119" t="s">
        <v>84</v>
      </c>
      <c r="G33" s="120"/>
      <c r="H33" s="121" t="s">
        <v>85</v>
      </c>
      <c r="I33" s="68">
        <v>0.0</v>
      </c>
      <c r="J33" s="122"/>
    </row>
    <row r="34" ht="21.0" customHeight="1">
      <c r="A34" s="123" t="s">
        <v>86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87</v>
      </c>
      <c r="B35" s="127"/>
      <c r="C35" s="128"/>
      <c r="D35" s="129" t="s">
        <v>88</v>
      </c>
      <c r="E35" s="130"/>
      <c r="F35" s="131" t="s">
        <v>89</v>
      </c>
      <c r="G35" s="127"/>
      <c r="H35" s="132"/>
      <c r="I35" s="87" t="s">
        <v>90</v>
      </c>
      <c r="J35" s="114"/>
    </row>
    <row r="36" ht="15.75" customHeight="1">
      <c r="A36" s="133" t="s">
        <v>91</v>
      </c>
      <c r="C36" s="134"/>
      <c r="D36" s="135" t="s">
        <v>92</v>
      </c>
      <c r="E36" s="136"/>
      <c r="F36" s="137" t="s">
        <v>93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94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95</v>
      </c>
      <c r="B38" s="146" t="s">
        <v>96</v>
      </c>
      <c r="C38" s="129" t="s">
        <v>97</v>
      </c>
      <c r="D38" s="128">
        <v>44237.0</v>
      </c>
      <c r="E38" s="147"/>
      <c r="F38" s="148" t="s">
        <v>98</v>
      </c>
      <c r="G38" s="127"/>
      <c r="H38" s="146" t="s">
        <v>73</v>
      </c>
      <c r="I38" s="149" t="s">
        <v>99</v>
      </c>
      <c r="J38" s="150" t="s">
        <v>100</v>
      </c>
      <c r="L38" s="144"/>
    </row>
    <row r="39" ht="18.0" customHeight="1">
      <c r="A39" s="151" t="s">
        <v>101</v>
      </c>
      <c r="B39" s="134" t="s">
        <v>102</v>
      </c>
      <c r="C39" s="152" t="s">
        <v>97</v>
      </c>
      <c r="D39" s="153"/>
      <c r="E39" s="154"/>
      <c r="F39" s="155" t="s">
        <v>103</v>
      </c>
      <c r="G39" s="156"/>
      <c r="H39" s="157" t="s">
        <v>104</v>
      </c>
      <c r="I39" s="158"/>
      <c r="J39" s="159"/>
    </row>
    <row r="40" ht="18.0" customHeight="1">
      <c r="A40" s="160" t="s">
        <v>105</v>
      </c>
      <c r="B40" s="161"/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106</v>
      </c>
      <c r="B42" s="167" t="s">
        <v>107</v>
      </c>
      <c r="C42" s="167" t="s">
        <v>108</v>
      </c>
      <c r="D42" s="167" t="s">
        <v>109</v>
      </c>
      <c r="E42" s="168" t="s">
        <v>110</v>
      </c>
      <c r="F42" s="167" t="s">
        <v>111</v>
      </c>
      <c r="G42" s="169" t="s">
        <v>112</v>
      </c>
      <c r="H42" s="169" t="s">
        <v>113</v>
      </c>
      <c r="I42" s="170" t="s">
        <v>114</v>
      </c>
      <c r="J42" s="171" t="s">
        <v>115</v>
      </c>
    </row>
    <row r="43" ht="15.75" customHeight="1">
      <c r="A43" s="172" t="s">
        <v>116</v>
      </c>
      <c r="B43" s="173">
        <f>+Monitoreo!F65</f>
        <v>7</v>
      </c>
      <c r="C43" s="173">
        <f>+Monitoreo!C65</f>
        <v>2</v>
      </c>
      <c r="D43" s="173">
        <f>+Monitoreo!I65</f>
        <v>3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7</v>
      </c>
      <c r="I43" s="175">
        <f>IFS(H22="","",H22=J22,"1",J22&gt;0,J22-H22,H22&gt;0,TODAY()-H22)</f>
        <v>7</v>
      </c>
      <c r="J43" s="176">
        <f>IFS(G4="","",G4=D38,"1",D38&gt;0,D38-G4,G4&gt;0,TODAY()-G4)</f>
        <v>7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AB1" s="183"/>
      <c r="AC1" s="183"/>
      <c r="AD1" s="183"/>
      <c r="AE1" s="183"/>
    </row>
    <row r="2">
      <c r="A2" s="184" t="s">
        <v>117</v>
      </c>
      <c r="B2" s="185"/>
      <c r="C2" s="186"/>
      <c r="D2" s="186"/>
      <c r="E2" s="186" t="s">
        <v>0</v>
      </c>
      <c r="G2" s="181"/>
      <c r="H2" s="187" t="s">
        <v>118</v>
      </c>
      <c r="I2" s="188"/>
      <c r="J2" s="189">
        <f>+General!D6</f>
        <v>72.386</v>
      </c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I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119</v>
      </c>
      <c r="B5" s="193" t="s">
        <v>97</v>
      </c>
      <c r="C5" s="194">
        <v>44231.0</v>
      </c>
      <c r="D5" s="194">
        <v>44232.0</v>
      </c>
      <c r="E5" s="194">
        <v>44233.0</v>
      </c>
      <c r="F5" s="194">
        <v>44234.0</v>
      </c>
      <c r="G5" s="194">
        <v>44235.0</v>
      </c>
      <c r="H5" s="194">
        <v>44236.0</v>
      </c>
      <c r="I5" s="195">
        <v>44237.0</v>
      </c>
      <c r="J5" s="196"/>
      <c r="K5" s="196"/>
      <c r="L5" s="196"/>
      <c r="M5" s="196"/>
      <c r="N5" s="197"/>
      <c r="O5" s="196"/>
      <c r="P5" s="198"/>
      <c r="Q5" s="196"/>
      <c r="R5" s="196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120</v>
      </c>
      <c r="C6" s="207">
        <v>59.0</v>
      </c>
      <c r="D6" s="208">
        <v>72.0</v>
      </c>
      <c r="E6" s="209">
        <v>90.0</v>
      </c>
      <c r="F6" s="210">
        <v>111.0</v>
      </c>
      <c r="G6" s="211">
        <v>102.0</v>
      </c>
      <c r="H6" s="212">
        <v>96.0</v>
      </c>
      <c r="I6" s="213">
        <v>67.0</v>
      </c>
      <c r="J6" s="214"/>
      <c r="K6" s="215"/>
      <c r="L6" s="216"/>
      <c r="M6" s="217"/>
      <c r="N6" s="218"/>
      <c r="O6" s="215"/>
      <c r="P6" s="219"/>
      <c r="Q6" s="217"/>
      <c r="R6" s="214"/>
      <c r="S6" s="220"/>
      <c r="T6" s="221"/>
      <c r="U6" s="222"/>
      <c r="V6" s="223"/>
      <c r="W6" s="220"/>
      <c r="X6" s="221"/>
      <c r="Y6" s="222"/>
      <c r="Z6" s="221"/>
      <c r="AA6" s="222"/>
      <c r="AB6" s="224"/>
      <c r="AC6" s="225"/>
      <c r="AD6" s="226"/>
      <c r="AE6" s="204"/>
    </row>
    <row r="7">
      <c r="A7" s="205"/>
      <c r="B7" s="227" t="s">
        <v>121</v>
      </c>
      <c r="C7" s="228">
        <v>126.0</v>
      </c>
      <c r="D7" s="229">
        <v>113.0</v>
      </c>
      <c r="E7" s="230">
        <v>124.0</v>
      </c>
      <c r="F7" s="231">
        <v>153.0</v>
      </c>
      <c r="G7" s="232">
        <v>103.0</v>
      </c>
      <c r="H7" s="233">
        <v>172.0</v>
      </c>
      <c r="I7" s="234">
        <v>144.0</v>
      </c>
      <c r="J7" s="235"/>
      <c r="K7" s="236"/>
      <c r="L7" s="237"/>
      <c r="M7" s="238"/>
      <c r="N7" s="239"/>
      <c r="O7" s="236"/>
      <c r="P7" s="240"/>
      <c r="Q7" s="238"/>
      <c r="R7" s="239"/>
      <c r="S7" s="241"/>
      <c r="T7" s="242"/>
      <c r="U7" s="243"/>
      <c r="V7" s="244"/>
      <c r="W7" s="241"/>
      <c r="X7" s="242"/>
      <c r="Y7" s="243"/>
      <c r="Z7" s="242"/>
      <c r="AA7" s="243"/>
      <c r="AB7" s="245"/>
      <c r="AC7" s="246"/>
      <c r="AD7" s="247"/>
      <c r="AE7" s="204"/>
    </row>
    <row r="8">
      <c r="A8" s="205"/>
      <c r="B8" s="227" t="s">
        <v>122</v>
      </c>
      <c r="C8" s="228">
        <v>69.0</v>
      </c>
      <c r="D8" s="233">
        <v>63.0</v>
      </c>
      <c r="E8" s="228">
        <v>55.0</v>
      </c>
      <c r="F8" s="231">
        <v>88.0</v>
      </c>
      <c r="G8" s="232">
        <v>92.0</v>
      </c>
      <c r="H8" s="233">
        <v>98.0</v>
      </c>
      <c r="I8" s="248">
        <v>74.0</v>
      </c>
      <c r="J8" s="239"/>
      <c r="K8" s="249"/>
      <c r="L8" s="250"/>
      <c r="M8" s="238"/>
      <c r="N8" s="239"/>
      <c r="O8" s="249"/>
      <c r="P8" s="240"/>
      <c r="Q8" s="238"/>
      <c r="R8" s="235"/>
      <c r="S8" s="241"/>
      <c r="T8" s="242"/>
      <c r="U8" s="243"/>
      <c r="V8" s="244"/>
      <c r="W8" s="241"/>
      <c r="X8" s="242"/>
      <c r="Y8" s="243"/>
      <c r="Z8" s="242"/>
      <c r="AA8" s="243"/>
      <c r="AB8" s="245"/>
      <c r="AC8" s="246"/>
      <c r="AD8" s="247"/>
      <c r="AE8" s="204"/>
    </row>
    <row r="9">
      <c r="A9" s="205"/>
      <c r="B9" s="251" t="s">
        <v>123</v>
      </c>
      <c r="C9" s="228">
        <v>33.6</v>
      </c>
      <c r="D9" s="233">
        <v>35.2</v>
      </c>
      <c r="E9" s="228">
        <v>35.4</v>
      </c>
      <c r="F9" s="231">
        <v>36.2</v>
      </c>
      <c r="G9" s="252"/>
      <c r="H9" s="253"/>
      <c r="I9" s="248">
        <v>33.0</v>
      </c>
      <c r="J9" s="239"/>
      <c r="K9" s="249"/>
      <c r="L9" s="250"/>
      <c r="M9" s="238"/>
      <c r="N9" s="239"/>
      <c r="O9" s="249"/>
      <c r="P9" s="240"/>
      <c r="Q9" s="238"/>
      <c r="R9" s="235"/>
      <c r="S9" s="241"/>
      <c r="T9" s="242"/>
      <c r="U9" s="243"/>
      <c r="V9" s="244"/>
      <c r="W9" s="241"/>
      <c r="X9" s="242"/>
      <c r="Y9" s="243"/>
      <c r="Z9" s="242"/>
      <c r="AA9" s="243"/>
      <c r="AB9" s="245"/>
      <c r="AC9" s="246"/>
      <c r="AD9" s="247"/>
      <c r="AE9" s="204"/>
    </row>
    <row r="10">
      <c r="A10" s="205"/>
      <c r="B10" s="251" t="s">
        <v>124</v>
      </c>
      <c r="C10" s="228">
        <v>95.0</v>
      </c>
      <c r="D10" s="229">
        <v>96.0</v>
      </c>
      <c r="E10" s="230">
        <v>100.0</v>
      </c>
      <c r="F10" s="231">
        <v>98.0</v>
      </c>
      <c r="G10" s="232">
        <v>98.0</v>
      </c>
      <c r="H10" s="233">
        <v>98.0</v>
      </c>
      <c r="I10" s="234">
        <v>100.0</v>
      </c>
      <c r="J10" s="235"/>
      <c r="K10" s="236"/>
      <c r="L10" s="237"/>
      <c r="M10" s="238"/>
      <c r="N10" s="239"/>
      <c r="O10" s="236"/>
      <c r="P10" s="240"/>
      <c r="Q10" s="238"/>
      <c r="R10" s="235"/>
      <c r="S10" s="241"/>
      <c r="T10" s="242"/>
      <c r="U10" s="243"/>
      <c r="V10" s="244"/>
      <c r="W10" s="241"/>
      <c r="X10" s="242"/>
      <c r="Y10" s="243"/>
      <c r="Z10" s="242"/>
      <c r="AA10" s="243"/>
      <c r="AB10" s="245"/>
      <c r="AC10" s="246"/>
      <c r="AD10" s="247"/>
      <c r="AE10" s="204"/>
    </row>
    <row r="11">
      <c r="A11" s="205"/>
      <c r="B11" s="254" t="s">
        <v>125</v>
      </c>
      <c r="C11" s="230">
        <v>0.0</v>
      </c>
      <c r="D11" s="229">
        <v>0.0</v>
      </c>
      <c r="E11" s="230">
        <v>0.0</v>
      </c>
      <c r="F11" s="231">
        <v>2.0</v>
      </c>
      <c r="G11" s="232">
        <v>0.0</v>
      </c>
      <c r="H11" s="253"/>
      <c r="I11" s="255"/>
      <c r="J11" s="235"/>
      <c r="K11" s="236"/>
      <c r="L11" s="237"/>
      <c r="M11" s="238"/>
      <c r="N11" s="239"/>
      <c r="O11" s="236"/>
      <c r="P11" s="240"/>
      <c r="Q11" s="238"/>
      <c r="R11" s="235"/>
      <c r="S11" s="241"/>
      <c r="T11" s="242"/>
      <c r="U11" s="243"/>
      <c r="V11" s="244"/>
      <c r="W11" s="241"/>
      <c r="X11" s="242"/>
      <c r="Y11" s="243"/>
      <c r="Z11" s="242"/>
      <c r="AA11" s="243"/>
      <c r="AB11" s="245"/>
      <c r="AC11" s="246"/>
      <c r="AD11" s="247"/>
      <c r="AE11" s="204"/>
    </row>
    <row r="12">
      <c r="A12" s="205"/>
      <c r="B12" s="256"/>
      <c r="C12" s="230" t="s">
        <v>126</v>
      </c>
      <c r="D12" s="257" t="s">
        <v>126</v>
      </c>
      <c r="E12" s="230" t="s">
        <v>126</v>
      </c>
      <c r="F12" s="257" t="s">
        <v>126</v>
      </c>
      <c r="G12" s="230" t="s">
        <v>126</v>
      </c>
      <c r="H12" s="257" t="s">
        <v>126</v>
      </c>
      <c r="I12" s="234" t="s">
        <v>126</v>
      </c>
      <c r="J12" s="257"/>
      <c r="K12" s="230"/>
      <c r="L12" s="257"/>
      <c r="M12" s="230"/>
      <c r="N12" s="257"/>
      <c r="O12" s="230"/>
      <c r="P12" s="258"/>
      <c r="Q12" s="230"/>
      <c r="R12" s="257"/>
      <c r="S12" s="230"/>
      <c r="T12" s="257"/>
      <c r="U12" s="230"/>
      <c r="V12" s="257"/>
      <c r="W12" s="230"/>
      <c r="X12" s="257"/>
      <c r="Y12" s="230"/>
      <c r="Z12" s="257"/>
      <c r="AA12" s="230"/>
      <c r="AB12" s="257"/>
      <c r="AC12" s="230"/>
      <c r="AD12" s="258"/>
      <c r="AE12" s="204"/>
    </row>
    <row r="13">
      <c r="A13" s="205"/>
      <c r="B13" s="254" t="s">
        <v>127</v>
      </c>
      <c r="C13" s="230">
        <v>-5.0</v>
      </c>
      <c r="D13" s="229">
        <v>-5.0</v>
      </c>
      <c r="E13" s="230">
        <v>-4.0</v>
      </c>
      <c r="F13" s="259">
        <v>-4.0</v>
      </c>
      <c r="G13" s="257">
        <v>-4.0</v>
      </c>
      <c r="H13" s="229">
        <v>-3.0</v>
      </c>
      <c r="I13" s="234">
        <v>-4.0</v>
      </c>
      <c r="J13" s="235"/>
      <c r="K13" s="236"/>
      <c r="L13" s="237"/>
      <c r="M13" s="238"/>
      <c r="N13" s="235"/>
      <c r="O13" s="236"/>
      <c r="P13" s="240"/>
      <c r="Q13" s="238"/>
      <c r="R13" s="235"/>
      <c r="S13" s="241"/>
      <c r="T13" s="242"/>
      <c r="U13" s="243"/>
      <c r="V13" s="244"/>
      <c r="W13" s="241"/>
      <c r="X13" s="242"/>
      <c r="Y13" s="243"/>
      <c r="Z13" s="242"/>
      <c r="AA13" s="243"/>
      <c r="AB13" s="245"/>
      <c r="AC13" s="246"/>
      <c r="AD13" s="247"/>
      <c r="AE13" s="204"/>
    </row>
    <row r="14">
      <c r="A14" s="205"/>
      <c r="B14" s="256"/>
      <c r="C14" s="230" t="s">
        <v>128</v>
      </c>
      <c r="D14" s="257" t="s">
        <v>128</v>
      </c>
      <c r="E14" s="230"/>
      <c r="F14" s="257"/>
      <c r="G14" s="230"/>
      <c r="H14" s="257"/>
      <c r="I14" s="234"/>
      <c r="J14" s="257"/>
      <c r="K14" s="230"/>
      <c r="L14" s="257"/>
      <c r="M14" s="230"/>
      <c r="N14" s="257"/>
      <c r="O14" s="230"/>
      <c r="P14" s="258"/>
      <c r="Q14" s="230"/>
      <c r="R14" s="257"/>
      <c r="S14" s="230"/>
      <c r="T14" s="257"/>
      <c r="U14" s="230"/>
      <c r="V14" s="257"/>
      <c r="W14" s="230"/>
      <c r="X14" s="257"/>
      <c r="Y14" s="230"/>
      <c r="Z14" s="257"/>
      <c r="AA14" s="230"/>
      <c r="AB14" s="257"/>
      <c r="AC14" s="230"/>
      <c r="AD14" s="260"/>
      <c r="AE14" s="204"/>
    </row>
    <row r="15">
      <c r="A15" s="205"/>
      <c r="B15" s="261" t="s">
        <v>129</v>
      </c>
      <c r="C15" s="230" t="s">
        <v>130</v>
      </c>
      <c r="D15" s="257" t="s">
        <v>130</v>
      </c>
      <c r="E15" s="230" t="s">
        <v>130</v>
      </c>
      <c r="F15" s="257" t="s">
        <v>130</v>
      </c>
      <c r="G15" s="230" t="s">
        <v>130</v>
      </c>
      <c r="H15" s="257"/>
      <c r="I15" s="234"/>
      <c r="J15" s="257"/>
      <c r="K15" s="262"/>
      <c r="L15" s="263"/>
      <c r="M15" s="262"/>
      <c r="N15" s="263"/>
      <c r="O15" s="262"/>
      <c r="P15" s="264"/>
      <c r="Q15" s="262"/>
      <c r="R15" s="263"/>
      <c r="S15" s="262"/>
      <c r="T15" s="263"/>
      <c r="U15" s="262"/>
      <c r="V15" s="263"/>
      <c r="W15" s="262"/>
      <c r="X15" s="263"/>
      <c r="Y15" s="262"/>
      <c r="Z15" s="265"/>
      <c r="AA15" s="262"/>
      <c r="AB15" s="266"/>
      <c r="AC15" s="263"/>
      <c r="AD15" s="267"/>
      <c r="AE15" s="204"/>
    </row>
    <row r="16">
      <c r="A16" s="205"/>
      <c r="C16" s="230"/>
      <c r="D16" s="263"/>
      <c r="E16" s="230"/>
      <c r="F16" s="263"/>
      <c r="G16" s="230"/>
      <c r="H16" s="263"/>
      <c r="I16" s="268"/>
      <c r="J16" s="263"/>
      <c r="K16" s="262"/>
      <c r="L16" s="263"/>
      <c r="M16" s="262"/>
      <c r="N16" s="263"/>
      <c r="O16" s="262"/>
      <c r="P16" s="264"/>
      <c r="Q16" s="262"/>
      <c r="R16" s="263"/>
      <c r="S16" s="262"/>
      <c r="T16" s="263"/>
      <c r="U16" s="262"/>
      <c r="V16" s="263"/>
      <c r="W16" s="262"/>
      <c r="X16" s="263"/>
      <c r="Y16" s="262"/>
      <c r="Z16" s="263"/>
      <c r="AA16" s="262"/>
      <c r="AB16" s="263"/>
      <c r="AC16" s="262"/>
      <c r="AD16" s="269"/>
      <c r="AE16" s="204"/>
    </row>
    <row r="17" ht="15.75" customHeight="1">
      <c r="A17" s="205"/>
      <c r="B17" s="270" t="s">
        <v>131</v>
      </c>
      <c r="C17" s="230"/>
      <c r="D17" s="229"/>
      <c r="E17" s="230"/>
      <c r="F17" s="235"/>
      <c r="G17" s="257"/>
      <c r="H17" s="237"/>
      <c r="I17" s="255"/>
      <c r="J17" s="259"/>
      <c r="K17" s="257"/>
      <c r="L17" s="237"/>
      <c r="M17" s="238"/>
      <c r="N17" s="235"/>
      <c r="O17" s="236"/>
      <c r="P17" s="240"/>
      <c r="Q17" s="238"/>
      <c r="R17" s="235"/>
      <c r="S17" s="241"/>
      <c r="T17" s="242"/>
      <c r="U17" s="243"/>
      <c r="V17" s="244"/>
      <c r="W17" s="241"/>
      <c r="X17" s="242"/>
      <c r="Y17" s="243"/>
      <c r="Z17" s="242"/>
      <c r="AA17" s="243"/>
      <c r="AB17" s="245"/>
      <c r="AC17" s="246"/>
      <c r="AD17" s="247"/>
      <c r="AE17" s="204"/>
    </row>
    <row r="18">
      <c r="A18" s="205"/>
      <c r="B18" s="271"/>
      <c r="C18" s="230"/>
      <c r="D18" s="257"/>
      <c r="E18" s="230"/>
      <c r="F18" s="272"/>
      <c r="G18" s="230"/>
      <c r="H18" s="272"/>
      <c r="I18" s="234"/>
      <c r="J18" s="272"/>
      <c r="K18" s="230"/>
      <c r="L18" s="272"/>
      <c r="M18" s="230"/>
      <c r="N18" s="272"/>
      <c r="O18" s="230"/>
      <c r="P18" s="260"/>
      <c r="Q18" s="230"/>
      <c r="R18" s="272"/>
      <c r="S18" s="230"/>
      <c r="T18" s="272"/>
      <c r="U18" s="230"/>
      <c r="V18" s="272"/>
      <c r="W18" s="230"/>
      <c r="X18" s="272"/>
      <c r="Y18" s="230"/>
      <c r="Z18" s="272"/>
      <c r="AA18" s="230"/>
      <c r="AB18" s="272"/>
      <c r="AC18" s="230"/>
      <c r="AD18" s="260"/>
      <c r="AE18" s="204"/>
    </row>
    <row r="19">
      <c r="A19" s="273"/>
      <c r="B19" s="274" t="s">
        <v>109</v>
      </c>
      <c r="C19" s="275" t="s">
        <v>132</v>
      </c>
      <c r="D19" s="276" t="s">
        <v>132</v>
      </c>
      <c r="E19" s="275" t="s">
        <v>132</v>
      </c>
      <c r="F19" s="276"/>
      <c r="G19" s="275"/>
      <c r="H19" s="276"/>
      <c r="I19" s="277"/>
      <c r="J19" s="276"/>
      <c r="K19" s="275"/>
      <c r="L19" s="276"/>
      <c r="M19" s="275"/>
      <c r="N19" s="276"/>
      <c r="O19" s="275"/>
      <c r="P19" s="278"/>
      <c r="Q19" s="275"/>
      <c r="R19" s="276"/>
      <c r="S19" s="275"/>
      <c r="T19" s="276"/>
      <c r="U19" s="275"/>
      <c r="V19" s="276"/>
      <c r="W19" s="275"/>
      <c r="X19" s="276"/>
      <c r="Y19" s="275"/>
      <c r="Z19" s="276"/>
      <c r="AA19" s="275"/>
      <c r="AB19" s="276"/>
      <c r="AC19" s="275"/>
      <c r="AD19" s="278"/>
      <c r="AE19" s="204"/>
    </row>
    <row r="20">
      <c r="A20" s="279" t="s">
        <v>133</v>
      </c>
      <c r="B20" s="280" t="s">
        <v>134</v>
      </c>
      <c r="C20" s="209">
        <v>7.62</v>
      </c>
      <c r="D20" s="212">
        <v>7.4</v>
      </c>
      <c r="E20" s="209">
        <v>7.35</v>
      </c>
      <c r="F20" s="281">
        <v>7.35</v>
      </c>
      <c r="G20" s="282">
        <v>7.34</v>
      </c>
      <c r="H20" s="283">
        <v>7.38</v>
      </c>
      <c r="I20" s="284"/>
      <c r="J20" s="223"/>
      <c r="K20" s="220"/>
      <c r="L20" s="221"/>
      <c r="M20" s="222"/>
      <c r="N20" s="223"/>
      <c r="O20" s="220"/>
      <c r="P20" s="219"/>
      <c r="Q20" s="217"/>
      <c r="R20" s="214"/>
      <c r="S20" s="220"/>
      <c r="T20" s="221"/>
      <c r="U20" s="222"/>
      <c r="V20" s="223"/>
      <c r="W20" s="220"/>
      <c r="X20" s="221"/>
      <c r="Y20" s="222"/>
      <c r="Z20" s="223"/>
      <c r="AA20" s="285"/>
      <c r="AB20" s="286"/>
      <c r="AC20" s="287"/>
      <c r="AD20" s="288"/>
      <c r="AE20" s="204"/>
    </row>
    <row r="21">
      <c r="A21" s="289"/>
      <c r="B21" s="290" t="s">
        <v>135</v>
      </c>
      <c r="C21" s="230">
        <v>24.0</v>
      </c>
      <c r="D21" s="233">
        <v>38.0</v>
      </c>
      <c r="E21" s="230">
        <v>45.0</v>
      </c>
      <c r="F21" s="116">
        <v>46.0</v>
      </c>
      <c r="G21" s="291">
        <v>48.1</v>
      </c>
      <c r="H21" s="292">
        <v>45.3</v>
      </c>
      <c r="I21" s="293"/>
      <c r="J21" s="244"/>
      <c r="K21" s="241"/>
      <c r="L21" s="242"/>
      <c r="M21" s="243"/>
      <c r="N21" s="244"/>
      <c r="O21" s="241"/>
      <c r="P21" s="240"/>
      <c r="Q21" s="238"/>
      <c r="R21" s="235"/>
      <c r="S21" s="241"/>
      <c r="T21" s="242"/>
      <c r="U21" s="243"/>
      <c r="V21" s="244"/>
      <c r="W21" s="241"/>
      <c r="X21" s="242"/>
      <c r="Y21" s="243"/>
      <c r="Z21" s="244"/>
      <c r="AA21" s="294"/>
      <c r="AB21" s="245"/>
      <c r="AC21" s="295"/>
      <c r="AD21" s="247"/>
      <c r="AE21" s="204"/>
    </row>
    <row r="22" ht="15.75" customHeight="1">
      <c r="A22" s="289"/>
      <c r="B22" s="290" t="s">
        <v>136</v>
      </c>
      <c r="C22" s="230">
        <v>134.8</v>
      </c>
      <c r="D22" s="233">
        <v>199.0</v>
      </c>
      <c r="E22" s="230">
        <v>116.0</v>
      </c>
      <c r="F22" s="116">
        <v>128.0</v>
      </c>
      <c r="G22" s="291">
        <v>139.5</v>
      </c>
      <c r="H22" s="292">
        <v>140.8</v>
      </c>
      <c r="I22" s="293"/>
      <c r="J22" s="244"/>
      <c r="K22" s="241"/>
      <c r="L22" s="242"/>
      <c r="M22" s="243"/>
      <c r="N22" s="244"/>
      <c r="O22" s="241"/>
      <c r="P22" s="240"/>
      <c r="Q22" s="238"/>
      <c r="R22" s="235"/>
      <c r="S22" s="241"/>
      <c r="T22" s="242"/>
      <c r="U22" s="243"/>
      <c r="V22" s="244"/>
      <c r="W22" s="241"/>
      <c r="X22" s="242"/>
      <c r="Y22" s="243"/>
      <c r="Z22" s="244"/>
      <c r="AA22" s="294"/>
      <c r="AB22" s="245"/>
      <c r="AC22" s="295"/>
      <c r="AD22" s="247"/>
      <c r="AE22" s="204"/>
    </row>
    <row r="23" ht="15.75" customHeight="1">
      <c r="A23" s="289"/>
      <c r="B23" s="290" t="s">
        <v>137</v>
      </c>
      <c r="C23" s="230">
        <v>24.2</v>
      </c>
      <c r="D23" s="233">
        <v>23.5</v>
      </c>
      <c r="E23" s="230">
        <v>24.5</v>
      </c>
      <c r="F23" s="116">
        <v>25.0</v>
      </c>
      <c r="G23" s="291">
        <v>25.6</v>
      </c>
      <c r="H23" s="292">
        <v>26.4</v>
      </c>
      <c r="I23" s="293"/>
      <c r="J23" s="244"/>
      <c r="K23" s="241"/>
      <c r="L23" s="242"/>
      <c r="M23" s="243"/>
      <c r="N23" s="244"/>
      <c r="O23" s="241"/>
      <c r="P23" s="240"/>
      <c r="Q23" s="238"/>
      <c r="R23" s="235"/>
      <c r="S23" s="241"/>
      <c r="T23" s="242"/>
      <c r="U23" s="243"/>
      <c r="V23" s="244"/>
      <c r="W23" s="241"/>
      <c r="X23" s="242"/>
      <c r="Y23" s="243"/>
      <c r="Z23" s="244"/>
      <c r="AA23" s="294"/>
      <c r="AB23" s="245"/>
      <c r="AC23" s="295"/>
      <c r="AD23" s="247"/>
      <c r="AE23" s="204"/>
    </row>
    <row r="24" ht="15.75" customHeight="1">
      <c r="A24" s="289"/>
      <c r="B24" s="290" t="s">
        <v>138</v>
      </c>
      <c r="C24" s="230">
        <v>4.7</v>
      </c>
      <c r="D24" s="233">
        <v>98.0</v>
      </c>
      <c r="E24" s="230">
        <v>-1.2</v>
      </c>
      <c r="F24" s="116">
        <v>-0.7</v>
      </c>
      <c r="G24" s="291">
        <v>-0.7</v>
      </c>
      <c r="H24" s="292">
        <v>0.9</v>
      </c>
      <c r="I24" s="293"/>
      <c r="J24" s="244"/>
      <c r="K24" s="241"/>
      <c r="L24" s="242"/>
      <c r="M24" s="243"/>
      <c r="N24" s="244"/>
      <c r="O24" s="241"/>
      <c r="P24" s="240"/>
      <c r="Q24" s="238"/>
      <c r="R24" s="235"/>
      <c r="S24" s="241"/>
      <c r="T24" s="242"/>
      <c r="U24" s="243"/>
      <c r="V24" s="244"/>
      <c r="W24" s="241"/>
      <c r="X24" s="242"/>
      <c r="Y24" s="243"/>
      <c r="Z24" s="244"/>
      <c r="AA24" s="294"/>
      <c r="AB24" s="245"/>
      <c r="AC24" s="295"/>
      <c r="AD24" s="247"/>
      <c r="AE24" s="204"/>
    </row>
    <row r="25" ht="15.75" customHeight="1">
      <c r="A25" s="289"/>
      <c r="B25" s="296" t="s">
        <v>139</v>
      </c>
      <c r="C25" s="230">
        <v>99.5</v>
      </c>
      <c r="D25" s="233">
        <v>-0.9</v>
      </c>
      <c r="E25" s="230">
        <v>98.0</v>
      </c>
      <c r="F25" s="116">
        <v>98.0</v>
      </c>
      <c r="G25" s="291">
        <v>98.9</v>
      </c>
      <c r="H25" s="292">
        <v>99.1</v>
      </c>
      <c r="I25" s="293"/>
      <c r="J25" s="244"/>
      <c r="K25" s="241"/>
      <c r="L25" s="242"/>
      <c r="M25" s="243"/>
      <c r="N25" s="244"/>
      <c r="O25" s="241"/>
      <c r="P25" s="240"/>
      <c r="Q25" s="238"/>
      <c r="R25" s="235"/>
      <c r="S25" s="241"/>
      <c r="T25" s="242"/>
      <c r="U25" s="243"/>
      <c r="V25" s="244"/>
      <c r="W25" s="241"/>
      <c r="X25" s="242"/>
      <c r="Y25" s="243"/>
      <c r="Z25" s="244"/>
      <c r="AA25" s="294"/>
      <c r="AB25" s="245"/>
      <c r="AC25" s="295"/>
      <c r="AD25" s="247"/>
      <c r="AE25" s="204"/>
    </row>
    <row r="26" ht="15.75" customHeight="1">
      <c r="A26" s="289"/>
      <c r="B26" s="290" t="s">
        <v>140</v>
      </c>
      <c r="C26" s="243"/>
      <c r="D26" s="242"/>
      <c r="E26" s="243"/>
      <c r="F26" s="244"/>
      <c r="G26" s="241"/>
      <c r="H26" s="242"/>
      <c r="I26" s="293"/>
      <c r="J26" s="244"/>
      <c r="K26" s="241"/>
      <c r="L26" s="242"/>
      <c r="M26" s="243"/>
      <c r="N26" s="244"/>
      <c r="O26" s="241"/>
      <c r="P26" s="240"/>
      <c r="Q26" s="238"/>
      <c r="R26" s="235"/>
      <c r="S26" s="241"/>
      <c r="T26" s="242"/>
      <c r="U26" s="243"/>
      <c r="V26" s="244"/>
      <c r="W26" s="241"/>
      <c r="X26" s="242"/>
      <c r="Y26" s="243"/>
      <c r="Z26" s="244"/>
      <c r="AA26" s="294"/>
      <c r="AB26" s="245"/>
      <c r="AC26" s="295"/>
      <c r="AD26" s="247"/>
      <c r="AE26" s="204"/>
    </row>
    <row r="27" ht="15.75" customHeight="1">
      <c r="A27" s="289"/>
      <c r="B27" s="297" t="s">
        <v>141</v>
      </c>
      <c r="C27" s="298">
        <v>0.4</v>
      </c>
      <c r="D27" s="299">
        <v>0.25</v>
      </c>
      <c r="E27" s="298">
        <v>0.24</v>
      </c>
      <c r="F27" s="299">
        <v>0.24</v>
      </c>
      <c r="G27" s="298">
        <v>0.21</v>
      </c>
      <c r="H27" s="299">
        <v>0.28</v>
      </c>
      <c r="I27" s="300"/>
      <c r="J27" s="299"/>
      <c r="K27" s="298"/>
      <c r="L27" s="299"/>
      <c r="M27" s="298"/>
      <c r="N27" s="299"/>
      <c r="O27" s="298"/>
      <c r="P27" s="301"/>
      <c r="Q27" s="298"/>
      <c r="R27" s="299"/>
      <c r="S27" s="298"/>
      <c r="T27" s="299"/>
      <c r="U27" s="298"/>
      <c r="V27" s="299"/>
      <c r="W27" s="298"/>
      <c r="X27" s="299"/>
      <c r="Y27" s="298"/>
      <c r="Z27" s="299"/>
      <c r="AA27" s="298"/>
      <c r="AB27" s="299"/>
      <c r="AC27" s="298"/>
      <c r="AD27" s="301"/>
      <c r="AE27" s="302"/>
    </row>
    <row r="28" ht="15.75" customHeight="1">
      <c r="A28" s="303"/>
      <c r="B28" s="304" t="s">
        <v>142</v>
      </c>
      <c r="C28" s="305">
        <f t="shared" ref="C28:AD28" si="1">IF(AND(C22&gt;0,C27&gt;0),C22/C27,"")</f>
        <v>337</v>
      </c>
      <c r="D28" s="306">
        <f t="shared" si="1"/>
        <v>796</v>
      </c>
      <c r="E28" s="305">
        <f t="shared" si="1"/>
        <v>483.3333333</v>
      </c>
      <c r="F28" s="307">
        <f t="shared" si="1"/>
        <v>533.3333333</v>
      </c>
      <c r="G28" s="308">
        <f t="shared" si="1"/>
        <v>664.2857143</v>
      </c>
      <c r="H28" s="306">
        <f t="shared" si="1"/>
        <v>502.8571429</v>
      </c>
      <c r="I28" s="305" t="str">
        <f t="shared" si="1"/>
        <v/>
      </c>
      <c r="J28" s="307" t="str">
        <f t="shared" si="1"/>
        <v/>
      </c>
      <c r="K28" s="308" t="str">
        <f t="shared" si="1"/>
        <v/>
      </c>
      <c r="L28" s="306" t="str">
        <f t="shared" si="1"/>
        <v/>
      </c>
      <c r="M28" s="305" t="str">
        <f t="shared" si="1"/>
        <v/>
      </c>
      <c r="N28" s="307" t="str">
        <f t="shared" si="1"/>
        <v/>
      </c>
      <c r="O28" s="308" t="str">
        <f t="shared" si="1"/>
        <v/>
      </c>
      <c r="P28" s="306" t="str">
        <f t="shared" si="1"/>
        <v/>
      </c>
      <c r="Q28" s="305" t="str">
        <f t="shared" si="1"/>
        <v/>
      </c>
      <c r="R28" s="307" t="str">
        <f t="shared" si="1"/>
        <v/>
      </c>
      <c r="S28" s="308" t="str">
        <f t="shared" si="1"/>
        <v/>
      </c>
      <c r="T28" s="306" t="str">
        <f t="shared" si="1"/>
        <v/>
      </c>
      <c r="U28" s="305" t="str">
        <f t="shared" si="1"/>
        <v/>
      </c>
      <c r="V28" s="307" t="str">
        <f t="shared" si="1"/>
        <v/>
      </c>
      <c r="W28" s="308" t="str">
        <f t="shared" si="1"/>
        <v/>
      </c>
      <c r="X28" s="306" t="str">
        <f t="shared" si="1"/>
        <v/>
      </c>
      <c r="Y28" s="305" t="str">
        <f t="shared" si="1"/>
        <v/>
      </c>
      <c r="Z28" s="307" t="str">
        <f t="shared" si="1"/>
        <v/>
      </c>
      <c r="AA28" s="309" t="str">
        <f t="shared" si="1"/>
        <v/>
      </c>
      <c r="AB28" s="310" t="str">
        <f t="shared" si="1"/>
        <v/>
      </c>
      <c r="AC28" s="311" t="str">
        <f t="shared" si="1"/>
        <v/>
      </c>
      <c r="AD28" s="310" t="str">
        <f t="shared" si="1"/>
        <v/>
      </c>
      <c r="AE28" s="312"/>
    </row>
    <row r="29" ht="15.75" customHeight="1">
      <c r="A29" s="279" t="s">
        <v>143</v>
      </c>
      <c r="B29" s="280" t="s">
        <v>144</v>
      </c>
      <c r="C29" s="209" t="s">
        <v>145</v>
      </c>
      <c r="D29" s="313" t="s">
        <v>145</v>
      </c>
      <c r="E29" s="209" t="s">
        <v>145</v>
      </c>
      <c r="F29" s="313" t="s">
        <v>145</v>
      </c>
      <c r="G29" s="209" t="s">
        <v>145</v>
      </c>
      <c r="H29" s="313" t="s">
        <v>145</v>
      </c>
      <c r="I29" s="213" t="s">
        <v>145</v>
      </c>
      <c r="J29" s="314"/>
      <c r="K29" s="315"/>
      <c r="L29" s="314"/>
      <c r="M29" s="315"/>
      <c r="N29" s="314"/>
      <c r="O29" s="315"/>
      <c r="P29" s="316"/>
      <c r="Q29" s="315"/>
      <c r="R29" s="314"/>
      <c r="S29" s="315"/>
      <c r="T29" s="314"/>
      <c r="U29" s="315"/>
      <c r="V29" s="314"/>
      <c r="W29" s="315"/>
      <c r="X29" s="314"/>
      <c r="Y29" s="315"/>
      <c r="Z29" s="314"/>
      <c r="AA29" s="315"/>
      <c r="AB29" s="317"/>
      <c r="AC29" s="315"/>
      <c r="AD29" s="318"/>
      <c r="AE29" s="204"/>
    </row>
    <row r="30" ht="15.75" customHeight="1">
      <c r="A30" s="289"/>
      <c r="B30" s="290" t="s">
        <v>146</v>
      </c>
      <c r="C30" s="230">
        <v>360.0</v>
      </c>
      <c r="D30" s="229">
        <v>350.0</v>
      </c>
      <c r="E30" s="230">
        <v>350.0</v>
      </c>
      <c r="F30" s="231">
        <v>350.0</v>
      </c>
      <c r="G30" s="232">
        <v>350.0</v>
      </c>
      <c r="H30" s="233">
        <v>400.0</v>
      </c>
      <c r="I30" s="234">
        <v>400.0</v>
      </c>
      <c r="J30" s="235"/>
      <c r="K30" s="236"/>
      <c r="L30" s="237"/>
      <c r="M30" s="238"/>
      <c r="N30" s="239"/>
      <c r="O30" s="236"/>
      <c r="P30" s="240"/>
      <c r="Q30" s="238"/>
      <c r="R30" s="235"/>
      <c r="S30" s="241"/>
      <c r="T30" s="242"/>
      <c r="U30" s="243"/>
      <c r="V30" s="244"/>
      <c r="W30" s="241"/>
      <c r="X30" s="242"/>
      <c r="Y30" s="243"/>
      <c r="Z30" s="244"/>
      <c r="AA30" s="294"/>
      <c r="AB30" s="245"/>
      <c r="AC30" s="295"/>
      <c r="AD30" s="247"/>
      <c r="AE30" s="204"/>
    </row>
    <row r="31" ht="15.75" customHeight="1">
      <c r="A31" s="289"/>
      <c r="B31" s="290" t="s">
        <v>147</v>
      </c>
      <c r="C31" s="230">
        <v>12.0</v>
      </c>
      <c r="D31" s="229">
        <v>16.0</v>
      </c>
      <c r="E31" s="230">
        <v>16.0</v>
      </c>
      <c r="F31" s="231">
        <v>16.0</v>
      </c>
      <c r="G31" s="232">
        <v>16.0</v>
      </c>
      <c r="H31" s="233">
        <v>16.0</v>
      </c>
      <c r="I31" s="234">
        <v>16.0</v>
      </c>
      <c r="J31" s="235"/>
      <c r="K31" s="236"/>
      <c r="L31" s="237"/>
      <c r="M31" s="238"/>
      <c r="N31" s="239"/>
      <c r="O31" s="249"/>
      <c r="P31" s="240"/>
      <c r="Q31" s="238"/>
      <c r="R31" s="235"/>
      <c r="S31" s="241"/>
      <c r="T31" s="242"/>
      <c r="U31" s="243"/>
      <c r="V31" s="244"/>
      <c r="W31" s="241"/>
      <c r="X31" s="242"/>
      <c r="Y31" s="243"/>
      <c r="Z31" s="244"/>
      <c r="AA31" s="294"/>
      <c r="AB31" s="245"/>
      <c r="AC31" s="295"/>
      <c r="AD31" s="247"/>
      <c r="AE31" s="204"/>
    </row>
    <row r="32" ht="15.75" customHeight="1">
      <c r="A32" s="289"/>
      <c r="B32" s="290" t="s">
        <v>148</v>
      </c>
      <c r="C32" s="230">
        <v>6.0</v>
      </c>
      <c r="D32" s="229">
        <v>5.0</v>
      </c>
      <c r="E32" s="230">
        <v>5.0</v>
      </c>
      <c r="F32" s="231">
        <v>5.0</v>
      </c>
      <c r="G32" s="232">
        <v>5.0</v>
      </c>
      <c r="H32" s="233">
        <v>5.0</v>
      </c>
      <c r="I32" s="234">
        <v>6.0</v>
      </c>
      <c r="J32" s="235"/>
      <c r="K32" s="236"/>
      <c r="L32" s="237"/>
      <c r="M32" s="238"/>
      <c r="N32" s="239"/>
      <c r="O32" s="236"/>
      <c r="P32" s="240"/>
      <c r="Q32" s="238"/>
      <c r="R32" s="235"/>
      <c r="S32" s="241"/>
      <c r="T32" s="242"/>
      <c r="U32" s="243"/>
      <c r="V32" s="244"/>
      <c r="W32" s="241"/>
      <c r="X32" s="242"/>
      <c r="Y32" s="243"/>
      <c r="Z32" s="244"/>
      <c r="AA32" s="294"/>
      <c r="AB32" s="245"/>
      <c r="AC32" s="295"/>
      <c r="AD32" s="247"/>
      <c r="AE32" s="204"/>
    </row>
    <row r="33" ht="15.75" customHeight="1">
      <c r="A33" s="289"/>
      <c r="B33" s="290" t="s">
        <v>149</v>
      </c>
      <c r="C33" s="230">
        <v>0.4</v>
      </c>
      <c r="D33" s="229">
        <v>0.24</v>
      </c>
      <c r="E33" s="230">
        <v>0.24</v>
      </c>
      <c r="F33" s="231">
        <v>0.24</v>
      </c>
      <c r="G33" s="232">
        <v>0.24</v>
      </c>
      <c r="H33" s="233">
        <v>0.28</v>
      </c>
      <c r="I33" s="234">
        <v>30.0</v>
      </c>
      <c r="J33" s="235"/>
      <c r="K33" s="236"/>
      <c r="L33" s="237"/>
      <c r="M33" s="238"/>
      <c r="N33" s="239"/>
      <c r="O33" s="236"/>
      <c r="P33" s="240"/>
      <c r="Q33" s="238"/>
      <c r="R33" s="235"/>
      <c r="S33" s="241"/>
      <c r="T33" s="242"/>
      <c r="U33" s="243"/>
      <c r="V33" s="244"/>
      <c r="W33" s="241"/>
      <c r="X33" s="242"/>
      <c r="Y33" s="243"/>
      <c r="Z33" s="244"/>
      <c r="AA33" s="294"/>
      <c r="AB33" s="245"/>
      <c r="AC33" s="295"/>
      <c r="AD33" s="247"/>
      <c r="AE33" s="204"/>
    </row>
    <row r="34" ht="15.75" customHeight="1">
      <c r="A34" s="289"/>
      <c r="B34" s="319" t="s">
        <v>150</v>
      </c>
      <c r="C34" s="228">
        <v>0.85</v>
      </c>
      <c r="D34" s="233">
        <v>0.85</v>
      </c>
      <c r="E34" s="230">
        <v>0.85</v>
      </c>
      <c r="F34" s="231">
        <v>0.85</v>
      </c>
      <c r="G34" s="232">
        <v>0.85</v>
      </c>
      <c r="H34" s="233">
        <v>0.85</v>
      </c>
      <c r="I34" s="234">
        <v>0.85</v>
      </c>
      <c r="J34" s="239"/>
      <c r="K34" s="236"/>
      <c r="L34" s="237"/>
      <c r="M34" s="238"/>
      <c r="N34" s="239"/>
      <c r="O34" s="236"/>
      <c r="P34" s="320"/>
      <c r="Q34" s="228"/>
      <c r="R34" s="235"/>
      <c r="S34" s="241"/>
      <c r="T34" s="242"/>
      <c r="U34" s="243"/>
      <c r="V34" s="244"/>
      <c r="W34" s="241"/>
      <c r="X34" s="242"/>
      <c r="Y34" s="243"/>
      <c r="Z34" s="244"/>
      <c r="AA34" s="294"/>
      <c r="AB34" s="245"/>
      <c r="AC34" s="295"/>
      <c r="AD34" s="247"/>
      <c r="AE34" s="204"/>
    </row>
    <row r="35" ht="15.75" customHeight="1">
      <c r="A35" s="289"/>
      <c r="B35" s="319" t="s">
        <v>151</v>
      </c>
      <c r="C35" s="228">
        <v>40.0</v>
      </c>
      <c r="D35" s="233">
        <v>40.0</v>
      </c>
      <c r="E35" s="230">
        <v>40.0</v>
      </c>
      <c r="F35" s="231">
        <v>40.0</v>
      </c>
      <c r="G35" s="232">
        <v>40.0</v>
      </c>
      <c r="H35" s="233">
        <v>40.0</v>
      </c>
      <c r="I35" s="234">
        <v>40.0</v>
      </c>
      <c r="J35" s="239"/>
      <c r="K35" s="236"/>
      <c r="L35" s="237"/>
      <c r="M35" s="321"/>
      <c r="N35" s="239"/>
      <c r="O35" s="249"/>
      <c r="P35" s="320"/>
      <c r="Q35" s="321"/>
      <c r="R35" s="239"/>
      <c r="S35" s="241"/>
      <c r="T35" s="242"/>
      <c r="U35" s="243"/>
      <c r="V35" s="244"/>
      <c r="W35" s="241"/>
      <c r="X35" s="242"/>
      <c r="Y35" s="243"/>
      <c r="Z35" s="244"/>
      <c r="AA35" s="294"/>
      <c r="AB35" s="245"/>
      <c r="AC35" s="295"/>
      <c r="AD35" s="247"/>
      <c r="AE35" s="204"/>
    </row>
    <row r="36" ht="15.75" customHeight="1">
      <c r="A36" s="289"/>
      <c r="B36" s="297" t="s">
        <v>152</v>
      </c>
      <c r="C36" s="322" t="s">
        <v>153</v>
      </c>
      <c r="D36" s="323" t="s">
        <v>153</v>
      </c>
      <c r="E36" s="322" t="s">
        <v>153</v>
      </c>
      <c r="F36" s="323" t="s">
        <v>153</v>
      </c>
      <c r="G36" s="322" t="s">
        <v>153</v>
      </c>
      <c r="H36" s="323" t="s">
        <v>153</v>
      </c>
      <c r="I36" s="324" t="s">
        <v>153</v>
      </c>
      <c r="J36" s="323"/>
      <c r="K36" s="322"/>
      <c r="L36" s="323"/>
      <c r="M36" s="322"/>
      <c r="N36" s="323"/>
      <c r="O36" s="322"/>
      <c r="P36" s="325"/>
      <c r="Q36" s="322"/>
      <c r="R36" s="323"/>
      <c r="S36" s="322"/>
      <c r="T36" s="326"/>
      <c r="U36" s="322"/>
      <c r="V36" s="326"/>
      <c r="W36" s="322"/>
      <c r="X36" s="326"/>
      <c r="Y36" s="322"/>
      <c r="Z36" s="326"/>
      <c r="AA36" s="322"/>
      <c r="AB36" s="323"/>
      <c r="AC36" s="322"/>
      <c r="AD36" s="327"/>
      <c r="AE36" s="328"/>
    </row>
    <row r="37" ht="15.75" customHeight="1">
      <c r="A37" s="329" t="s">
        <v>154</v>
      </c>
      <c r="B37" s="280" t="s">
        <v>155</v>
      </c>
      <c r="C37" s="207">
        <v>12.0</v>
      </c>
      <c r="D37" s="330">
        <v>16.0</v>
      </c>
      <c r="E37" s="313">
        <v>16.0</v>
      </c>
      <c r="F37" s="212">
        <v>18.0</v>
      </c>
      <c r="G37" s="207">
        <v>19.0</v>
      </c>
      <c r="H37" s="210">
        <v>18.0</v>
      </c>
      <c r="I37" s="331">
        <v>16.0</v>
      </c>
      <c r="J37" s="216"/>
      <c r="K37" s="217"/>
      <c r="L37" s="214"/>
      <c r="M37" s="215"/>
      <c r="N37" s="332"/>
      <c r="O37" s="217"/>
      <c r="P37" s="333"/>
      <c r="Q37" s="334"/>
      <c r="R37" s="216"/>
      <c r="S37" s="222"/>
      <c r="T37" s="223"/>
      <c r="U37" s="220"/>
      <c r="V37" s="221"/>
      <c r="W37" s="222"/>
      <c r="X37" s="223"/>
      <c r="Y37" s="220"/>
      <c r="Z37" s="221"/>
      <c r="AA37" s="222"/>
      <c r="AB37" s="224"/>
      <c r="AC37" s="335"/>
      <c r="AD37" s="226"/>
      <c r="AE37" s="204"/>
    </row>
    <row r="38" ht="15.75" customHeight="1">
      <c r="A38" s="205"/>
      <c r="B38" s="296" t="s">
        <v>156</v>
      </c>
      <c r="C38" s="228">
        <v>346.0</v>
      </c>
      <c r="D38" s="259">
        <v>350.0</v>
      </c>
      <c r="E38" s="257">
        <v>350.0</v>
      </c>
      <c r="F38" s="233">
        <v>370.0</v>
      </c>
      <c r="G38" s="228">
        <v>339.0</v>
      </c>
      <c r="H38" s="231">
        <v>400.0</v>
      </c>
      <c r="I38" s="258">
        <v>400.0</v>
      </c>
      <c r="J38" s="237"/>
      <c r="K38" s="238"/>
      <c r="L38" s="235"/>
      <c r="M38" s="249"/>
      <c r="N38" s="250"/>
      <c r="O38" s="238"/>
      <c r="P38" s="336"/>
      <c r="Q38" s="236"/>
      <c r="R38" s="237"/>
      <c r="S38" s="243"/>
      <c r="T38" s="244"/>
      <c r="U38" s="241"/>
      <c r="V38" s="242"/>
      <c r="W38" s="243"/>
      <c r="X38" s="244"/>
      <c r="Y38" s="241"/>
      <c r="Z38" s="242"/>
      <c r="AA38" s="243"/>
      <c r="AB38" s="245"/>
      <c r="AC38" s="337"/>
      <c r="AD38" s="247"/>
      <c r="AE38" s="204"/>
    </row>
    <row r="39" ht="15.75" customHeight="1">
      <c r="A39" s="205"/>
      <c r="B39" s="290" t="s">
        <v>157</v>
      </c>
      <c r="C39" s="228">
        <v>4.1</v>
      </c>
      <c r="D39" s="231">
        <v>5.5</v>
      </c>
      <c r="E39" s="257">
        <v>5.55</v>
      </c>
      <c r="F39" s="233">
        <v>7.5</v>
      </c>
      <c r="G39" s="228">
        <v>6.68</v>
      </c>
      <c r="H39" s="231">
        <v>7.85</v>
      </c>
      <c r="I39" s="258">
        <v>4.9</v>
      </c>
      <c r="J39" s="237"/>
      <c r="K39" s="338"/>
      <c r="L39" s="239"/>
      <c r="M39" s="236"/>
      <c r="N39" s="250"/>
      <c r="O39" s="238"/>
      <c r="P39" s="336"/>
      <c r="Q39" s="236"/>
      <c r="R39" s="237"/>
      <c r="S39" s="243"/>
      <c r="T39" s="244"/>
      <c r="U39" s="241"/>
      <c r="V39" s="242"/>
      <c r="W39" s="243"/>
      <c r="X39" s="244"/>
      <c r="Y39" s="241"/>
      <c r="Z39" s="242"/>
      <c r="AA39" s="243"/>
      <c r="AB39" s="245"/>
      <c r="AC39" s="337"/>
      <c r="AD39" s="247"/>
      <c r="AE39" s="204"/>
    </row>
    <row r="40" ht="15.75" customHeight="1">
      <c r="A40" s="205"/>
      <c r="B40" s="290" t="s">
        <v>158</v>
      </c>
      <c r="C40" s="228">
        <v>35.0</v>
      </c>
      <c r="D40" s="259">
        <v>25.0</v>
      </c>
      <c r="E40" s="257">
        <v>28.0</v>
      </c>
      <c r="F40" s="233">
        <v>35.0</v>
      </c>
      <c r="G40" s="228">
        <v>30.0</v>
      </c>
      <c r="H40" s="231">
        <v>35.0</v>
      </c>
      <c r="I40" s="258">
        <v>32.0</v>
      </c>
      <c r="J40" s="237"/>
      <c r="K40" s="238"/>
      <c r="L40" s="235"/>
      <c r="M40" s="236"/>
      <c r="N40" s="250"/>
      <c r="O40" s="238"/>
      <c r="P40" s="336"/>
      <c r="Q40" s="249"/>
      <c r="R40" s="237"/>
      <c r="S40" s="243"/>
      <c r="T40" s="244"/>
      <c r="U40" s="241"/>
      <c r="V40" s="242"/>
      <c r="W40" s="243"/>
      <c r="X40" s="244"/>
      <c r="Y40" s="241"/>
      <c r="Z40" s="242"/>
      <c r="AA40" s="243"/>
      <c r="AB40" s="245"/>
      <c r="AC40" s="337"/>
      <c r="AD40" s="247"/>
      <c r="AE40" s="204"/>
    </row>
    <row r="41" ht="15.75" customHeight="1">
      <c r="A41" s="205"/>
      <c r="B41" s="290" t="s">
        <v>159</v>
      </c>
      <c r="C41" s="228">
        <v>27.0</v>
      </c>
      <c r="D41" s="231">
        <v>19.0</v>
      </c>
      <c r="E41" s="232">
        <v>20.0</v>
      </c>
      <c r="F41" s="233">
        <v>22.0</v>
      </c>
      <c r="G41" s="228">
        <v>21.0</v>
      </c>
      <c r="H41" s="231">
        <v>22.0</v>
      </c>
      <c r="I41" s="258">
        <v>22.0</v>
      </c>
      <c r="J41" s="237"/>
      <c r="K41" s="238"/>
      <c r="L41" s="235"/>
      <c r="M41" s="249"/>
      <c r="N41" s="250"/>
      <c r="O41" s="321"/>
      <c r="P41" s="339"/>
      <c r="Q41" s="249"/>
      <c r="R41" s="237"/>
      <c r="S41" s="243"/>
      <c r="T41" s="244"/>
      <c r="U41" s="241"/>
      <c r="V41" s="242"/>
      <c r="W41" s="243"/>
      <c r="X41" s="244"/>
      <c r="Y41" s="241"/>
      <c r="Z41" s="242"/>
      <c r="AA41" s="243"/>
      <c r="AB41" s="245"/>
      <c r="AC41" s="337"/>
      <c r="AD41" s="247"/>
      <c r="AE41" s="204"/>
    </row>
    <row r="42" ht="15.75" customHeight="1">
      <c r="A42" s="205"/>
      <c r="B42" s="290" t="s">
        <v>160</v>
      </c>
      <c r="C42" s="228">
        <v>6.0</v>
      </c>
      <c r="D42" s="231">
        <v>5.0</v>
      </c>
      <c r="E42" s="232">
        <v>5.0</v>
      </c>
      <c r="F42" s="233">
        <v>5.0</v>
      </c>
      <c r="G42" s="228">
        <v>5.7</v>
      </c>
      <c r="H42" s="231">
        <v>5.5</v>
      </c>
      <c r="I42" s="258">
        <v>6.0</v>
      </c>
      <c r="J42" s="237"/>
      <c r="K42" s="238"/>
      <c r="L42" s="235"/>
      <c r="M42" s="249"/>
      <c r="N42" s="250"/>
      <c r="O42" s="321"/>
      <c r="P42" s="339"/>
      <c r="Q42" s="249"/>
      <c r="R42" s="237"/>
      <c r="S42" s="243"/>
      <c r="T42" s="244"/>
      <c r="U42" s="241"/>
      <c r="V42" s="242"/>
      <c r="W42" s="243"/>
      <c r="X42" s="244"/>
      <c r="Y42" s="241"/>
      <c r="Z42" s="242"/>
      <c r="AA42" s="243"/>
      <c r="AB42" s="245"/>
      <c r="AC42" s="337"/>
      <c r="AD42" s="247"/>
      <c r="AE42" s="204"/>
    </row>
    <row r="43" ht="15.75" customHeight="1">
      <c r="A43" s="205"/>
      <c r="B43" s="297" t="s">
        <v>161</v>
      </c>
      <c r="C43" s="322" t="s">
        <v>73</v>
      </c>
      <c r="D43" s="340" t="s">
        <v>73</v>
      </c>
      <c r="E43" s="326" t="s">
        <v>73</v>
      </c>
      <c r="F43" s="341" t="s">
        <v>102</v>
      </c>
      <c r="G43" s="322" t="s">
        <v>102</v>
      </c>
      <c r="H43" s="340" t="s">
        <v>102</v>
      </c>
      <c r="I43" s="342" t="s">
        <v>102</v>
      </c>
      <c r="J43" s="343"/>
      <c r="K43" s="344"/>
      <c r="L43" s="345"/>
      <c r="M43" s="346"/>
      <c r="N43" s="343"/>
      <c r="O43" s="344"/>
      <c r="P43" s="347"/>
      <c r="Q43" s="346"/>
      <c r="R43" s="343"/>
      <c r="S43" s="344"/>
      <c r="T43" s="345"/>
      <c r="U43" s="346"/>
      <c r="V43" s="343"/>
      <c r="W43" s="344"/>
      <c r="X43" s="345"/>
      <c r="Y43" s="346"/>
      <c r="Z43" s="343"/>
      <c r="AA43" s="344"/>
      <c r="AB43" s="345"/>
      <c r="AC43" s="348"/>
      <c r="AD43" s="349"/>
      <c r="AE43" s="204"/>
    </row>
    <row r="44" ht="15.75" customHeight="1">
      <c r="A44" s="205"/>
      <c r="B44" s="296" t="s">
        <v>162</v>
      </c>
      <c r="C44" s="243"/>
      <c r="D44" s="244"/>
      <c r="E44" s="241"/>
      <c r="F44" s="242"/>
      <c r="G44" s="243"/>
      <c r="H44" s="244"/>
      <c r="I44" s="350"/>
      <c r="J44" s="242"/>
      <c r="K44" s="243"/>
      <c r="L44" s="244"/>
      <c r="M44" s="241"/>
      <c r="N44" s="242"/>
      <c r="O44" s="243"/>
      <c r="P44" s="349"/>
      <c r="Q44" s="241"/>
      <c r="R44" s="242"/>
      <c r="S44" s="243"/>
      <c r="T44" s="244"/>
      <c r="U44" s="241"/>
      <c r="V44" s="242"/>
      <c r="W44" s="243"/>
      <c r="X44" s="244"/>
      <c r="Y44" s="241"/>
      <c r="Z44" s="242"/>
      <c r="AA44" s="243"/>
      <c r="AB44" s="245"/>
      <c r="AC44" s="337"/>
      <c r="AD44" s="247"/>
      <c r="AE44" s="204"/>
    </row>
    <row r="45" ht="15.75" customHeight="1">
      <c r="A45" s="205"/>
      <c r="B45" s="297" t="s">
        <v>163</v>
      </c>
      <c r="C45" s="344"/>
      <c r="D45" s="345"/>
      <c r="E45" s="346"/>
      <c r="F45" s="343"/>
      <c r="G45" s="344"/>
      <c r="H45" s="345"/>
      <c r="I45" s="351"/>
      <c r="J45" s="343"/>
      <c r="K45" s="344"/>
      <c r="L45" s="345"/>
      <c r="M45" s="346"/>
      <c r="N45" s="343"/>
      <c r="O45" s="344"/>
      <c r="P45" s="347"/>
      <c r="Q45" s="346"/>
      <c r="R45" s="343"/>
      <c r="S45" s="344"/>
      <c r="T45" s="345"/>
      <c r="U45" s="346"/>
      <c r="V45" s="343"/>
      <c r="W45" s="344"/>
      <c r="X45" s="345"/>
      <c r="Y45" s="346"/>
      <c r="Z45" s="343"/>
      <c r="AA45" s="344"/>
      <c r="AB45" s="352"/>
      <c r="AC45" s="353"/>
      <c r="AD45" s="354"/>
      <c r="AE45" s="204"/>
    </row>
    <row r="46" ht="15.75" customHeight="1">
      <c r="A46" s="273"/>
      <c r="B46" s="355" t="s">
        <v>164</v>
      </c>
      <c r="C46" s="356"/>
      <c r="D46" s="357"/>
      <c r="E46" s="356"/>
      <c r="F46" s="357"/>
      <c r="G46" s="356"/>
      <c r="H46" s="357"/>
      <c r="I46" s="358"/>
      <c r="J46" s="357"/>
      <c r="K46" s="356"/>
      <c r="L46" s="357"/>
      <c r="M46" s="356"/>
      <c r="N46" s="357"/>
      <c r="O46" s="356"/>
      <c r="P46" s="359"/>
      <c r="Q46" s="356"/>
      <c r="R46" s="357"/>
      <c r="S46" s="356"/>
      <c r="T46" s="357"/>
      <c r="U46" s="356"/>
      <c r="V46" s="357"/>
      <c r="W46" s="356"/>
      <c r="X46" s="357"/>
      <c r="Y46" s="356"/>
      <c r="Z46" s="357"/>
      <c r="AA46" s="356"/>
      <c r="AB46" s="357"/>
      <c r="AC46" s="356"/>
      <c r="AD46" s="360"/>
      <c r="AE46" s="361"/>
    </row>
    <row r="47" ht="15.75" customHeight="1">
      <c r="A47" s="362" t="s">
        <v>165</v>
      </c>
      <c r="B47" s="363" t="s">
        <v>166</v>
      </c>
      <c r="C47" s="364">
        <f t="shared" ref="C47:AD47" si="2">IFS(C29="VC-CMV",C30/$J$2,C29="PC-CMV",C38/$J$2,C29="PC-CSV",C38/$J$2,C29="CPAP",C38/$J$2,C29="VMNI",C38/$J$2,C29="PC-SIMV",C38/$J$2,C29="","")</f>
        <v>4.973337386</v>
      </c>
      <c r="D47" s="365">
        <f t="shared" si="2"/>
        <v>4.835189125</v>
      </c>
      <c r="E47" s="366">
        <f t="shared" si="2"/>
        <v>4.835189125</v>
      </c>
      <c r="F47" s="367">
        <f t="shared" si="2"/>
        <v>4.835189125</v>
      </c>
      <c r="G47" s="364">
        <f t="shared" si="2"/>
        <v>4.835189125</v>
      </c>
      <c r="H47" s="365">
        <f t="shared" si="2"/>
        <v>5.525930429</v>
      </c>
      <c r="I47" s="368">
        <f t="shared" si="2"/>
        <v>5.525930429</v>
      </c>
      <c r="J47" s="367" t="str">
        <f t="shared" si="2"/>
        <v/>
      </c>
      <c r="K47" s="364" t="str">
        <f t="shared" si="2"/>
        <v/>
      </c>
      <c r="L47" s="365" t="str">
        <f t="shared" si="2"/>
        <v/>
      </c>
      <c r="M47" s="366" t="str">
        <f t="shared" si="2"/>
        <v/>
      </c>
      <c r="N47" s="367" t="str">
        <f t="shared" si="2"/>
        <v/>
      </c>
      <c r="O47" s="364" t="str">
        <f t="shared" si="2"/>
        <v/>
      </c>
      <c r="P47" s="369" t="str">
        <f t="shared" si="2"/>
        <v/>
      </c>
      <c r="Q47" s="366" t="str">
        <f t="shared" si="2"/>
        <v/>
      </c>
      <c r="R47" s="367" t="str">
        <f t="shared" si="2"/>
        <v/>
      </c>
      <c r="S47" s="364" t="str">
        <f t="shared" si="2"/>
        <v/>
      </c>
      <c r="T47" s="365" t="str">
        <f t="shared" si="2"/>
        <v/>
      </c>
      <c r="U47" s="366" t="str">
        <f t="shared" si="2"/>
        <v/>
      </c>
      <c r="V47" s="367" t="str">
        <f t="shared" si="2"/>
        <v/>
      </c>
      <c r="W47" s="364" t="str">
        <f t="shared" si="2"/>
        <v/>
      </c>
      <c r="X47" s="365" t="str">
        <f t="shared" si="2"/>
        <v/>
      </c>
      <c r="Y47" s="366" t="str">
        <f t="shared" si="2"/>
        <v/>
      </c>
      <c r="Z47" s="367" t="str">
        <f t="shared" si="2"/>
        <v/>
      </c>
      <c r="AA47" s="364" t="str">
        <f t="shared" si="2"/>
        <v/>
      </c>
      <c r="AB47" s="365" t="str">
        <f t="shared" si="2"/>
        <v/>
      </c>
      <c r="AC47" s="366" t="str">
        <f t="shared" si="2"/>
        <v/>
      </c>
      <c r="AD47" s="370" t="str">
        <f t="shared" si="2"/>
        <v/>
      </c>
      <c r="AE47" s="371"/>
    </row>
    <row r="48" ht="15.75" customHeight="1">
      <c r="A48" s="205"/>
      <c r="B48" s="372" t="s">
        <v>167</v>
      </c>
      <c r="C48" s="373">
        <v>1.0</v>
      </c>
      <c r="D48" s="374">
        <v>1.0</v>
      </c>
      <c r="E48" s="375">
        <v>1.0</v>
      </c>
      <c r="F48" s="376">
        <v>1.0</v>
      </c>
      <c r="G48" s="373">
        <v>1.0</v>
      </c>
      <c r="H48" s="374">
        <v>1.0</v>
      </c>
      <c r="I48" s="377">
        <v>1.0</v>
      </c>
      <c r="J48" s="376">
        <v>1.0</v>
      </c>
      <c r="K48" s="373">
        <v>1.0</v>
      </c>
      <c r="L48" s="374">
        <v>1.0</v>
      </c>
      <c r="M48" s="375">
        <v>1.0</v>
      </c>
      <c r="N48" s="376">
        <v>1.0</v>
      </c>
      <c r="O48" s="373">
        <v>1.0</v>
      </c>
      <c r="P48" s="378">
        <v>1.0</v>
      </c>
      <c r="Q48" s="375">
        <v>1.0</v>
      </c>
      <c r="R48" s="376">
        <v>1.0</v>
      </c>
      <c r="S48" s="373">
        <v>1.0</v>
      </c>
      <c r="T48" s="374">
        <v>1.0</v>
      </c>
      <c r="U48" s="375">
        <v>1.0</v>
      </c>
      <c r="V48" s="376">
        <v>1.0</v>
      </c>
      <c r="W48" s="373">
        <v>1.0</v>
      </c>
      <c r="X48" s="374">
        <v>1.0</v>
      </c>
      <c r="Y48" s="375">
        <v>1.0</v>
      </c>
      <c r="Z48" s="376">
        <v>1.0</v>
      </c>
      <c r="AA48" s="373">
        <v>1.0</v>
      </c>
      <c r="AB48" s="379">
        <v>1.0</v>
      </c>
      <c r="AC48" s="380">
        <v>1.0</v>
      </c>
      <c r="AD48" s="381">
        <v>1.0</v>
      </c>
      <c r="AE48" s="328"/>
    </row>
    <row r="49" ht="15.75" customHeight="1">
      <c r="A49" s="205"/>
      <c r="B49" s="382" t="s">
        <v>168</v>
      </c>
      <c r="C49" s="383">
        <f t="shared" ref="C49:AD49" si="3">((60/C31)-C34)/C34</f>
        <v>4.882352941</v>
      </c>
      <c r="D49" s="384">
        <f t="shared" si="3"/>
        <v>3.411764706</v>
      </c>
      <c r="E49" s="385">
        <f t="shared" si="3"/>
        <v>3.411764706</v>
      </c>
      <c r="F49" s="386">
        <f t="shared" si="3"/>
        <v>3.411764706</v>
      </c>
      <c r="G49" s="383">
        <f t="shared" si="3"/>
        <v>3.411764706</v>
      </c>
      <c r="H49" s="384">
        <f t="shared" si="3"/>
        <v>3.411764706</v>
      </c>
      <c r="I49" s="387">
        <f t="shared" si="3"/>
        <v>3.411764706</v>
      </c>
      <c r="J49" s="386" t="str">
        <f t="shared" si="3"/>
        <v>#DIV/0!</v>
      </c>
      <c r="K49" s="383" t="str">
        <f t="shared" si="3"/>
        <v>#DIV/0!</v>
      </c>
      <c r="L49" s="384" t="str">
        <f t="shared" si="3"/>
        <v>#DIV/0!</v>
      </c>
      <c r="M49" s="385" t="str">
        <f t="shared" si="3"/>
        <v>#DIV/0!</v>
      </c>
      <c r="N49" s="386" t="str">
        <f t="shared" si="3"/>
        <v>#DIV/0!</v>
      </c>
      <c r="O49" s="383" t="str">
        <f t="shared" si="3"/>
        <v>#DIV/0!</v>
      </c>
      <c r="P49" s="388" t="str">
        <f t="shared" si="3"/>
        <v>#DIV/0!</v>
      </c>
      <c r="Q49" s="385" t="str">
        <f t="shared" si="3"/>
        <v>#DIV/0!</v>
      </c>
      <c r="R49" s="386" t="str">
        <f t="shared" si="3"/>
        <v>#DIV/0!</v>
      </c>
      <c r="S49" s="383" t="str">
        <f t="shared" si="3"/>
        <v>#DIV/0!</v>
      </c>
      <c r="T49" s="384" t="str">
        <f t="shared" si="3"/>
        <v>#DIV/0!</v>
      </c>
      <c r="U49" s="385" t="str">
        <f t="shared" si="3"/>
        <v>#DIV/0!</v>
      </c>
      <c r="V49" s="386" t="str">
        <f t="shared" si="3"/>
        <v>#DIV/0!</v>
      </c>
      <c r="W49" s="383" t="str">
        <f t="shared" si="3"/>
        <v>#DIV/0!</v>
      </c>
      <c r="X49" s="384" t="str">
        <f t="shared" si="3"/>
        <v>#DIV/0!</v>
      </c>
      <c r="Y49" s="385" t="str">
        <f t="shared" si="3"/>
        <v>#DIV/0!</v>
      </c>
      <c r="Z49" s="386" t="str">
        <f t="shared" si="3"/>
        <v>#DIV/0!</v>
      </c>
      <c r="AA49" s="383" t="str">
        <f t="shared" si="3"/>
        <v>#DIV/0!</v>
      </c>
      <c r="AB49" s="389" t="str">
        <f t="shared" si="3"/>
        <v>#DIV/0!</v>
      </c>
      <c r="AC49" s="390" t="str">
        <f t="shared" si="3"/>
        <v>#DIV/0!</v>
      </c>
      <c r="AD49" s="391" t="str">
        <f t="shared" si="3"/>
        <v>#DIV/0!</v>
      </c>
      <c r="AE49" s="302"/>
    </row>
    <row r="50" ht="15.75" customHeight="1">
      <c r="A50" s="205"/>
      <c r="B50" s="392" t="s">
        <v>169</v>
      </c>
      <c r="C50" s="393">
        <f t="shared" ref="C50:AD50" si="4">IF(C51&lt;&gt;"",(C51*C34)+C42,"")</f>
        <v>23.85</v>
      </c>
      <c r="D50" s="394">
        <f t="shared" si="4"/>
        <v>16.9</v>
      </c>
      <c r="E50" s="393">
        <f t="shared" si="4"/>
        <v>17.75</v>
      </c>
      <c r="F50" s="394">
        <f t="shared" si="4"/>
        <v>19.45</v>
      </c>
      <c r="G50" s="393">
        <f t="shared" si="4"/>
        <v>18.705</v>
      </c>
      <c r="H50" s="394">
        <f t="shared" si="4"/>
        <v>19.525</v>
      </c>
      <c r="I50" s="395">
        <f t="shared" si="4"/>
        <v>19.6</v>
      </c>
      <c r="J50" s="394" t="str">
        <f t="shared" si="4"/>
        <v/>
      </c>
      <c r="K50" s="393" t="str">
        <f t="shared" si="4"/>
        <v/>
      </c>
      <c r="L50" s="394" t="str">
        <f t="shared" si="4"/>
        <v/>
      </c>
      <c r="M50" s="393" t="str">
        <f t="shared" si="4"/>
        <v/>
      </c>
      <c r="N50" s="394" t="str">
        <f t="shared" si="4"/>
        <v/>
      </c>
      <c r="O50" s="393" t="str">
        <f t="shared" si="4"/>
        <v/>
      </c>
      <c r="P50" s="396" t="str">
        <f t="shared" si="4"/>
        <v/>
      </c>
      <c r="Q50" s="393" t="str">
        <f t="shared" si="4"/>
        <v/>
      </c>
      <c r="R50" s="394" t="str">
        <f t="shared" si="4"/>
        <v/>
      </c>
      <c r="S50" s="393" t="str">
        <f t="shared" si="4"/>
        <v/>
      </c>
      <c r="T50" s="394" t="str">
        <f t="shared" si="4"/>
        <v/>
      </c>
      <c r="U50" s="393" t="str">
        <f t="shared" si="4"/>
        <v/>
      </c>
      <c r="V50" s="394" t="str">
        <f t="shared" si="4"/>
        <v/>
      </c>
      <c r="W50" s="393" t="str">
        <f t="shared" si="4"/>
        <v/>
      </c>
      <c r="X50" s="394" t="str">
        <f t="shared" si="4"/>
        <v/>
      </c>
      <c r="Y50" s="393" t="str">
        <f t="shared" si="4"/>
        <v/>
      </c>
      <c r="Z50" s="394" t="str">
        <f t="shared" si="4"/>
        <v/>
      </c>
      <c r="AA50" s="393" t="str">
        <f t="shared" si="4"/>
        <v/>
      </c>
      <c r="AB50" s="394" t="str">
        <f t="shared" si="4"/>
        <v/>
      </c>
      <c r="AC50" s="393" t="str">
        <f t="shared" si="4"/>
        <v/>
      </c>
      <c r="AD50" s="395" t="str">
        <f t="shared" si="4"/>
        <v/>
      </c>
      <c r="AE50" s="204"/>
    </row>
    <row r="51" ht="15.75" customHeight="1">
      <c r="A51" s="205"/>
      <c r="B51" s="392" t="s">
        <v>170</v>
      </c>
      <c r="C51" s="397">
        <f t="shared" ref="C51:AD51" si="5">IF(AND(C42&gt;0,C41&gt;0),C41-C42,"")</f>
        <v>21</v>
      </c>
      <c r="D51" s="398">
        <f t="shared" si="5"/>
        <v>14</v>
      </c>
      <c r="E51" s="399">
        <f t="shared" si="5"/>
        <v>15</v>
      </c>
      <c r="F51" s="400">
        <f t="shared" si="5"/>
        <v>17</v>
      </c>
      <c r="G51" s="397">
        <f t="shared" si="5"/>
        <v>15.3</v>
      </c>
      <c r="H51" s="398">
        <f t="shared" si="5"/>
        <v>16.5</v>
      </c>
      <c r="I51" s="401">
        <f t="shared" si="5"/>
        <v>16</v>
      </c>
      <c r="J51" s="400" t="str">
        <f t="shared" si="5"/>
        <v/>
      </c>
      <c r="K51" s="397" t="str">
        <f t="shared" si="5"/>
        <v/>
      </c>
      <c r="L51" s="398" t="str">
        <f t="shared" si="5"/>
        <v/>
      </c>
      <c r="M51" s="399" t="str">
        <f t="shared" si="5"/>
        <v/>
      </c>
      <c r="N51" s="400" t="str">
        <f t="shared" si="5"/>
        <v/>
      </c>
      <c r="O51" s="397" t="str">
        <f t="shared" si="5"/>
        <v/>
      </c>
      <c r="P51" s="402" t="str">
        <f t="shared" si="5"/>
        <v/>
      </c>
      <c r="Q51" s="399" t="str">
        <f t="shared" si="5"/>
        <v/>
      </c>
      <c r="R51" s="400" t="str">
        <f t="shared" si="5"/>
        <v/>
      </c>
      <c r="S51" s="397" t="str">
        <f t="shared" si="5"/>
        <v/>
      </c>
      <c r="T51" s="398" t="str">
        <f t="shared" si="5"/>
        <v/>
      </c>
      <c r="U51" s="399" t="str">
        <f t="shared" si="5"/>
        <v/>
      </c>
      <c r="V51" s="400" t="str">
        <f t="shared" si="5"/>
        <v/>
      </c>
      <c r="W51" s="397" t="str">
        <f t="shared" si="5"/>
        <v/>
      </c>
      <c r="X51" s="398" t="str">
        <f t="shared" si="5"/>
        <v/>
      </c>
      <c r="Y51" s="399" t="str">
        <f t="shared" si="5"/>
        <v/>
      </c>
      <c r="Z51" s="400" t="str">
        <f t="shared" si="5"/>
        <v/>
      </c>
      <c r="AA51" s="397" t="str">
        <f t="shared" si="5"/>
        <v/>
      </c>
      <c r="AB51" s="398" t="str">
        <f t="shared" si="5"/>
        <v/>
      </c>
      <c r="AC51" s="399" t="str">
        <f t="shared" si="5"/>
        <v/>
      </c>
      <c r="AD51" s="403" t="str">
        <f t="shared" si="5"/>
        <v/>
      </c>
      <c r="AE51" s="204"/>
    </row>
    <row r="52" ht="15.75" customHeight="1">
      <c r="A52" s="205"/>
      <c r="B52" s="392" t="s">
        <v>171</v>
      </c>
      <c r="C52" s="383">
        <f t="shared" ref="C52:AD52" si="6">IF(AND(C38&gt;0,C51&gt;0),C38/C51,"")</f>
        <v>16.47619048</v>
      </c>
      <c r="D52" s="384">
        <f t="shared" si="6"/>
        <v>25</v>
      </c>
      <c r="E52" s="385">
        <f t="shared" si="6"/>
        <v>23.33333333</v>
      </c>
      <c r="F52" s="386">
        <f t="shared" si="6"/>
        <v>21.76470588</v>
      </c>
      <c r="G52" s="383">
        <f t="shared" si="6"/>
        <v>22.15686275</v>
      </c>
      <c r="H52" s="384">
        <f t="shared" si="6"/>
        <v>24.24242424</v>
      </c>
      <c r="I52" s="387">
        <f t="shared" si="6"/>
        <v>25</v>
      </c>
      <c r="J52" s="386" t="str">
        <f t="shared" si="6"/>
        <v/>
      </c>
      <c r="K52" s="383" t="str">
        <f t="shared" si="6"/>
        <v/>
      </c>
      <c r="L52" s="384" t="str">
        <f t="shared" si="6"/>
        <v/>
      </c>
      <c r="M52" s="385" t="str">
        <f t="shared" si="6"/>
        <v/>
      </c>
      <c r="N52" s="386" t="str">
        <f t="shared" si="6"/>
        <v/>
      </c>
      <c r="O52" s="383" t="str">
        <f t="shared" si="6"/>
        <v/>
      </c>
      <c r="P52" s="388" t="str">
        <f t="shared" si="6"/>
        <v/>
      </c>
      <c r="Q52" s="385" t="str">
        <f t="shared" si="6"/>
        <v/>
      </c>
      <c r="R52" s="386" t="str">
        <f t="shared" si="6"/>
        <v/>
      </c>
      <c r="S52" s="383" t="str">
        <f t="shared" si="6"/>
        <v/>
      </c>
      <c r="T52" s="384" t="str">
        <f t="shared" si="6"/>
        <v/>
      </c>
      <c r="U52" s="385" t="str">
        <f t="shared" si="6"/>
        <v/>
      </c>
      <c r="V52" s="386" t="str">
        <f t="shared" si="6"/>
        <v/>
      </c>
      <c r="W52" s="383" t="str">
        <f t="shared" si="6"/>
        <v/>
      </c>
      <c r="X52" s="384" t="str">
        <f t="shared" si="6"/>
        <v/>
      </c>
      <c r="Y52" s="385" t="str">
        <f t="shared" si="6"/>
        <v/>
      </c>
      <c r="Z52" s="386" t="str">
        <f t="shared" si="6"/>
        <v/>
      </c>
      <c r="AA52" s="383" t="str">
        <f t="shared" si="6"/>
        <v/>
      </c>
      <c r="AB52" s="384" t="str">
        <f t="shared" si="6"/>
        <v/>
      </c>
      <c r="AC52" s="385" t="str">
        <f t="shared" si="6"/>
        <v/>
      </c>
      <c r="AD52" s="404" t="str">
        <f t="shared" si="6"/>
        <v/>
      </c>
      <c r="AE52" s="204"/>
    </row>
    <row r="53" ht="15.75" customHeight="1">
      <c r="A53" s="205"/>
      <c r="B53" s="392" t="s">
        <v>172</v>
      </c>
      <c r="C53" s="405">
        <f t="shared" ref="C53:AD53" si="7">IF(AND(C29="VC-CMV",C43="NO"),(C40-C41)/(C35/60),"")</f>
        <v>12</v>
      </c>
      <c r="D53" s="406">
        <f t="shared" si="7"/>
        <v>9</v>
      </c>
      <c r="E53" s="405">
        <f t="shared" si="7"/>
        <v>12</v>
      </c>
      <c r="F53" s="406" t="str">
        <f t="shared" si="7"/>
        <v/>
      </c>
      <c r="G53" s="405" t="str">
        <f t="shared" si="7"/>
        <v/>
      </c>
      <c r="H53" s="406" t="str">
        <f t="shared" si="7"/>
        <v/>
      </c>
      <c r="I53" s="407" t="str">
        <f t="shared" si="7"/>
        <v/>
      </c>
      <c r="J53" s="406" t="str">
        <f t="shared" si="7"/>
        <v/>
      </c>
      <c r="K53" s="405" t="str">
        <f t="shared" si="7"/>
        <v/>
      </c>
      <c r="L53" s="406" t="str">
        <f t="shared" si="7"/>
        <v/>
      </c>
      <c r="M53" s="405" t="str">
        <f t="shared" si="7"/>
        <v/>
      </c>
      <c r="N53" s="406" t="str">
        <f t="shared" si="7"/>
        <v/>
      </c>
      <c r="O53" s="405" t="str">
        <f t="shared" si="7"/>
        <v/>
      </c>
      <c r="P53" s="408" t="str">
        <f t="shared" si="7"/>
        <v/>
      </c>
      <c r="Q53" s="405" t="str">
        <f t="shared" si="7"/>
        <v/>
      </c>
      <c r="R53" s="406" t="str">
        <f t="shared" si="7"/>
        <v/>
      </c>
      <c r="S53" s="405" t="str">
        <f t="shared" si="7"/>
        <v/>
      </c>
      <c r="T53" s="406" t="str">
        <f t="shared" si="7"/>
        <v/>
      </c>
      <c r="U53" s="405" t="str">
        <f t="shared" si="7"/>
        <v/>
      </c>
      <c r="V53" s="406" t="str">
        <f t="shared" si="7"/>
        <v/>
      </c>
      <c r="W53" s="405" t="str">
        <f t="shared" si="7"/>
        <v/>
      </c>
      <c r="X53" s="406" t="str">
        <f t="shared" si="7"/>
        <v/>
      </c>
      <c r="Y53" s="405" t="str">
        <f t="shared" si="7"/>
        <v/>
      </c>
      <c r="Z53" s="406" t="str">
        <f t="shared" si="7"/>
        <v/>
      </c>
      <c r="AA53" s="405" t="str">
        <f t="shared" si="7"/>
        <v/>
      </c>
      <c r="AB53" s="406" t="str">
        <f t="shared" si="7"/>
        <v/>
      </c>
      <c r="AC53" s="405" t="str">
        <f t="shared" si="7"/>
        <v/>
      </c>
      <c r="AD53" s="408" t="str">
        <f t="shared" si="7"/>
        <v/>
      </c>
      <c r="AE53" s="409"/>
    </row>
    <row r="54" ht="15.75" customHeight="1">
      <c r="A54" s="205"/>
      <c r="B54" s="410" t="s">
        <v>173</v>
      </c>
      <c r="C54" s="411">
        <f t="shared" ref="C54:AD54" si="8">IF(AND(C29="VC-CMV",AND(C36="Cuadrada",C43="NO")), (((0.5*(C51/(C38/1000))+(1+(C48/C49))/(60*(C48/C49))*C37*C53)*((C38/1000)*(C38/1000))+(C38/1000)*C42)*C37*0.098),"")</f>
        <v>8.701351285</v>
      </c>
      <c r="D54" s="412">
        <f t="shared" si="8"/>
        <v>8.619388235</v>
      </c>
      <c r="E54" s="413">
        <f t="shared" si="8"/>
        <v>9.571717647</v>
      </c>
      <c r="F54" s="414" t="str">
        <f t="shared" si="8"/>
        <v/>
      </c>
      <c r="G54" s="411" t="str">
        <f t="shared" si="8"/>
        <v/>
      </c>
      <c r="H54" s="412" t="str">
        <f t="shared" si="8"/>
        <v/>
      </c>
      <c r="I54" s="415" t="str">
        <f t="shared" si="8"/>
        <v/>
      </c>
      <c r="J54" s="414" t="str">
        <f t="shared" si="8"/>
        <v/>
      </c>
      <c r="K54" s="411" t="str">
        <f t="shared" si="8"/>
        <v/>
      </c>
      <c r="L54" s="412" t="str">
        <f t="shared" si="8"/>
        <v/>
      </c>
      <c r="M54" s="413" t="str">
        <f t="shared" si="8"/>
        <v/>
      </c>
      <c r="N54" s="414" t="str">
        <f t="shared" si="8"/>
        <v/>
      </c>
      <c r="O54" s="411" t="str">
        <f t="shared" si="8"/>
        <v/>
      </c>
      <c r="P54" s="416" t="str">
        <f t="shared" si="8"/>
        <v/>
      </c>
      <c r="Q54" s="413" t="str">
        <f t="shared" si="8"/>
        <v/>
      </c>
      <c r="R54" s="414" t="str">
        <f t="shared" si="8"/>
        <v/>
      </c>
      <c r="S54" s="411" t="str">
        <f t="shared" si="8"/>
        <v/>
      </c>
      <c r="T54" s="412" t="str">
        <f t="shared" si="8"/>
        <v/>
      </c>
      <c r="U54" s="413" t="str">
        <f t="shared" si="8"/>
        <v/>
      </c>
      <c r="V54" s="414" t="str">
        <f t="shared" si="8"/>
        <v/>
      </c>
      <c r="W54" s="411" t="str">
        <f t="shared" si="8"/>
        <v/>
      </c>
      <c r="X54" s="412" t="str">
        <f t="shared" si="8"/>
        <v/>
      </c>
      <c r="Y54" s="413" t="str">
        <f t="shared" si="8"/>
        <v/>
      </c>
      <c r="Z54" s="414" t="str">
        <f t="shared" si="8"/>
        <v/>
      </c>
      <c r="AA54" s="411" t="str">
        <f t="shared" si="8"/>
        <v/>
      </c>
      <c r="AB54" s="412" t="str">
        <f t="shared" si="8"/>
        <v/>
      </c>
      <c r="AC54" s="413" t="str">
        <f t="shared" si="8"/>
        <v/>
      </c>
      <c r="AD54" s="417" t="str">
        <f t="shared" si="8"/>
        <v/>
      </c>
      <c r="AE54" s="371"/>
    </row>
    <row r="55" ht="15.75" customHeight="1">
      <c r="A55" s="205"/>
      <c r="B55" s="418" t="s">
        <v>174</v>
      </c>
      <c r="C55" s="411">
        <f t="shared" ref="C55:AD55" si="9">IFS(OR(C52="",C54=""),"",AND(C52&gt;0,C54&gt;0),C54/C52)</f>
        <v>0.5281166965</v>
      </c>
      <c r="D55" s="419">
        <f t="shared" si="9"/>
        <v>0.3447755294</v>
      </c>
      <c r="E55" s="413">
        <f t="shared" si="9"/>
        <v>0.4102164706</v>
      </c>
      <c r="F55" s="419" t="str">
        <f t="shared" si="9"/>
        <v/>
      </c>
      <c r="G55" s="413" t="str">
        <f t="shared" si="9"/>
        <v/>
      </c>
      <c r="H55" s="419" t="str">
        <f t="shared" si="9"/>
        <v/>
      </c>
      <c r="I55" s="415" t="str">
        <f t="shared" si="9"/>
        <v/>
      </c>
      <c r="J55" s="419" t="str">
        <f t="shared" si="9"/>
        <v/>
      </c>
      <c r="K55" s="413" t="str">
        <f t="shared" si="9"/>
        <v/>
      </c>
      <c r="L55" s="419" t="str">
        <f t="shared" si="9"/>
        <v/>
      </c>
      <c r="M55" s="413" t="str">
        <f t="shared" si="9"/>
        <v/>
      </c>
      <c r="N55" s="419" t="str">
        <f t="shared" si="9"/>
        <v/>
      </c>
      <c r="O55" s="413" t="str">
        <f t="shared" si="9"/>
        <v/>
      </c>
      <c r="P55" s="420" t="str">
        <f t="shared" si="9"/>
        <v/>
      </c>
      <c r="Q55" s="413" t="str">
        <f t="shared" si="9"/>
        <v/>
      </c>
      <c r="R55" s="419" t="str">
        <f t="shared" si="9"/>
        <v/>
      </c>
      <c r="S55" s="413" t="str">
        <f t="shared" si="9"/>
        <v/>
      </c>
      <c r="T55" s="419" t="str">
        <f t="shared" si="9"/>
        <v/>
      </c>
      <c r="U55" s="413" t="str">
        <f t="shared" si="9"/>
        <v/>
      </c>
      <c r="V55" s="419" t="str">
        <f t="shared" si="9"/>
        <v/>
      </c>
      <c r="W55" s="413" t="str">
        <f t="shared" si="9"/>
        <v/>
      </c>
      <c r="X55" s="419" t="str">
        <f t="shared" si="9"/>
        <v/>
      </c>
      <c r="Y55" s="413" t="str">
        <f t="shared" si="9"/>
        <v/>
      </c>
      <c r="Z55" s="419" t="str">
        <f t="shared" si="9"/>
        <v/>
      </c>
      <c r="AA55" s="413" t="str">
        <f t="shared" si="9"/>
        <v/>
      </c>
      <c r="AB55" s="419" t="str">
        <f t="shared" si="9"/>
        <v/>
      </c>
      <c r="AC55" s="413" t="str">
        <f t="shared" si="9"/>
        <v/>
      </c>
      <c r="AD55" s="421" t="str">
        <f t="shared" si="9"/>
        <v/>
      </c>
      <c r="AE55" s="371"/>
    </row>
    <row r="56" ht="15.75" customHeight="1">
      <c r="A56" s="205"/>
      <c r="B56" s="418" t="s">
        <v>175</v>
      </c>
      <c r="C56" s="411">
        <f t="shared" ref="C56:AD56" si="10">IFS(OR(C54="",$J$2=""),"",AND(C54&gt;0,$J$2&gt;0),C54/$J$2)</f>
        <v>0.1202076546</v>
      </c>
      <c r="D56" s="412">
        <f t="shared" si="10"/>
        <v>0.1190753493</v>
      </c>
      <c r="E56" s="413">
        <f t="shared" si="10"/>
        <v>0.1322316145</v>
      </c>
      <c r="F56" s="414" t="str">
        <f t="shared" si="10"/>
        <v/>
      </c>
      <c r="G56" s="411" t="str">
        <f t="shared" si="10"/>
        <v/>
      </c>
      <c r="H56" s="412" t="str">
        <f t="shared" si="10"/>
        <v/>
      </c>
      <c r="I56" s="415" t="str">
        <f t="shared" si="10"/>
        <v/>
      </c>
      <c r="J56" s="414" t="str">
        <f t="shared" si="10"/>
        <v/>
      </c>
      <c r="K56" s="411" t="str">
        <f t="shared" si="10"/>
        <v/>
      </c>
      <c r="L56" s="412" t="str">
        <f t="shared" si="10"/>
        <v/>
      </c>
      <c r="M56" s="413" t="str">
        <f t="shared" si="10"/>
        <v/>
      </c>
      <c r="N56" s="414" t="str">
        <f t="shared" si="10"/>
        <v/>
      </c>
      <c r="O56" s="411" t="str">
        <f t="shared" si="10"/>
        <v/>
      </c>
      <c r="P56" s="416" t="str">
        <f t="shared" si="10"/>
        <v/>
      </c>
      <c r="Q56" s="413" t="str">
        <f t="shared" si="10"/>
        <v/>
      </c>
      <c r="R56" s="422" t="str">
        <f t="shared" si="10"/>
        <v/>
      </c>
      <c r="S56" s="423" t="str">
        <f t="shared" si="10"/>
        <v/>
      </c>
      <c r="T56" s="424" t="str">
        <f t="shared" si="10"/>
        <v/>
      </c>
      <c r="U56" s="425" t="str">
        <f t="shared" si="10"/>
        <v/>
      </c>
      <c r="V56" s="422" t="str">
        <f t="shared" si="10"/>
        <v/>
      </c>
      <c r="W56" s="423" t="str">
        <f t="shared" si="10"/>
        <v/>
      </c>
      <c r="X56" s="424" t="str">
        <f t="shared" si="10"/>
        <v/>
      </c>
      <c r="Y56" s="425" t="str">
        <f t="shared" si="10"/>
        <v/>
      </c>
      <c r="Z56" s="422" t="str">
        <f t="shared" si="10"/>
        <v/>
      </c>
      <c r="AA56" s="423" t="str">
        <f t="shared" si="10"/>
        <v/>
      </c>
      <c r="AB56" s="424" t="str">
        <f t="shared" si="10"/>
        <v/>
      </c>
      <c r="AC56" s="425" t="str">
        <f t="shared" si="10"/>
        <v/>
      </c>
      <c r="AD56" s="426" t="str">
        <f t="shared" si="10"/>
        <v/>
      </c>
      <c r="AE56" s="371"/>
    </row>
    <row r="57" ht="15.75" customHeight="1">
      <c r="A57" s="205"/>
      <c r="B57" s="418" t="s">
        <v>176</v>
      </c>
      <c r="C57" s="411">
        <f t="shared" ref="C57:AD57" si="11">IF(AND(C21&gt;0,C39&gt;0),(C39*1000*C21)/($J$2*37.5*100),"")</f>
        <v>0.3625010361</v>
      </c>
      <c r="D57" s="412">
        <f t="shared" si="11"/>
        <v>0.7699463064</v>
      </c>
      <c r="E57" s="413">
        <f t="shared" si="11"/>
        <v>0.9200674164</v>
      </c>
      <c r="F57" s="414">
        <f t="shared" si="11"/>
        <v>1.270963999</v>
      </c>
      <c r="G57" s="411">
        <f t="shared" si="11"/>
        <v>1.183683769</v>
      </c>
      <c r="H57" s="412">
        <f t="shared" si="11"/>
        <v>1.310032327</v>
      </c>
      <c r="I57" s="415" t="str">
        <f t="shared" si="11"/>
        <v/>
      </c>
      <c r="J57" s="414" t="str">
        <f t="shared" si="11"/>
        <v/>
      </c>
      <c r="K57" s="411" t="str">
        <f t="shared" si="11"/>
        <v/>
      </c>
      <c r="L57" s="412" t="str">
        <f t="shared" si="11"/>
        <v/>
      </c>
      <c r="M57" s="413" t="str">
        <f t="shared" si="11"/>
        <v/>
      </c>
      <c r="N57" s="414" t="str">
        <f t="shared" si="11"/>
        <v/>
      </c>
      <c r="O57" s="411" t="str">
        <f t="shared" si="11"/>
        <v/>
      </c>
      <c r="P57" s="416" t="str">
        <f t="shared" si="11"/>
        <v/>
      </c>
      <c r="Q57" s="413" t="str">
        <f t="shared" si="11"/>
        <v/>
      </c>
      <c r="R57" s="414" t="str">
        <f t="shared" si="11"/>
        <v/>
      </c>
      <c r="S57" s="411" t="str">
        <f t="shared" si="11"/>
        <v/>
      </c>
      <c r="T57" s="412" t="str">
        <f t="shared" si="11"/>
        <v/>
      </c>
      <c r="U57" s="413" t="str">
        <f t="shared" si="11"/>
        <v/>
      </c>
      <c r="V57" s="414" t="str">
        <f t="shared" si="11"/>
        <v/>
      </c>
      <c r="W57" s="411" t="str">
        <f t="shared" si="11"/>
        <v/>
      </c>
      <c r="X57" s="412" t="str">
        <f t="shared" si="11"/>
        <v/>
      </c>
      <c r="Y57" s="413" t="str">
        <f t="shared" si="11"/>
        <v/>
      </c>
      <c r="Z57" s="414" t="str">
        <f t="shared" si="11"/>
        <v/>
      </c>
      <c r="AA57" s="411" t="str">
        <f t="shared" si="11"/>
        <v/>
      </c>
      <c r="AB57" s="412" t="str">
        <f t="shared" si="11"/>
        <v/>
      </c>
      <c r="AC57" s="413" t="str">
        <f t="shared" si="11"/>
        <v/>
      </c>
      <c r="AD57" s="417" t="str">
        <f t="shared" si="11"/>
        <v/>
      </c>
      <c r="AE57" s="371"/>
    </row>
    <row r="58" ht="15.75" customHeight="1">
      <c r="A58" s="205"/>
      <c r="B58" s="427" t="s">
        <v>177</v>
      </c>
      <c r="C58" s="428" t="str">
        <f t="shared" ref="C58:AD58" si="12">IFS(C41="","",C41=C40,"0",C41&lt;C40,"",C41&gt;C40,C41-(C40-C32))</f>
        <v/>
      </c>
      <c r="D58" s="429" t="str">
        <f t="shared" si="12"/>
        <v/>
      </c>
      <c r="E58" s="430" t="str">
        <f t="shared" si="12"/>
        <v/>
      </c>
      <c r="F58" s="431" t="str">
        <f t="shared" si="12"/>
        <v/>
      </c>
      <c r="G58" s="428" t="str">
        <f t="shared" si="12"/>
        <v/>
      </c>
      <c r="H58" s="429" t="str">
        <f t="shared" si="12"/>
        <v/>
      </c>
      <c r="I58" s="432" t="str">
        <f t="shared" si="12"/>
        <v/>
      </c>
      <c r="J58" s="431" t="str">
        <f t="shared" si="12"/>
        <v/>
      </c>
      <c r="K58" s="428" t="str">
        <f t="shared" si="12"/>
        <v/>
      </c>
      <c r="L58" s="429" t="str">
        <f t="shared" si="12"/>
        <v/>
      </c>
      <c r="M58" s="430" t="str">
        <f t="shared" si="12"/>
        <v/>
      </c>
      <c r="N58" s="431" t="str">
        <f t="shared" si="12"/>
        <v/>
      </c>
      <c r="O58" s="428" t="str">
        <f t="shared" si="12"/>
        <v/>
      </c>
      <c r="P58" s="433" t="str">
        <f t="shared" si="12"/>
        <v/>
      </c>
      <c r="Q58" s="430" t="str">
        <f t="shared" si="12"/>
        <v/>
      </c>
      <c r="R58" s="431" t="str">
        <f t="shared" si="12"/>
        <v/>
      </c>
      <c r="S58" s="428" t="str">
        <f t="shared" si="12"/>
        <v/>
      </c>
      <c r="T58" s="429" t="str">
        <f t="shared" si="12"/>
        <v/>
      </c>
      <c r="U58" s="430" t="str">
        <f t="shared" si="12"/>
        <v/>
      </c>
      <c r="V58" s="431" t="str">
        <f t="shared" si="12"/>
        <v/>
      </c>
      <c r="W58" s="428" t="str">
        <f t="shared" si="12"/>
        <v/>
      </c>
      <c r="X58" s="429" t="str">
        <f t="shared" si="12"/>
        <v/>
      </c>
      <c r="Y58" s="430" t="str">
        <f t="shared" si="12"/>
        <v/>
      </c>
      <c r="Z58" s="431" t="str">
        <f t="shared" si="12"/>
        <v/>
      </c>
      <c r="AA58" s="428" t="str">
        <f t="shared" si="12"/>
        <v/>
      </c>
      <c r="AB58" s="429" t="str">
        <f t="shared" si="12"/>
        <v/>
      </c>
      <c r="AC58" s="430" t="str">
        <f t="shared" si="12"/>
        <v/>
      </c>
      <c r="AD58" s="434" t="str">
        <f t="shared" si="12"/>
        <v/>
      </c>
      <c r="AE58" s="371"/>
    </row>
    <row r="59" ht="15.75" customHeight="1">
      <c r="A59" s="205"/>
      <c r="B59" s="435" t="s">
        <v>178</v>
      </c>
      <c r="C59" s="436" t="str">
        <f t="shared" ref="C59:AD59" si="13">IF(C45&gt;0,(C40-C41)*(C45*0.66),"")</f>
        <v/>
      </c>
      <c r="D59" s="437" t="str">
        <f t="shared" si="13"/>
        <v/>
      </c>
      <c r="E59" s="436" t="str">
        <f t="shared" si="13"/>
        <v/>
      </c>
      <c r="F59" s="437" t="str">
        <f t="shared" si="13"/>
        <v/>
      </c>
      <c r="G59" s="436" t="str">
        <f t="shared" si="13"/>
        <v/>
      </c>
      <c r="H59" s="437" t="str">
        <f t="shared" si="13"/>
        <v/>
      </c>
      <c r="I59" s="438" t="str">
        <f t="shared" si="13"/>
        <v/>
      </c>
      <c r="J59" s="437" t="str">
        <f t="shared" si="13"/>
        <v/>
      </c>
      <c r="K59" s="436" t="str">
        <f t="shared" si="13"/>
        <v/>
      </c>
      <c r="L59" s="437" t="str">
        <f t="shared" si="13"/>
        <v/>
      </c>
      <c r="M59" s="436" t="str">
        <f t="shared" si="13"/>
        <v/>
      </c>
      <c r="N59" s="437" t="str">
        <f t="shared" si="13"/>
        <v/>
      </c>
      <c r="O59" s="436" t="str">
        <f t="shared" si="13"/>
        <v/>
      </c>
      <c r="P59" s="439" t="str">
        <f t="shared" si="13"/>
        <v/>
      </c>
      <c r="Q59" s="436" t="str">
        <f t="shared" si="13"/>
        <v/>
      </c>
      <c r="R59" s="437" t="str">
        <f t="shared" si="13"/>
        <v/>
      </c>
      <c r="S59" s="436" t="str">
        <f t="shared" si="13"/>
        <v/>
      </c>
      <c r="T59" s="437" t="str">
        <f t="shared" si="13"/>
        <v/>
      </c>
      <c r="U59" s="436" t="str">
        <f t="shared" si="13"/>
        <v/>
      </c>
      <c r="V59" s="437" t="str">
        <f t="shared" si="13"/>
        <v/>
      </c>
      <c r="W59" s="436" t="str">
        <f t="shared" si="13"/>
        <v/>
      </c>
      <c r="X59" s="437" t="str">
        <f t="shared" si="13"/>
        <v/>
      </c>
      <c r="Y59" s="436" t="str">
        <f t="shared" si="13"/>
        <v/>
      </c>
      <c r="Z59" s="437" t="str">
        <f t="shared" si="13"/>
        <v/>
      </c>
      <c r="AA59" s="436" t="str">
        <f t="shared" si="13"/>
        <v/>
      </c>
      <c r="AB59" s="437" t="str">
        <f t="shared" si="13"/>
        <v/>
      </c>
      <c r="AC59" s="436" t="str">
        <f t="shared" si="13"/>
        <v/>
      </c>
      <c r="AD59" s="439" t="str">
        <f t="shared" si="13"/>
        <v/>
      </c>
      <c r="AE59" s="204"/>
    </row>
    <row r="60" ht="15.75" customHeight="1">
      <c r="A60" s="205"/>
      <c r="B60" s="435" t="s">
        <v>179</v>
      </c>
      <c r="C60" s="436" t="str">
        <f t="shared" ref="C60:AD60" si="14">IF(C45&gt;0,C45*0.75,"")</f>
        <v/>
      </c>
      <c r="D60" s="437" t="str">
        <f t="shared" si="14"/>
        <v/>
      </c>
      <c r="E60" s="436" t="str">
        <f t="shared" si="14"/>
        <v/>
      </c>
      <c r="F60" s="437" t="str">
        <f t="shared" si="14"/>
        <v/>
      </c>
      <c r="G60" s="436" t="str">
        <f t="shared" si="14"/>
        <v/>
      </c>
      <c r="H60" s="437" t="str">
        <f t="shared" si="14"/>
        <v/>
      </c>
      <c r="I60" s="438" t="str">
        <f t="shared" si="14"/>
        <v/>
      </c>
      <c r="J60" s="437" t="str">
        <f t="shared" si="14"/>
        <v/>
      </c>
      <c r="K60" s="436" t="str">
        <f t="shared" si="14"/>
        <v/>
      </c>
      <c r="L60" s="437" t="str">
        <f t="shared" si="14"/>
        <v/>
      </c>
      <c r="M60" s="436" t="str">
        <f t="shared" si="14"/>
        <v/>
      </c>
      <c r="N60" s="437" t="str">
        <f t="shared" si="14"/>
        <v/>
      </c>
      <c r="O60" s="436" t="str">
        <f t="shared" si="14"/>
        <v/>
      </c>
      <c r="P60" s="439" t="str">
        <f t="shared" si="14"/>
        <v/>
      </c>
      <c r="Q60" s="436" t="str">
        <f t="shared" si="14"/>
        <v/>
      </c>
      <c r="R60" s="437" t="str">
        <f t="shared" si="14"/>
        <v/>
      </c>
      <c r="S60" s="436" t="str">
        <f t="shared" si="14"/>
        <v/>
      </c>
      <c r="T60" s="437" t="str">
        <f t="shared" si="14"/>
        <v/>
      </c>
      <c r="U60" s="436" t="str">
        <f t="shared" si="14"/>
        <v/>
      </c>
      <c r="V60" s="437" t="str">
        <f t="shared" si="14"/>
        <v/>
      </c>
      <c r="W60" s="436" t="str">
        <f t="shared" si="14"/>
        <v/>
      </c>
      <c r="X60" s="437" t="str">
        <f t="shared" si="14"/>
        <v/>
      </c>
      <c r="Y60" s="436" t="str">
        <f t="shared" si="14"/>
        <v/>
      </c>
      <c r="Z60" s="437" t="str">
        <f t="shared" si="14"/>
        <v/>
      </c>
      <c r="AA60" s="436" t="str">
        <f t="shared" si="14"/>
        <v/>
      </c>
      <c r="AB60" s="437" t="str">
        <f t="shared" si="14"/>
        <v/>
      </c>
      <c r="AC60" s="436" t="str">
        <f t="shared" si="14"/>
        <v/>
      </c>
      <c r="AD60" s="439" t="str">
        <f t="shared" si="14"/>
        <v/>
      </c>
      <c r="AE60" s="204"/>
    </row>
    <row r="61" ht="15.75" customHeight="1">
      <c r="A61" s="205"/>
      <c r="B61" s="435" t="s">
        <v>180</v>
      </c>
      <c r="C61" s="436">
        <f t="shared" ref="C61:AD61" si="15">IFS(AND(C51&lt;&gt;"",C37&lt;&gt;""),C51*C37,AND(C51&lt;&gt;"",C31&lt;&gt;""),C51*C31,C51="","")</f>
        <v>252</v>
      </c>
      <c r="D61" s="437">
        <f t="shared" si="15"/>
        <v>224</v>
      </c>
      <c r="E61" s="436">
        <f t="shared" si="15"/>
        <v>240</v>
      </c>
      <c r="F61" s="437">
        <f t="shared" si="15"/>
        <v>306</v>
      </c>
      <c r="G61" s="436">
        <f t="shared" si="15"/>
        <v>290.7</v>
      </c>
      <c r="H61" s="440">
        <f t="shared" si="15"/>
        <v>297</v>
      </c>
      <c r="I61" s="441">
        <f t="shared" si="15"/>
        <v>256</v>
      </c>
      <c r="J61" s="437" t="str">
        <f t="shared" si="15"/>
        <v/>
      </c>
      <c r="K61" s="436" t="str">
        <f t="shared" si="15"/>
        <v/>
      </c>
      <c r="L61" s="437" t="str">
        <f t="shared" si="15"/>
        <v/>
      </c>
      <c r="M61" s="436" t="str">
        <f t="shared" si="15"/>
        <v/>
      </c>
      <c r="N61" s="437" t="str">
        <f t="shared" si="15"/>
        <v/>
      </c>
      <c r="O61" s="436" t="str">
        <f t="shared" si="15"/>
        <v/>
      </c>
      <c r="P61" s="439" t="str">
        <f t="shared" si="15"/>
        <v/>
      </c>
      <c r="Q61" s="436" t="str">
        <f t="shared" si="15"/>
        <v/>
      </c>
      <c r="R61" s="437" t="str">
        <f t="shared" si="15"/>
        <v/>
      </c>
      <c r="S61" s="436" t="str">
        <f t="shared" si="15"/>
        <v/>
      </c>
      <c r="T61" s="436" t="str">
        <f t="shared" si="15"/>
        <v/>
      </c>
      <c r="U61" s="436" t="str">
        <f t="shared" si="15"/>
        <v/>
      </c>
      <c r="V61" s="437" t="str">
        <f t="shared" si="15"/>
        <v/>
      </c>
      <c r="W61" s="436" t="str">
        <f t="shared" si="15"/>
        <v/>
      </c>
      <c r="X61" s="437" t="str">
        <f t="shared" si="15"/>
        <v/>
      </c>
      <c r="Y61" s="436" t="str">
        <f t="shared" si="15"/>
        <v/>
      </c>
      <c r="Z61" s="437" t="str">
        <f t="shared" si="15"/>
        <v/>
      </c>
      <c r="AA61" s="436" t="str">
        <f t="shared" si="15"/>
        <v/>
      </c>
      <c r="AB61" s="437" t="str">
        <f t="shared" si="15"/>
        <v/>
      </c>
      <c r="AC61" s="436" t="str">
        <f t="shared" si="15"/>
        <v/>
      </c>
      <c r="AD61" s="438" t="str">
        <f t="shared" si="15"/>
        <v/>
      </c>
      <c r="AE61" s="204"/>
    </row>
    <row r="62" ht="15.75" customHeight="1">
      <c r="A62" s="273"/>
      <c r="B62" s="442" t="s">
        <v>181</v>
      </c>
      <c r="C62" s="443">
        <f t="shared" ref="C62:AD62" si="16">IFS(C50="","",AND(C50&lt;&gt;"",C27&lt;&gt;""),(C50*100*C27)/C22)</f>
        <v>7.077151335</v>
      </c>
      <c r="D62" s="444">
        <f t="shared" si="16"/>
        <v>2.123115578</v>
      </c>
      <c r="E62" s="445">
        <f t="shared" si="16"/>
        <v>3.672413793</v>
      </c>
      <c r="F62" s="444">
        <f t="shared" si="16"/>
        <v>3.646875</v>
      </c>
      <c r="G62" s="445">
        <f t="shared" si="16"/>
        <v>2.815806452</v>
      </c>
      <c r="H62" s="444">
        <f t="shared" si="16"/>
        <v>3.8828125</v>
      </c>
      <c r="I62" s="446" t="str">
        <f t="shared" si="16"/>
        <v>#N/A</v>
      </c>
      <c r="J62" s="444" t="str">
        <f t="shared" si="16"/>
        <v/>
      </c>
      <c r="K62" s="445" t="str">
        <f t="shared" si="16"/>
        <v/>
      </c>
      <c r="L62" s="444" t="str">
        <f t="shared" si="16"/>
        <v/>
      </c>
      <c r="M62" s="445" t="str">
        <f t="shared" si="16"/>
        <v/>
      </c>
      <c r="N62" s="444" t="str">
        <f t="shared" si="16"/>
        <v/>
      </c>
      <c r="O62" s="445" t="str">
        <f t="shared" si="16"/>
        <v/>
      </c>
      <c r="P62" s="447" t="str">
        <f t="shared" si="16"/>
        <v/>
      </c>
      <c r="Q62" s="445" t="str">
        <f t="shared" si="16"/>
        <v/>
      </c>
      <c r="R62" s="444" t="str">
        <f t="shared" si="16"/>
        <v/>
      </c>
      <c r="S62" s="445" t="str">
        <f t="shared" si="16"/>
        <v/>
      </c>
      <c r="T62" s="448" t="str">
        <f t="shared" si="16"/>
        <v/>
      </c>
      <c r="U62" s="449" t="str">
        <f t="shared" si="16"/>
        <v/>
      </c>
      <c r="V62" s="448" t="str">
        <f t="shared" si="16"/>
        <v/>
      </c>
      <c r="W62" s="449" t="str">
        <f t="shared" si="16"/>
        <v/>
      </c>
      <c r="X62" s="448" t="str">
        <f t="shared" si="16"/>
        <v/>
      </c>
      <c r="Y62" s="449" t="str">
        <f t="shared" si="16"/>
        <v/>
      </c>
      <c r="Z62" s="448" t="str">
        <f t="shared" si="16"/>
        <v/>
      </c>
      <c r="AA62" s="449" t="str">
        <f t="shared" si="16"/>
        <v/>
      </c>
      <c r="AB62" s="448" t="str">
        <f t="shared" si="16"/>
        <v/>
      </c>
      <c r="AC62" s="449" t="str">
        <f t="shared" si="16"/>
        <v/>
      </c>
      <c r="AD62" s="450" t="str">
        <f t="shared" si="16"/>
        <v/>
      </c>
      <c r="AE62" s="204"/>
    </row>
    <row r="63" ht="15.75" customHeight="1">
      <c r="A63" s="451"/>
      <c r="B63" s="452"/>
      <c r="C63" s="181"/>
      <c r="D63" s="181"/>
      <c r="E63" s="181"/>
      <c r="F63" s="181"/>
      <c r="G63" s="181"/>
      <c r="H63" s="181"/>
      <c r="I63" s="181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4"/>
    </row>
    <row r="64" ht="15.75" customHeight="1">
      <c r="A64" s="451"/>
      <c r="B64" s="452"/>
      <c r="C64" s="181"/>
      <c r="D64" s="181"/>
      <c r="E64" s="181"/>
      <c r="F64" s="181"/>
      <c r="G64" s="181"/>
      <c r="H64" s="181"/>
      <c r="I64" s="181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4"/>
    </row>
    <row r="65" ht="15.75" customHeight="1">
      <c r="A65" s="451"/>
      <c r="B65" s="453" t="s">
        <v>108</v>
      </c>
      <c r="C65" s="454">
        <f>SUM(C66:C70)</f>
        <v>2</v>
      </c>
      <c r="D65" s="181"/>
      <c r="E65" s="455" t="s">
        <v>107</v>
      </c>
      <c r="F65" s="456">
        <f>F66+F67+F68+F69+F71</f>
        <v>7</v>
      </c>
      <c r="G65" s="181"/>
      <c r="H65" s="455" t="s">
        <v>109</v>
      </c>
      <c r="I65" s="457">
        <f>SUM(I66:I72)</f>
        <v>3</v>
      </c>
      <c r="J65" s="56"/>
      <c r="K65" s="458" t="s">
        <v>182</v>
      </c>
      <c r="L65" s="188"/>
      <c r="M65" s="459">
        <f>COUNTIF(15:15,"POSITIVO")</f>
        <v>0</v>
      </c>
      <c r="N65" s="56"/>
      <c r="O65" s="460" t="s">
        <v>183</v>
      </c>
      <c r="P65" s="454" t="str">
        <f>IF(P66&gt;0,"SI","NO")</f>
        <v>NO</v>
      </c>
      <c r="Q65" s="56"/>
      <c r="R65" s="56"/>
      <c r="S65" s="461" t="s">
        <v>184</v>
      </c>
      <c r="T65" s="462">
        <f>COUNTIF(28:28,"&lt;200")</f>
        <v>0</v>
      </c>
      <c r="U65" s="56"/>
      <c r="V65" s="56"/>
      <c r="W65" s="56"/>
      <c r="X65" s="56"/>
      <c r="Y65" s="56"/>
      <c r="Z65" s="56"/>
      <c r="AB65" s="183"/>
      <c r="AC65" s="183"/>
      <c r="AD65" s="183"/>
      <c r="AE65" s="204"/>
    </row>
    <row r="66" ht="15.75" customHeight="1">
      <c r="A66" s="56"/>
      <c r="B66" s="463" t="s">
        <v>185</v>
      </c>
      <c r="C66" s="464">
        <f>COUNTIF(14:14,"MDZ")</f>
        <v>0</v>
      </c>
      <c r="D66" s="181"/>
      <c r="E66" s="465" t="s">
        <v>186</v>
      </c>
      <c r="F66" s="466">
        <f>COUNTIF(12:12,"FNT")</f>
        <v>7</v>
      </c>
      <c r="G66" s="181"/>
      <c r="H66" s="465" t="s">
        <v>187</v>
      </c>
      <c r="I66" s="467">
        <f>COUNTIF(19:19,"NORA")</f>
        <v>3</v>
      </c>
      <c r="J66" s="177"/>
      <c r="K66" s="468" t="s">
        <v>188</v>
      </c>
      <c r="L66" s="188"/>
      <c r="M66" s="469">
        <f>COUNTIF(15:15,"NEGATIVO")</f>
        <v>0</v>
      </c>
      <c r="N66" s="177"/>
      <c r="O66" s="470" t="s">
        <v>189</v>
      </c>
      <c r="P66" s="466">
        <f>COUNTIFS(17:17,"&gt;=0",17:17,"&lt;48")</f>
        <v>0</v>
      </c>
      <c r="Q66" s="471" t="s">
        <v>190</v>
      </c>
      <c r="AB66" s="183"/>
      <c r="AC66" s="183"/>
      <c r="AD66" s="183"/>
      <c r="AE66" s="183"/>
    </row>
    <row r="67" ht="15.75" customHeight="1">
      <c r="A67" s="472"/>
      <c r="B67" s="473" t="s">
        <v>191</v>
      </c>
      <c r="C67" s="474">
        <f>COUNTIF(14:14,"PROPO")</f>
        <v>2</v>
      </c>
      <c r="D67" s="475"/>
      <c r="E67" s="476" t="s">
        <v>192</v>
      </c>
      <c r="F67" s="477">
        <f>COUNTIF(12:12,"MORF")</f>
        <v>0</v>
      </c>
      <c r="G67" s="475"/>
      <c r="H67" s="476" t="s">
        <v>193</v>
      </c>
      <c r="I67" s="478">
        <f>COUNTIF(19:19,"VASO")</f>
        <v>0</v>
      </c>
      <c r="J67" s="177"/>
      <c r="K67" s="468" t="s">
        <v>194</v>
      </c>
      <c r="L67" s="188"/>
      <c r="M67" s="469">
        <f>COUNTIF(15:15,"N/E")</f>
        <v>5</v>
      </c>
      <c r="N67" s="177"/>
      <c r="O67" s="479" t="s">
        <v>195</v>
      </c>
      <c r="P67" s="480">
        <f>COUNTIF(17:17,"&gt;=48")</f>
        <v>0</v>
      </c>
      <c r="Q67" s="481" t="s">
        <v>190</v>
      </c>
      <c r="AB67" s="183"/>
      <c r="AC67" s="183"/>
      <c r="AD67" s="183"/>
      <c r="AE67" s="183"/>
    </row>
    <row r="68" ht="15.75" customHeight="1">
      <c r="A68" s="472"/>
      <c r="B68" s="473" t="s">
        <v>196</v>
      </c>
      <c r="C68" s="474">
        <f>COUNTIF(14:14,"DEXMEDETO")</f>
        <v>0</v>
      </c>
      <c r="D68" s="475"/>
      <c r="E68" s="476" t="s">
        <v>197</v>
      </c>
      <c r="F68" s="477">
        <f>COUNTIF(12:12,"REMI")</f>
        <v>0</v>
      </c>
      <c r="G68" s="475"/>
      <c r="H68" s="476" t="s">
        <v>198</v>
      </c>
      <c r="I68" s="478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72"/>
      <c r="B69" s="473" t="s">
        <v>199</v>
      </c>
      <c r="C69" s="482">
        <f>COUNTIF(14:14,"MDZ/PROPO")</f>
        <v>0</v>
      </c>
      <c r="D69" s="483"/>
      <c r="E69" s="476" t="s">
        <v>200</v>
      </c>
      <c r="F69" s="478">
        <f>COUNTIF(12:12,"DOLOFRIX")</f>
        <v>0</v>
      </c>
      <c r="G69" s="483"/>
      <c r="H69" s="476" t="s">
        <v>201</v>
      </c>
      <c r="I69" s="478">
        <f>COUNTIF(19:19,"NORA/VASO")</f>
        <v>0</v>
      </c>
      <c r="J69" s="177"/>
      <c r="K69" s="484" t="s">
        <v>202</v>
      </c>
      <c r="L69" s="188"/>
      <c r="M69" s="485">
        <f>SUM(M70:M72)</f>
        <v>0</v>
      </c>
      <c r="N69" s="177"/>
      <c r="O69" s="486" t="s">
        <v>110</v>
      </c>
      <c r="P69" s="487">
        <f>SUM(P70:P73)</f>
        <v>0</v>
      </c>
      <c r="Q69" s="177"/>
      <c r="AB69" s="183"/>
      <c r="AC69" s="183"/>
      <c r="AD69" s="183"/>
      <c r="AE69" s="183"/>
    </row>
    <row r="70" ht="15.75" customHeight="1">
      <c r="A70" s="472"/>
      <c r="B70" s="473" t="s">
        <v>203</v>
      </c>
      <c r="C70" s="482">
        <f>COUNTIF(14:14,"KETA")</f>
        <v>0</v>
      </c>
      <c r="D70" s="483"/>
      <c r="E70" s="476" t="s">
        <v>204</v>
      </c>
      <c r="F70" s="478">
        <f>COUNTIF(12:12,"AINES")</f>
        <v>0</v>
      </c>
      <c r="G70" s="483"/>
      <c r="H70" s="476" t="s">
        <v>205</v>
      </c>
      <c r="I70" s="478">
        <f>COUNTIF(19:19,"DOBUTA")</f>
        <v>0</v>
      </c>
      <c r="J70" s="177"/>
      <c r="K70" s="488" t="s">
        <v>206</v>
      </c>
      <c r="L70" s="138"/>
      <c r="M70" s="489">
        <f>COUNTIF(16:16,"QTP")</f>
        <v>0</v>
      </c>
      <c r="N70" s="177"/>
      <c r="O70" s="490" t="s">
        <v>207</v>
      </c>
      <c r="P70" s="491">
        <f>COUNTIF(18:18,"ATRA")</f>
        <v>0</v>
      </c>
      <c r="Q70" s="177"/>
      <c r="AB70" s="183"/>
      <c r="AC70" s="183"/>
      <c r="AD70" s="183"/>
      <c r="AE70" s="183"/>
    </row>
    <row r="71" ht="15.75" customHeight="1">
      <c r="A71" s="472"/>
      <c r="B71" s="492" t="s">
        <v>208</v>
      </c>
      <c r="C71" s="493">
        <f>COUNTIF(14:14,"OTROS")</f>
        <v>0</v>
      </c>
      <c r="D71" s="483"/>
      <c r="E71" s="494" t="s">
        <v>208</v>
      </c>
      <c r="F71" s="480">
        <f>COUNTIF(12:12,"OTROS")</f>
        <v>0</v>
      </c>
      <c r="G71" s="483"/>
      <c r="H71" s="476" t="s">
        <v>209</v>
      </c>
      <c r="I71" s="478">
        <f>COUNTIF(19:19,"MILRI")</f>
        <v>0</v>
      </c>
      <c r="J71" s="177"/>
      <c r="K71" s="488" t="s">
        <v>210</v>
      </c>
      <c r="L71" s="138"/>
      <c r="M71" s="489">
        <f>COUNTIF(16:16,"HLP")</f>
        <v>0</v>
      </c>
      <c r="N71" s="177"/>
      <c r="O71" s="495" t="s">
        <v>211</v>
      </c>
      <c r="P71" s="493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83"/>
      <c r="D72" s="483"/>
      <c r="E72" s="483"/>
      <c r="F72" s="483"/>
      <c r="G72" s="483"/>
      <c r="H72" s="494" t="s">
        <v>208</v>
      </c>
      <c r="I72" s="480">
        <f>COUNTIF(19:19,"OTROS")</f>
        <v>0</v>
      </c>
      <c r="J72" s="177"/>
      <c r="K72" s="479" t="s">
        <v>212</v>
      </c>
      <c r="L72" s="58"/>
      <c r="M72" s="496">
        <f>COUNTIF(16:16,"QTP/HLP")</f>
        <v>0</v>
      </c>
      <c r="N72" s="177"/>
      <c r="O72" s="497"/>
      <c r="P72" s="483"/>
      <c r="Q72" s="177"/>
      <c r="AB72" s="183"/>
      <c r="AC72" s="183"/>
      <c r="AD72" s="183"/>
      <c r="AE72" s="183"/>
    </row>
    <row r="73" ht="15.75" customHeight="1">
      <c r="B73" s="177"/>
      <c r="C73" s="483"/>
      <c r="D73" s="483"/>
      <c r="E73" s="483"/>
      <c r="F73" s="483"/>
      <c r="G73" s="483"/>
      <c r="H73" s="483"/>
      <c r="I73" s="483"/>
      <c r="J73" s="177"/>
      <c r="K73" s="177"/>
      <c r="L73" s="177"/>
      <c r="M73" s="177"/>
      <c r="N73" s="177"/>
      <c r="O73" s="497"/>
      <c r="P73" s="483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8"/>
      <c r="EH2" s="498"/>
      <c r="EI2" s="498"/>
      <c r="EJ2" s="498"/>
      <c r="EK2" s="498"/>
      <c r="EL2" s="498"/>
      <c r="EM2" s="498"/>
      <c r="EN2" s="498"/>
      <c r="EO2" s="498"/>
      <c r="EP2" s="498"/>
      <c r="EQ2" s="498"/>
      <c r="ER2" s="498"/>
      <c r="ES2" s="498"/>
      <c r="ET2" s="498"/>
      <c r="EU2" s="498"/>
      <c r="EV2" s="498"/>
      <c r="EW2" s="498"/>
      <c r="EX2" s="498"/>
      <c r="EY2" s="498"/>
      <c r="EZ2" s="498"/>
      <c r="FA2" s="498"/>
      <c r="FB2" s="498"/>
      <c r="FC2" s="498"/>
      <c r="FD2" s="498"/>
      <c r="FE2" s="498"/>
      <c r="FF2" s="498"/>
      <c r="FG2" s="498"/>
      <c r="FH2" s="498"/>
      <c r="FI2" s="498"/>
      <c r="FJ2" s="498"/>
      <c r="FK2" s="498"/>
      <c r="FL2" s="498"/>
      <c r="FM2" s="499" t="s">
        <v>213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9" t="s">
        <v>213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0" t="s">
        <v>213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1" t="s">
        <v>214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8"/>
      <c r="EH3" s="498"/>
      <c r="EI3" s="498"/>
      <c r="EJ3" s="498"/>
      <c r="EK3" s="498"/>
      <c r="EL3" s="498"/>
      <c r="EM3" s="498"/>
      <c r="EN3" s="498"/>
      <c r="EO3" s="498"/>
      <c r="EP3" s="498"/>
      <c r="EQ3" s="498"/>
      <c r="ER3" s="498"/>
      <c r="ES3" s="498"/>
      <c r="ET3" s="498"/>
      <c r="EU3" s="498"/>
      <c r="EV3" s="498"/>
      <c r="EW3" s="498"/>
      <c r="EX3" s="498"/>
      <c r="EY3" s="498"/>
      <c r="EZ3" s="498"/>
      <c r="FA3" s="498"/>
      <c r="FB3" s="498"/>
      <c r="FC3" s="498"/>
      <c r="FD3" s="498"/>
      <c r="FE3" s="498"/>
      <c r="FF3" s="498"/>
      <c r="FG3" s="498"/>
      <c r="FH3" s="498"/>
      <c r="FI3" s="498"/>
      <c r="FJ3" s="498"/>
      <c r="FK3" s="498"/>
      <c r="FL3" s="498"/>
      <c r="FM3" s="303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3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3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2" t="s">
        <v>215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3" t="s">
        <v>216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4" t="s">
        <v>217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5" t="s">
        <v>62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6" t="s">
        <v>86</v>
      </c>
      <c r="CE4" s="124"/>
      <c r="CF4" s="124"/>
      <c r="CG4" s="124"/>
      <c r="CH4" s="124"/>
      <c r="CI4" s="124"/>
      <c r="CJ4" s="124"/>
      <c r="CK4" s="124"/>
      <c r="CL4" s="125"/>
      <c r="CM4" s="507" t="s">
        <v>218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8" t="s">
        <v>219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9" t="s">
        <v>220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0" t="s">
        <v>221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1" t="s">
        <v>222</v>
      </c>
      <c r="FK4" s="124"/>
      <c r="FL4" s="125"/>
      <c r="FM4" s="508" t="s">
        <v>223</v>
      </c>
      <c r="FN4" s="124"/>
      <c r="FO4" s="124"/>
      <c r="FP4" s="124"/>
      <c r="FQ4" s="125"/>
      <c r="FR4" s="502" t="s">
        <v>224</v>
      </c>
      <c r="FS4" s="124"/>
      <c r="FT4" s="124"/>
      <c r="FU4" s="124"/>
      <c r="FV4" s="125"/>
      <c r="FW4" s="509" t="s">
        <v>225</v>
      </c>
      <c r="FX4" s="124"/>
      <c r="FY4" s="124"/>
      <c r="FZ4" s="124"/>
      <c r="GA4" s="125"/>
      <c r="GB4" s="503" t="s">
        <v>226</v>
      </c>
      <c r="GC4" s="124"/>
      <c r="GD4" s="124"/>
      <c r="GE4" s="124"/>
      <c r="GF4" s="125"/>
      <c r="GG4" s="512" t="s">
        <v>227</v>
      </c>
      <c r="GH4" s="124"/>
      <c r="GI4" s="124"/>
      <c r="GJ4" s="124"/>
      <c r="GK4" s="125"/>
      <c r="GL4" s="511" t="s">
        <v>228</v>
      </c>
      <c r="GM4" s="124"/>
      <c r="GN4" s="124"/>
      <c r="GO4" s="124"/>
      <c r="GP4" s="125"/>
      <c r="GQ4" s="513" t="s">
        <v>229</v>
      </c>
      <c r="GR4" s="124"/>
      <c r="GS4" s="124"/>
      <c r="GT4" s="124"/>
      <c r="GU4" s="125"/>
      <c r="GV4" s="514" t="s">
        <v>230</v>
      </c>
      <c r="GW4" s="124"/>
      <c r="GX4" s="124"/>
      <c r="GY4" s="124"/>
      <c r="GZ4" s="125"/>
      <c r="HA4" s="510" t="s">
        <v>231</v>
      </c>
      <c r="HB4" s="124"/>
      <c r="HC4" s="124"/>
      <c r="HD4" s="124"/>
      <c r="HE4" s="125"/>
      <c r="HF4" s="509" t="s">
        <v>232</v>
      </c>
      <c r="HG4" s="124"/>
      <c r="HH4" s="124"/>
      <c r="HI4" s="124"/>
      <c r="HJ4" s="125"/>
      <c r="HK4" s="514" t="s">
        <v>233</v>
      </c>
      <c r="HL4" s="124"/>
      <c r="HM4" s="124"/>
      <c r="HN4" s="124"/>
      <c r="HO4" s="125"/>
      <c r="HP4" s="511" t="s">
        <v>166</v>
      </c>
      <c r="HQ4" s="124"/>
      <c r="HR4" s="124"/>
      <c r="HS4" s="124"/>
      <c r="HT4" s="125"/>
      <c r="HU4" s="515" t="s">
        <v>234</v>
      </c>
      <c r="HV4" s="124"/>
      <c r="HW4" s="124"/>
      <c r="HX4" s="124"/>
      <c r="HY4" s="125"/>
      <c r="HZ4" s="516" t="s">
        <v>235</v>
      </c>
      <c r="IA4" s="124"/>
      <c r="IB4" s="124"/>
      <c r="IC4" s="124"/>
      <c r="ID4" s="125"/>
      <c r="IE4" s="506" t="s">
        <v>236</v>
      </c>
      <c r="IF4" s="124"/>
      <c r="IG4" s="124"/>
      <c r="IH4" s="124"/>
      <c r="II4" s="125"/>
      <c r="IJ4" s="517" t="s">
        <v>237</v>
      </c>
      <c r="IK4" s="124"/>
      <c r="IL4" s="124"/>
      <c r="IM4" s="124"/>
      <c r="IN4" s="125"/>
      <c r="IO4" s="518" t="s">
        <v>238</v>
      </c>
      <c r="IP4" s="124"/>
      <c r="IQ4" s="124"/>
      <c r="IR4" s="124"/>
      <c r="IS4" s="125"/>
      <c r="IT4" s="518" t="s">
        <v>239</v>
      </c>
      <c r="IU4" s="124"/>
      <c r="IV4" s="124"/>
      <c r="IW4" s="124"/>
      <c r="IX4" s="125"/>
      <c r="IY4" s="502" t="s">
        <v>240</v>
      </c>
      <c r="IZ4" s="124"/>
      <c r="JA4" s="124"/>
      <c r="JB4" s="124"/>
      <c r="JC4" s="125"/>
      <c r="JD4" s="515" t="s">
        <v>241</v>
      </c>
      <c r="JE4" s="124"/>
      <c r="JF4" s="124"/>
      <c r="JG4" s="124"/>
      <c r="JH4" s="125"/>
      <c r="JI4" s="511" t="s">
        <v>242</v>
      </c>
      <c r="JJ4" s="124"/>
      <c r="JK4" s="124"/>
      <c r="JL4" s="124"/>
      <c r="JM4" s="125"/>
      <c r="JN4" s="514" t="s">
        <v>162</v>
      </c>
      <c r="JO4" s="124"/>
      <c r="JP4" s="124"/>
      <c r="JQ4" s="124"/>
      <c r="JR4" s="125"/>
      <c r="JS4" s="512" t="s">
        <v>163</v>
      </c>
      <c r="JT4" s="124"/>
      <c r="JU4" s="124"/>
      <c r="JV4" s="124"/>
      <c r="JW4" s="125"/>
      <c r="JX4" s="510" t="s">
        <v>243</v>
      </c>
      <c r="JY4" s="124"/>
      <c r="JZ4" s="124"/>
      <c r="KA4" s="124"/>
      <c r="KB4" s="125"/>
      <c r="KC4" s="516" t="s">
        <v>244</v>
      </c>
      <c r="KD4" s="124"/>
      <c r="KE4" s="124"/>
      <c r="KF4" s="124"/>
      <c r="KG4" s="125"/>
      <c r="KH4" s="516" t="s">
        <v>136</v>
      </c>
      <c r="KI4" s="124"/>
      <c r="KJ4" s="124"/>
      <c r="KK4" s="124"/>
      <c r="KL4" s="125"/>
      <c r="KM4" s="516" t="s">
        <v>135</v>
      </c>
      <c r="KN4" s="124"/>
      <c r="KO4" s="124"/>
      <c r="KP4" s="124"/>
      <c r="KQ4" s="125"/>
      <c r="KR4" s="516" t="s">
        <v>139</v>
      </c>
      <c r="KS4" s="124"/>
      <c r="KT4" s="124"/>
      <c r="KU4" s="124"/>
      <c r="KV4" s="125"/>
      <c r="KW4" s="516" t="s">
        <v>124</v>
      </c>
      <c r="KX4" s="124"/>
      <c r="KY4" s="124"/>
      <c r="KZ4" s="124"/>
      <c r="LA4" s="125"/>
      <c r="LB4" s="516" t="s">
        <v>245</v>
      </c>
      <c r="LC4" s="124"/>
      <c r="LD4" s="124"/>
      <c r="LE4" s="124"/>
      <c r="LF4" s="125"/>
      <c r="LG4" s="519"/>
      <c r="LH4" s="519"/>
      <c r="LI4" s="519"/>
      <c r="LJ4" s="519"/>
      <c r="LK4" s="519"/>
      <c r="LL4" s="519"/>
      <c r="LM4" s="520"/>
    </row>
    <row r="5" ht="42.0" customHeight="1">
      <c r="A5" s="521" t="s">
        <v>246</v>
      </c>
      <c r="B5" s="522" t="s">
        <v>247</v>
      </c>
      <c r="C5" s="522" t="s">
        <v>248</v>
      </c>
      <c r="D5" s="522" t="s">
        <v>249</v>
      </c>
      <c r="E5" s="522" t="s">
        <v>250</v>
      </c>
      <c r="F5" s="522" t="s">
        <v>14</v>
      </c>
      <c r="G5" s="522" t="s">
        <v>251</v>
      </c>
      <c r="H5" s="522" t="s">
        <v>17</v>
      </c>
      <c r="I5" s="522" t="s">
        <v>9</v>
      </c>
      <c r="J5" s="522" t="s">
        <v>252</v>
      </c>
      <c r="K5" s="522" t="s">
        <v>253</v>
      </c>
      <c r="L5" s="522" t="s">
        <v>254</v>
      </c>
      <c r="M5" s="522" t="s">
        <v>255</v>
      </c>
      <c r="N5" s="522" t="s">
        <v>256</v>
      </c>
      <c r="O5" s="522" t="s">
        <v>257</v>
      </c>
      <c r="P5" s="522" t="s">
        <v>101</v>
      </c>
      <c r="Q5" s="522" t="s">
        <v>258</v>
      </c>
      <c r="R5" s="522" t="s">
        <v>259</v>
      </c>
      <c r="S5" s="522" t="s">
        <v>260</v>
      </c>
      <c r="T5" s="522" t="s">
        <v>261</v>
      </c>
      <c r="U5" s="522" t="s">
        <v>262</v>
      </c>
      <c r="V5" s="523" t="s">
        <v>18</v>
      </c>
      <c r="W5" s="524" t="s">
        <v>263</v>
      </c>
      <c r="X5" s="525" t="s">
        <v>25</v>
      </c>
      <c r="Y5" s="526" t="s">
        <v>22</v>
      </c>
      <c r="Z5" s="526" t="s">
        <v>264</v>
      </c>
      <c r="AA5" s="526" t="s">
        <v>104</v>
      </c>
      <c r="AB5" s="526" t="s">
        <v>265</v>
      </c>
      <c r="AC5" s="526" t="s">
        <v>266</v>
      </c>
      <c r="AD5" s="526" t="s">
        <v>267</v>
      </c>
      <c r="AE5" s="526" t="s">
        <v>268</v>
      </c>
      <c r="AF5" s="526" t="s">
        <v>269</v>
      </c>
      <c r="AG5" s="526" t="s">
        <v>270</v>
      </c>
      <c r="AH5" s="526" t="s">
        <v>271</v>
      </c>
      <c r="AI5" s="527" t="s">
        <v>272</v>
      </c>
      <c r="AJ5" s="527" t="s">
        <v>273</v>
      </c>
      <c r="AK5" s="527" t="s">
        <v>23</v>
      </c>
      <c r="AL5" s="527" t="s">
        <v>274</v>
      </c>
      <c r="AM5" s="527" t="s">
        <v>275</v>
      </c>
      <c r="AN5" s="527" t="s">
        <v>276</v>
      </c>
      <c r="AO5" s="527" t="s">
        <v>277</v>
      </c>
      <c r="AP5" s="527" t="s">
        <v>278</v>
      </c>
      <c r="AQ5" s="527" t="s">
        <v>279</v>
      </c>
      <c r="AR5" s="527" t="s">
        <v>280</v>
      </c>
      <c r="AS5" s="527" t="s">
        <v>281</v>
      </c>
      <c r="AT5" s="527" t="s">
        <v>282</v>
      </c>
      <c r="AU5" s="527" t="s">
        <v>283</v>
      </c>
      <c r="AV5" s="527" t="s">
        <v>284</v>
      </c>
      <c r="AW5" s="527" t="s">
        <v>285</v>
      </c>
      <c r="AX5" s="526" t="s">
        <v>286</v>
      </c>
      <c r="AY5" s="526" t="s">
        <v>287</v>
      </c>
      <c r="AZ5" s="526" t="s">
        <v>288</v>
      </c>
      <c r="BA5" s="526" t="s">
        <v>289</v>
      </c>
      <c r="BB5" s="528" t="s">
        <v>24</v>
      </c>
      <c r="BC5" s="529" t="s">
        <v>290</v>
      </c>
      <c r="BD5" s="530" t="s">
        <v>291</v>
      </c>
      <c r="BE5" s="530" t="s">
        <v>292</v>
      </c>
      <c r="BF5" s="530" t="s">
        <v>293</v>
      </c>
      <c r="BG5" s="530" t="s">
        <v>294</v>
      </c>
      <c r="BH5" s="530" t="s">
        <v>295</v>
      </c>
      <c r="BI5" s="530" t="s">
        <v>44</v>
      </c>
      <c r="BJ5" s="530" t="s">
        <v>45</v>
      </c>
      <c r="BK5" s="530" t="s">
        <v>296</v>
      </c>
      <c r="BL5" s="531" t="s">
        <v>297</v>
      </c>
      <c r="BM5" s="530" t="s">
        <v>57</v>
      </c>
      <c r="BN5" s="530" t="s">
        <v>298</v>
      </c>
      <c r="BO5" s="532" t="s">
        <v>299</v>
      </c>
      <c r="BP5" s="533" t="s">
        <v>300</v>
      </c>
      <c r="BQ5" s="534" t="s">
        <v>301</v>
      </c>
      <c r="BR5" s="534" t="s">
        <v>302</v>
      </c>
      <c r="BS5" s="534" t="s">
        <v>303</v>
      </c>
      <c r="BT5" s="534" t="s">
        <v>304</v>
      </c>
      <c r="BU5" s="534" t="s">
        <v>305</v>
      </c>
      <c r="BV5" s="534" t="s">
        <v>306</v>
      </c>
      <c r="BW5" s="534" t="s">
        <v>307</v>
      </c>
      <c r="BX5" s="535" t="s">
        <v>308</v>
      </c>
      <c r="BY5" s="535" t="s">
        <v>309</v>
      </c>
      <c r="BZ5" s="535" t="s">
        <v>85</v>
      </c>
      <c r="CA5" s="535" t="s">
        <v>67</v>
      </c>
      <c r="CB5" s="534" t="s">
        <v>310</v>
      </c>
      <c r="CC5" s="536" t="s">
        <v>311</v>
      </c>
      <c r="CD5" s="537" t="s">
        <v>43</v>
      </c>
      <c r="CE5" s="538" t="s">
        <v>312</v>
      </c>
      <c r="CF5" s="538" t="s">
        <v>313</v>
      </c>
      <c r="CG5" s="538" t="s">
        <v>314</v>
      </c>
      <c r="CH5" s="538" t="s">
        <v>315</v>
      </c>
      <c r="CI5" s="538" t="s">
        <v>316</v>
      </c>
      <c r="CJ5" s="538" t="s">
        <v>317</v>
      </c>
      <c r="CK5" s="539" t="s">
        <v>318</v>
      </c>
      <c r="CL5" s="540" t="s">
        <v>319</v>
      </c>
      <c r="CM5" s="541" t="s">
        <v>31</v>
      </c>
      <c r="CN5" s="542" t="s">
        <v>320</v>
      </c>
      <c r="CO5" s="542" t="s">
        <v>300</v>
      </c>
      <c r="CP5" s="542" t="s">
        <v>321</v>
      </c>
      <c r="CQ5" s="542" t="s">
        <v>34</v>
      </c>
      <c r="CR5" s="542" t="s">
        <v>322</v>
      </c>
      <c r="CS5" s="542" t="s">
        <v>323</v>
      </c>
      <c r="CT5" s="542" t="s">
        <v>36</v>
      </c>
      <c r="CU5" s="542" t="s">
        <v>324</v>
      </c>
      <c r="CV5" s="542" t="s">
        <v>300</v>
      </c>
      <c r="CW5" s="542" t="s">
        <v>321</v>
      </c>
      <c r="CX5" s="542" t="s">
        <v>34</v>
      </c>
      <c r="CY5" s="543" t="s">
        <v>322</v>
      </c>
      <c r="CZ5" s="544" t="s">
        <v>325</v>
      </c>
      <c r="DA5" s="545" t="s">
        <v>31</v>
      </c>
      <c r="DB5" s="546" t="s">
        <v>49</v>
      </c>
      <c r="DC5" s="546" t="s">
        <v>300</v>
      </c>
      <c r="DD5" s="546" t="s">
        <v>321</v>
      </c>
      <c r="DE5" s="546" t="s">
        <v>34</v>
      </c>
      <c r="DF5" s="546" t="s">
        <v>326</v>
      </c>
      <c r="DG5" s="546" t="s">
        <v>323</v>
      </c>
      <c r="DH5" s="546" t="s">
        <v>36</v>
      </c>
      <c r="DI5" s="546" t="s">
        <v>49</v>
      </c>
      <c r="DJ5" s="546" t="s">
        <v>300</v>
      </c>
      <c r="DK5" s="546" t="s">
        <v>321</v>
      </c>
      <c r="DL5" s="547" t="s">
        <v>34</v>
      </c>
      <c r="DM5" s="547" t="s">
        <v>327</v>
      </c>
      <c r="DN5" s="548" t="s">
        <v>325</v>
      </c>
      <c r="DO5" s="549" t="s">
        <v>328</v>
      </c>
      <c r="DP5" s="550" t="s">
        <v>22</v>
      </c>
      <c r="DQ5" s="550" t="s">
        <v>104</v>
      </c>
      <c r="DR5" s="550" t="s">
        <v>329</v>
      </c>
      <c r="DS5" s="550" t="s">
        <v>330</v>
      </c>
      <c r="DT5" s="550" t="s">
        <v>331</v>
      </c>
      <c r="DU5" s="551" t="s">
        <v>183</v>
      </c>
      <c r="DV5" s="550" t="s">
        <v>332</v>
      </c>
      <c r="DW5" s="550" t="s">
        <v>333</v>
      </c>
      <c r="DX5" s="551" t="s">
        <v>334</v>
      </c>
      <c r="DY5" s="551" t="s">
        <v>222</v>
      </c>
      <c r="DZ5" s="550" t="s">
        <v>335</v>
      </c>
      <c r="EA5" s="550" t="s">
        <v>336</v>
      </c>
      <c r="EB5" s="550" t="s">
        <v>337</v>
      </c>
      <c r="EC5" s="550" t="s">
        <v>338</v>
      </c>
      <c r="ED5" s="550" t="s">
        <v>339</v>
      </c>
      <c r="EE5" s="550" t="s">
        <v>340</v>
      </c>
      <c r="EF5" s="552" t="s">
        <v>341</v>
      </c>
      <c r="EG5" s="553" t="s">
        <v>342</v>
      </c>
      <c r="EH5" s="553" t="s">
        <v>343</v>
      </c>
      <c r="EI5" s="553" t="s">
        <v>128</v>
      </c>
      <c r="EJ5" s="553" t="s">
        <v>344</v>
      </c>
      <c r="EK5" s="553" t="s">
        <v>199</v>
      </c>
      <c r="EL5" s="553" t="s">
        <v>345</v>
      </c>
      <c r="EM5" s="553" t="s">
        <v>346</v>
      </c>
      <c r="EN5" s="554" t="s">
        <v>347</v>
      </c>
      <c r="EO5" s="554" t="s">
        <v>126</v>
      </c>
      <c r="EP5" s="554" t="s">
        <v>348</v>
      </c>
      <c r="EQ5" s="554" t="s">
        <v>349</v>
      </c>
      <c r="ER5" s="554" t="s">
        <v>350</v>
      </c>
      <c r="ES5" s="554" t="s">
        <v>204</v>
      </c>
      <c r="ET5" s="554" t="s">
        <v>351</v>
      </c>
      <c r="EU5" s="555" t="s">
        <v>352</v>
      </c>
      <c r="EV5" s="555" t="s">
        <v>132</v>
      </c>
      <c r="EW5" s="555" t="s">
        <v>353</v>
      </c>
      <c r="EX5" s="555" t="s">
        <v>354</v>
      </c>
      <c r="EY5" s="555" t="s">
        <v>355</v>
      </c>
      <c r="EZ5" s="555" t="s">
        <v>356</v>
      </c>
      <c r="FA5" s="555" t="s">
        <v>357</v>
      </c>
      <c r="FB5" s="555" t="s">
        <v>358</v>
      </c>
      <c r="FC5" s="556" t="s">
        <v>202</v>
      </c>
      <c r="FD5" s="556" t="s">
        <v>359</v>
      </c>
      <c r="FE5" s="556" t="s">
        <v>360</v>
      </c>
      <c r="FF5" s="556" t="s">
        <v>212</v>
      </c>
      <c r="FG5" s="557" t="s">
        <v>110</v>
      </c>
      <c r="FH5" s="557" t="s">
        <v>361</v>
      </c>
      <c r="FI5" s="557" t="s">
        <v>362</v>
      </c>
      <c r="FJ5" s="558" t="s">
        <v>363</v>
      </c>
      <c r="FK5" s="558" t="s">
        <v>364</v>
      </c>
      <c r="FL5" s="559" t="s">
        <v>130</v>
      </c>
      <c r="FM5" s="560">
        <v>1.0</v>
      </c>
      <c r="FN5" s="546">
        <v>2.0</v>
      </c>
      <c r="FO5" s="546">
        <v>3.0</v>
      </c>
      <c r="FP5" s="546">
        <v>5.0</v>
      </c>
      <c r="FQ5" s="546">
        <v>7.0</v>
      </c>
      <c r="FR5" s="561">
        <v>1.0</v>
      </c>
      <c r="FS5" s="562">
        <v>2.0</v>
      </c>
      <c r="FT5" s="562">
        <v>3.0</v>
      </c>
      <c r="FU5" s="562">
        <v>5.0</v>
      </c>
      <c r="FV5" s="562">
        <v>7.0</v>
      </c>
      <c r="FW5" s="563">
        <v>1.0</v>
      </c>
      <c r="FX5" s="564">
        <v>2.0</v>
      </c>
      <c r="FY5" s="564">
        <v>3.0</v>
      </c>
      <c r="FZ5" s="564">
        <v>5.0</v>
      </c>
      <c r="GA5" s="564">
        <v>7.0</v>
      </c>
      <c r="GB5" s="565">
        <v>1.0</v>
      </c>
      <c r="GC5" s="566">
        <v>2.0</v>
      </c>
      <c r="GD5" s="566">
        <v>3.0</v>
      </c>
      <c r="GE5" s="566">
        <v>5.0</v>
      </c>
      <c r="GF5" s="566">
        <v>7.0</v>
      </c>
      <c r="GG5" s="567">
        <v>1.0</v>
      </c>
      <c r="GH5" s="568">
        <v>2.0</v>
      </c>
      <c r="GI5" s="568">
        <v>3.0</v>
      </c>
      <c r="GJ5" s="568">
        <v>5.0</v>
      </c>
      <c r="GK5" s="568">
        <v>7.0</v>
      </c>
      <c r="GL5" s="569">
        <v>1.0</v>
      </c>
      <c r="GM5" s="570">
        <v>2.0</v>
      </c>
      <c r="GN5" s="570">
        <v>3.0</v>
      </c>
      <c r="GO5" s="570">
        <v>5.0</v>
      </c>
      <c r="GP5" s="570">
        <v>7.0</v>
      </c>
      <c r="GQ5" s="571">
        <v>1.0</v>
      </c>
      <c r="GR5" s="572">
        <v>2.0</v>
      </c>
      <c r="GS5" s="572">
        <v>3.0</v>
      </c>
      <c r="GT5" s="572">
        <v>5.0</v>
      </c>
      <c r="GU5" s="572">
        <v>7.0</v>
      </c>
      <c r="GV5" s="541">
        <v>1.0</v>
      </c>
      <c r="GW5" s="542">
        <v>2.0</v>
      </c>
      <c r="GX5" s="542">
        <v>3.0</v>
      </c>
      <c r="GY5" s="542">
        <v>5.0</v>
      </c>
      <c r="GZ5" s="542">
        <v>7.0</v>
      </c>
      <c r="HA5" s="561">
        <v>1.0</v>
      </c>
      <c r="HB5" s="562">
        <v>2.0</v>
      </c>
      <c r="HC5" s="562">
        <v>3.0</v>
      </c>
      <c r="HD5" s="562">
        <v>5.0</v>
      </c>
      <c r="HE5" s="562">
        <v>7.0</v>
      </c>
      <c r="HF5" s="567">
        <v>1.0</v>
      </c>
      <c r="HG5" s="568">
        <v>2.0</v>
      </c>
      <c r="HH5" s="568">
        <v>3.0</v>
      </c>
      <c r="HI5" s="568">
        <v>5.0</v>
      </c>
      <c r="HJ5" s="568">
        <v>7.0</v>
      </c>
      <c r="HK5" s="573">
        <v>1.0</v>
      </c>
      <c r="HL5" s="542">
        <v>2.0</v>
      </c>
      <c r="HM5" s="542">
        <v>3.0</v>
      </c>
      <c r="HN5" s="542">
        <v>5.0</v>
      </c>
      <c r="HO5" s="542">
        <v>7.0</v>
      </c>
      <c r="HP5" s="574">
        <v>1.0</v>
      </c>
      <c r="HQ5" s="575">
        <v>2.0</v>
      </c>
      <c r="HR5" s="575">
        <v>3.0</v>
      </c>
      <c r="HS5" s="575">
        <v>5.0</v>
      </c>
      <c r="HT5" s="576">
        <v>7.0</v>
      </c>
      <c r="HU5" s="577">
        <v>1.0</v>
      </c>
      <c r="HV5" s="578">
        <v>2.0</v>
      </c>
      <c r="HW5" s="578">
        <v>3.0</v>
      </c>
      <c r="HX5" s="578">
        <v>5.0</v>
      </c>
      <c r="HY5" s="579">
        <v>7.0</v>
      </c>
      <c r="HZ5" s="580">
        <v>1.0</v>
      </c>
      <c r="IA5" s="581">
        <v>2.0</v>
      </c>
      <c r="IB5" s="581">
        <v>3.0</v>
      </c>
      <c r="IC5" s="581">
        <v>5.0</v>
      </c>
      <c r="ID5" s="582">
        <v>7.0</v>
      </c>
      <c r="IE5" s="545">
        <v>1.0</v>
      </c>
      <c r="IF5" s="546">
        <v>2.0</v>
      </c>
      <c r="IG5" s="546">
        <v>3.0</v>
      </c>
      <c r="IH5" s="546">
        <v>5.0</v>
      </c>
      <c r="II5" s="548">
        <v>7.0</v>
      </c>
      <c r="IJ5" s="574">
        <v>1.0</v>
      </c>
      <c r="IK5" s="575">
        <v>2.0</v>
      </c>
      <c r="IL5" s="575">
        <v>3.0</v>
      </c>
      <c r="IM5" s="575">
        <v>5.0</v>
      </c>
      <c r="IN5" s="575">
        <v>7.0</v>
      </c>
      <c r="IO5" s="574">
        <v>1.0</v>
      </c>
      <c r="IP5" s="575">
        <v>2.0</v>
      </c>
      <c r="IQ5" s="575">
        <v>3.0</v>
      </c>
      <c r="IR5" s="575">
        <v>5.0</v>
      </c>
      <c r="IS5" s="575">
        <v>7.0</v>
      </c>
      <c r="IT5" s="574">
        <v>1.0</v>
      </c>
      <c r="IU5" s="575">
        <v>2.0</v>
      </c>
      <c r="IV5" s="575">
        <v>3.0</v>
      </c>
      <c r="IW5" s="575">
        <v>5.0</v>
      </c>
      <c r="IX5" s="575">
        <v>7.0</v>
      </c>
      <c r="IY5" s="583">
        <v>1.0</v>
      </c>
      <c r="IZ5" s="562">
        <v>2.0</v>
      </c>
      <c r="JA5" s="562">
        <v>3.0</v>
      </c>
      <c r="JB5" s="562">
        <v>5.0</v>
      </c>
      <c r="JC5" s="562">
        <v>7.0</v>
      </c>
      <c r="JD5" s="584">
        <v>1.0</v>
      </c>
      <c r="JE5" s="578">
        <v>2.0</v>
      </c>
      <c r="JF5" s="578">
        <v>3.0</v>
      </c>
      <c r="JG5" s="578">
        <v>5.0</v>
      </c>
      <c r="JH5" s="578">
        <v>7.0</v>
      </c>
      <c r="JI5" s="585">
        <v>1.0</v>
      </c>
      <c r="JJ5" s="570">
        <v>2.0</v>
      </c>
      <c r="JK5" s="570">
        <v>3.0</v>
      </c>
      <c r="JL5" s="570">
        <v>5.0</v>
      </c>
      <c r="JM5" s="570">
        <v>7.0</v>
      </c>
      <c r="JN5" s="586">
        <v>1.0</v>
      </c>
      <c r="JO5" s="587">
        <v>2.0</v>
      </c>
      <c r="JP5" s="587">
        <v>3.0</v>
      </c>
      <c r="JQ5" s="587">
        <v>5.0</v>
      </c>
      <c r="JR5" s="587">
        <v>7.0</v>
      </c>
      <c r="JS5" s="588">
        <v>1.0</v>
      </c>
      <c r="JT5" s="568">
        <v>2.0</v>
      </c>
      <c r="JU5" s="568">
        <v>3.0</v>
      </c>
      <c r="JV5" s="568">
        <v>5.0</v>
      </c>
      <c r="JW5" s="589">
        <v>7.0</v>
      </c>
      <c r="JX5" s="561">
        <v>1.0</v>
      </c>
      <c r="JY5" s="562">
        <v>2.0</v>
      </c>
      <c r="JZ5" s="562">
        <v>3.0</v>
      </c>
      <c r="KA5" s="562">
        <v>5.0</v>
      </c>
      <c r="KB5" s="590">
        <v>7.0</v>
      </c>
      <c r="KC5" s="591">
        <v>1.0</v>
      </c>
      <c r="KD5" s="580">
        <v>2.0</v>
      </c>
      <c r="KE5" s="580">
        <v>3.0</v>
      </c>
      <c r="KF5" s="580">
        <v>5.0</v>
      </c>
      <c r="KG5" s="592">
        <v>7.0</v>
      </c>
      <c r="KH5" s="591">
        <v>1.0</v>
      </c>
      <c r="KI5" s="580">
        <v>2.0</v>
      </c>
      <c r="KJ5" s="580">
        <v>3.0</v>
      </c>
      <c r="KK5" s="580">
        <v>5.0</v>
      </c>
      <c r="KL5" s="593">
        <v>7.0</v>
      </c>
      <c r="KM5" s="580">
        <v>1.0</v>
      </c>
      <c r="KN5" s="580">
        <v>2.0</v>
      </c>
      <c r="KO5" s="580">
        <v>3.0</v>
      </c>
      <c r="KP5" s="580">
        <v>5.0</v>
      </c>
      <c r="KQ5" s="582">
        <v>7.0</v>
      </c>
      <c r="KR5" s="591">
        <v>1.0</v>
      </c>
      <c r="KS5" s="581">
        <v>2.0</v>
      </c>
      <c r="KT5" s="581">
        <v>3.0</v>
      </c>
      <c r="KU5" s="581">
        <v>5.0</v>
      </c>
      <c r="KV5" s="594">
        <v>7.0</v>
      </c>
      <c r="KW5" s="580">
        <v>1.0</v>
      </c>
      <c r="KX5" s="581">
        <v>2.0</v>
      </c>
      <c r="KY5" s="581">
        <v>3.0</v>
      </c>
      <c r="KZ5" s="581">
        <v>5.0</v>
      </c>
      <c r="LA5" s="582">
        <v>7.0</v>
      </c>
      <c r="LB5" s="591">
        <v>1.0</v>
      </c>
      <c r="LC5" s="581">
        <v>2.0</v>
      </c>
      <c r="LD5" s="581">
        <v>3.0</v>
      </c>
      <c r="LE5" s="581">
        <v>5.0</v>
      </c>
      <c r="LF5" s="594">
        <v>7.0</v>
      </c>
      <c r="LG5" s="595"/>
      <c r="LH5" s="596"/>
      <c r="LI5" s="596"/>
      <c r="LJ5" s="596"/>
      <c r="LK5" s="596"/>
      <c r="LL5" s="596"/>
      <c r="LM5" s="597"/>
    </row>
    <row r="6">
      <c r="A6" s="28">
        <f>+General!D3</f>
        <v>165536</v>
      </c>
      <c r="B6" s="28" t="str">
        <f>+General!B4</f>
        <v>Barbieri Alfredo</v>
      </c>
      <c r="C6" s="28">
        <f>+General!B5</f>
        <v>83</v>
      </c>
      <c r="D6" s="28" t="str">
        <f>+General!D5</f>
        <v>Hombre</v>
      </c>
      <c r="E6" s="598">
        <f>+General!B6</f>
        <v>177</v>
      </c>
      <c r="F6" s="28" t="str">
        <f>+General!G5</f>
        <v/>
      </c>
      <c r="H6" s="598">
        <f>+General!D6</f>
        <v>72.386</v>
      </c>
      <c r="I6" s="599">
        <f>+General!G4</f>
        <v>44230</v>
      </c>
      <c r="J6" s="600">
        <f>+General!D38</f>
        <v>44237</v>
      </c>
      <c r="K6" s="28" t="str">
        <f>+General!B38</f>
        <v>MUERTO</v>
      </c>
      <c r="L6" s="28" t="str">
        <f>+General!J38</f>
        <v>Muerto</v>
      </c>
      <c r="M6" s="599">
        <f>+General!G3</f>
        <v>44230</v>
      </c>
      <c r="P6" s="28" t="str">
        <f>+General!B39</f>
        <v>SI</v>
      </c>
      <c r="Q6" s="28">
        <f>+General!I5</f>
        <v>54</v>
      </c>
      <c r="R6" s="28">
        <f>+General!J5</f>
        <v>55.2</v>
      </c>
      <c r="S6" s="28">
        <f>+General!I4</f>
        <v>35</v>
      </c>
      <c r="T6" s="28">
        <f>+General!J4</f>
        <v>74.5</v>
      </c>
      <c r="U6" s="28">
        <f>+General!J6</f>
        <v>2</v>
      </c>
      <c r="V6" s="28" t="str">
        <f>+General!G6</f>
        <v>MÉDICO</v>
      </c>
      <c r="W6" s="28" t="str">
        <f>+General!B10</f>
        <v>HSA</v>
      </c>
      <c r="X6" s="28" t="str">
        <f>+General!B7</f>
        <v>IAM</v>
      </c>
      <c r="Y6" s="28" t="str">
        <f>+General!C7</f>
        <v>TEC</v>
      </c>
      <c r="Z6" s="28" t="str">
        <f>+General!D7</f>
        <v>OTROS</v>
      </c>
      <c r="AA6" s="28" t="str">
        <f>+General!E7</f>
        <v>HTA</v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1">
        <f>+General!B22</f>
        <v>44230</v>
      </c>
      <c r="BD6" s="601">
        <f>+General!H22</f>
        <v>44230</v>
      </c>
      <c r="BE6" s="601">
        <f>+General!J22</f>
        <v>44237</v>
      </c>
      <c r="BF6" s="144">
        <f>IFS(OR(BD6="",BE6=""),"N/C",BE6-BD6=0,"1",AND(ISDATE(BD6),ISDATE(BE6)),BE6-BD6)</f>
        <v>7</v>
      </c>
      <c r="BG6" s="28">
        <f>+General!H43</f>
        <v>7</v>
      </c>
      <c r="BH6" s="28" t="str">
        <f>+General!B25</f>
        <v>COMA E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9" t="str">
        <f>+General!D27</f>
        <v/>
      </c>
      <c r="BO6" s="599" t="str">
        <f>+General!F27</f>
        <v/>
      </c>
      <c r="BP6" s="602" t="str">
        <f>+General!B29</f>
        <v/>
      </c>
      <c r="BQ6" s="28" t="str">
        <f>+General!D29</f>
        <v/>
      </c>
      <c r="BR6" s="28" t="str">
        <f>+General!F29</f>
        <v/>
      </c>
      <c r="BS6" s="602">
        <f>+General!B30</f>
        <v>44237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0</v>
      </c>
      <c r="CA6" s="28" t="str">
        <f>+General!J29</f>
        <v>Destete corto</v>
      </c>
      <c r="CB6" s="28" t="str">
        <f>+General!H29</f>
        <v/>
      </c>
      <c r="CC6" s="28" t="str">
        <f>+General!H38</f>
        <v>NO</v>
      </c>
      <c r="CD6" s="28" t="str">
        <f>+General!B23</f>
        <v/>
      </c>
      <c r="CE6" s="600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9" t="str">
        <f>+General!E36</f>
        <v/>
      </c>
      <c r="CN6" s="28" t="str">
        <f>+General!B19</f>
        <v/>
      </c>
      <c r="CO6" s="599" t="str">
        <f>+General!D19</f>
        <v/>
      </c>
      <c r="CP6" s="599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9" t="str">
        <f>+General!D20</f>
        <v/>
      </c>
      <c r="CW6" s="599" t="str">
        <f>+General!F20</f>
        <v/>
      </c>
      <c r="CX6" s="28" t="str">
        <f>+General!H20</f>
        <v/>
      </c>
      <c r="CY6" s="603" t="str">
        <f>+General!J20</f>
        <v/>
      </c>
      <c r="DA6" s="18" t="str">
        <f>+General!B32</f>
        <v/>
      </c>
      <c r="DC6" s="602" t="str">
        <f>+General!D32</f>
        <v/>
      </c>
      <c r="DD6" s="602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9" t="str">
        <f>+General!D31</f>
        <v/>
      </c>
      <c r="DK6" s="599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604" t="str">
        <f>HLOOKUP("TEP",$DO$6:$EF$6,1,0)</f>
        <v>#N/A</v>
      </c>
      <c r="DP8" s="604" t="str">
        <f>HLOOKUP("IAM",$DO$6:$EF$6,1,0)</f>
        <v>#N/A</v>
      </c>
      <c r="DQ8" s="604" t="str">
        <f>HLOOKUP("PCR",$DO$6:$EF$6,1,0)</f>
        <v>#N/A</v>
      </c>
      <c r="DR8" s="604" t="str">
        <f>HLOOKUP("SDRA",$DO$6:$EF$6,1,0)</f>
        <v>#N/A</v>
      </c>
      <c r="DS8" s="604" t="str">
        <f>HLOOKUP("BNM",$DO$6:$EF$6,1,0)</f>
        <v>#N/A</v>
      </c>
      <c r="DT8" s="604" t="str">
        <f>HLOOKUP("PRONO",$DO$6:$EF$6,1,0)</f>
        <v>#N/A</v>
      </c>
      <c r="DU8" s="604" t="str">
        <f>HLOOKUP("DAUCI",$DO$6:$EF$6,1,0)</f>
        <v>#N/A</v>
      </c>
      <c r="DV8" s="604" t="str">
        <f>HLOOKUP("BAROTRAUMA",$DO$6:$EF$6,1,0)</f>
        <v>#N/A</v>
      </c>
      <c r="DW8" s="604" t="str">
        <f>HLOOKUP("FMO",$DO$6:$EF$6,1,0)</f>
        <v>#N/A</v>
      </c>
      <c r="DX8" s="604" t="str">
        <f>HLOOKUP("EOT NO PROGRAMADA",$DO$6:$EF$6,1,0)</f>
        <v>#N/A</v>
      </c>
      <c r="DY8" s="604" t="str">
        <f>HLOOKUP("DELIRIUM",$DO$6:$EF$6,1,0)</f>
        <v>#N/A</v>
      </c>
      <c r="DZ8" s="604" t="str">
        <f>HLOOKUP("PAFI&lt;200",$DO$6:$EF$6,1,0)</f>
        <v>#N/A</v>
      </c>
      <c r="EA8" s="604" t="str">
        <f>HLOOKUP("SHOCK/SEPSIS",$DO$6:$EF$6,1,0)</f>
        <v>#N/A</v>
      </c>
      <c r="EB8" s="604" t="str">
        <f>HLOOKUP("I RENAL",$DO$6:$EF$6,1,0)</f>
        <v>#N/A</v>
      </c>
      <c r="EC8" s="604" t="str">
        <f>HLOOKUP("NAVM",$DO$6:$EF$6,1,0)</f>
        <v>#N/A</v>
      </c>
      <c r="ED8" s="604" t="str">
        <f>HLOOKUP("LESIONES FACIALES",$DO$6:$EF$6,1,0)</f>
        <v>#N/A</v>
      </c>
      <c r="EE8" s="604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HTA</v>
      </c>
      <c r="Y9" s="182" t="str">
        <f>HLOOKUP("IAM",$X$6:$BB$6,1,0)</f>
        <v>IAM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TEC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OTROS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4" t="str">
        <f>HLOOKUP("TEP",$DO$7:$EF$7,1,0)</f>
        <v>#N/A</v>
      </c>
      <c r="DP9" s="604" t="str">
        <f>HLOOKUP("IAM",$DO$7:$EF$7,1,0)</f>
        <v>#N/A</v>
      </c>
      <c r="DQ9" s="604" t="str">
        <f>HLOOKUP("PCR",$DO$7:$EF$7,1,0)</f>
        <v>#N/A</v>
      </c>
      <c r="DR9" s="604" t="str">
        <f>HLOOKUP("SDRA",$DO$7:$EF$7,1,0)</f>
        <v>#N/A</v>
      </c>
      <c r="DS9" s="604" t="str">
        <f>HLOOKUP("BNM",$DO$7:$EF$7,1,0)</f>
        <v>#N/A</v>
      </c>
      <c r="DT9" s="604" t="str">
        <f>HLOOKUP("PRONO",$DO$7:$EF$7,1,0)</f>
        <v>#N/A</v>
      </c>
      <c r="DU9" s="604" t="str">
        <f>HLOOKUP("DAUCI",$DO$7:$EF$7,1,0)</f>
        <v>#N/A</v>
      </c>
      <c r="DV9" s="604" t="str">
        <f>HLOOKUP("BAROTRAUMA",$DO$7:$EF$7,1,0)</f>
        <v>#N/A</v>
      </c>
      <c r="DW9" s="604" t="str">
        <f>HLOOKUP("FMO",$DO$7:$EF$7,1,0)</f>
        <v>#N/A</v>
      </c>
      <c r="DX9" s="604" t="str">
        <f>HLOOKUP("EOT NO PROGRAMADA",$DO$7:$EF$7,1,0)</f>
        <v>#N/A</v>
      </c>
      <c r="DY9" s="604" t="str">
        <f>HLOOKUP("DELIRIUM",$DO$7:$EF$7,1,0)</f>
        <v>#N/A</v>
      </c>
      <c r="DZ9" s="604" t="str">
        <f>HLOOKUP("PAFI&lt;200",$DO$7:$EF$7,1,0)</f>
        <v>#N/A</v>
      </c>
      <c r="EA9" s="604" t="str">
        <f>HLOOKUP("SHOCK/SEPSIS",$DO$7:$EF$7,1,0)</f>
        <v>#N/A</v>
      </c>
      <c r="EB9" s="604" t="str">
        <f>HLOOKUP("I RENAL",$DO$7:$EF$7,1,0)</f>
        <v>#N/A</v>
      </c>
      <c r="EC9" s="604" t="str">
        <f>HLOOKUP("NAVM",$DO$7:$EF$7,1,0)</f>
        <v>#N/A</v>
      </c>
      <c r="ED9" s="604" t="str">
        <f>HLOOKUP("LESIONES FACIALES",$DO$7:$EF$7,1,0)</f>
        <v>#N/A</v>
      </c>
      <c r="EE9" s="604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HTA</v>
      </c>
      <c r="Y10" s="182" t="str">
        <f t="shared" si="1"/>
        <v>IAM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TEC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OTROS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0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5">
        <f>+General!D3</f>
        <v>165536</v>
      </c>
      <c r="B12" s="605" t="str">
        <f>+General!B4</f>
        <v>Barbieri Alfredo</v>
      </c>
      <c r="C12" s="605">
        <f>+General!B5</f>
        <v>83</v>
      </c>
      <c r="D12" s="605" t="str">
        <f>+General!D5</f>
        <v>Hombre</v>
      </c>
      <c r="E12" s="606">
        <f>+General!B6</f>
        <v>177</v>
      </c>
      <c r="F12" s="605" t="str">
        <f>+General!G5</f>
        <v/>
      </c>
      <c r="G12" s="607" t="str">
        <f>IF(AND(E12&lt;&gt;"",F12&lt;&gt;""),F12/(E12/100)^2,"")</f>
        <v/>
      </c>
      <c r="H12" s="606">
        <f>+General!D6</f>
        <v>72.386</v>
      </c>
      <c r="I12" s="608">
        <f>+General!G4</f>
        <v>44230</v>
      </c>
      <c r="J12" s="609">
        <f>+General!D38</f>
        <v>44237</v>
      </c>
      <c r="K12" s="605" t="str">
        <f>+General!B38</f>
        <v>MUERTO</v>
      </c>
      <c r="L12" s="605" t="str">
        <f>IF(L6&lt;&gt;"",L6,"N/C")</f>
        <v>Muerto</v>
      </c>
      <c r="M12" s="608">
        <f>+General!G3</f>
        <v>44230</v>
      </c>
      <c r="N12" s="605" t="str">
        <f>IFS(OR(M12="",I12=""),"",M12=I12,"1",AND(ISDATE(M12),ISDATE(I12)),I12-M12)</f>
        <v>1</v>
      </c>
      <c r="O12" s="605">
        <f>IFS(AND(I12="",J12=""),"",AND(ISDATE(I12),J12=""),"",J12=I12,"1",AND(ISDATE(I12),ISDATE(J12)),J12-I12)</f>
        <v>7</v>
      </c>
      <c r="P12" s="605" t="str">
        <f>IF(P6="SI","SI","NO")</f>
        <v>SI</v>
      </c>
      <c r="Q12" s="605">
        <f>+General!I5</f>
        <v>54</v>
      </c>
      <c r="R12" s="605">
        <f>+General!J5</f>
        <v>55.2</v>
      </c>
      <c r="S12" s="605">
        <f>+General!I4</f>
        <v>35</v>
      </c>
      <c r="T12" s="605">
        <f>+General!J4</f>
        <v>74.5</v>
      </c>
      <c r="U12" s="605">
        <f>+General!J6</f>
        <v>2</v>
      </c>
      <c r="V12" s="605" t="str">
        <f>+General!G6</f>
        <v>MÉDICO</v>
      </c>
      <c r="W12" s="605" t="str">
        <f>IFS(W6&lt;&gt;"",W6,W7&lt;&gt;"",W7,W8&lt;&gt;"",W8,W9&lt;&gt;"",W9,W10="","")</f>
        <v>HSA</v>
      </c>
      <c r="X12" s="605" t="str">
        <f>IF(X10="HTA","SI","NO")</f>
        <v>SI</v>
      </c>
      <c r="Y12" s="605" t="str">
        <f>IF(Y10="IAM","SI","NO")</f>
        <v>SI</v>
      </c>
      <c r="Z12" s="605" t="str">
        <f>IF(Z10="IC","SI","NO")</f>
        <v>NO</v>
      </c>
      <c r="AA12" s="605" t="str">
        <f>IF(AA10="PCR","SI","NO")</f>
        <v>NO</v>
      </c>
      <c r="AB12" s="605" t="str">
        <f>IF(AB10="EPOC","SI","NO")</f>
        <v>NO</v>
      </c>
      <c r="AC12" s="605" t="str">
        <f>IF(AC10="TBQ","SI","NO")</f>
        <v>NO</v>
      </c>
      <c r="AD12" s="605" t="str">
        <f>IF(AD10="ExTBQ","SI","NO")</f>
        <v>NO</v>
      </c>
      <c r="AE12" s="605" t="str">
        <f>IF(AE10="ASMA","SI","NO")</f>
        <v>NO</v>
      </c>
      <c r="AF12" s="605" t="str">
        <f>IF(AF10="OCD","SI","NO")</f>
        <v>NO</v>
      </c>
      <c r="AG12" s="605" t="str">
        <f>IF(AG10="NMN","SI","NO")</f>
        <v>NO</v>
      </c>
      <c r="AH12" s="605" t="str">
        <f>IF(AH10="VMI PREVIA","SI","NO")</f>
        <v>NO</v>
      </c>
      <c r="AI12" s="605" t="str">
        <f>IF(AI10="VNI DOMIC","SI","NO")</f>
        <v>NO</v>
      </c>
      <c r="AJ12" s="605" t="str">
        <f>IF(AJ10="ACV","SI","NO")</f>
        <v>NO</v>
      </c>
      <c r="AK12" s="605" t="str">
        <f>IF(AK10="TEC","SI","NO")</f>
        <v>SI</v>
      </c>
      <c r="AL12" s="605" t="str">
        <f>IF(AL10="ASMA","SI","NO")</f>
        <v>NO</v>
      </c>
      <c r="AM12" s="605" t="str">
        <f>IF(AM10="ENF NEUROM","SI","NO")</f>
        <v>NO</v>
      </c>
      <c r="AN12" s="605" t="str">
        <f>IF(AN10="DBT","SI","NO")</f>
        <v>NO</v>
      </c>
      <c r="AO12" s="605" t="str">
        <f>IF(AO10="OBESIDAD","SI","NO")</f>
        <v>NO</v>
      </c>
      <c r="AP12" s="605" t="str">
        <f>IF(AP10="HIPOTIR","SI","NO")</f>
        <v>NO</v>
      </c>
      <c r="AQ12" s="605" t="str">
        <f>IF(AQ10="HIPERTIR","SI","NO")</f>
        <v>NO</v>
      </c>
      <c r="AR12" s="605" t="str">
        <f>IF(AR10="INSUF RENAL","SI","NO")</f>
        <v>NO</v>
      </c>
      <c r="AS12" s="605" t="str">
        <f>IF(AS10="POP","SI","NO")</f>
        <v>NO</v>
      </c>
      <c r="AT12" s="605" t="str">
        <f>IF(AT10="TBC","SI","NO")</f>
        <v>NO</v>
      </c>
      <c r="AU12" s="605" t="str">
        <f>IF(AU10="HIV","SI","NO")</f>
        <v>NO</v>
      </c>
      <c r="AV12" s="605" t="str">
        <f>IF(AV10="HEPATITIS","SI","NO")</f>
        <v>NO</v>
      </c>
      <c r="AW12" s="605" t="str">
        <f>IF(AW10="CHAGAS","SI","NO")</f>
        <v>NO</v>
      </c>
      <c r="AX12" s="605" t="str">
        <f>IF(AX10="CONSUMO","SI","NO")</f>
        <v>NO</v>
      </c>
      <c r="AY12" s="605" t="str">
        <f>IF(AY10="REUMATOLOGICOS","SI","NO")</f>
        <v>NO</v>
      </c>
      <c r="AZ12" s="605" t="str">
        <f>IF(AZ10="PSIQUIATRICOS","SI","NO")</f>
        <v>NO</v>
      </c>
      <c r="BA12" s="605" t="str">
        <f>IF(BA10="ONCOLOGICOS","SI","NO")</f>
        <v>NO</v>
      </c>
      <c r="BB12" s="605" t="str">
        <f>IF(BB10="OTROS","SI","NO")</f>
        <v>SI</v>
      </c>
      <c r="BC12" s="610">
        <f>IF(ISDATE(BC6),BC6,"N/C")</f>
        <v>44230</v>
      </c>
      <c r="BD12" s="610">
        <f>IF(BD6&lt;&gt;"",BD6,"N/C")</f>
        <v>44230</v>
      </c>
      <c r="BE12" s="610">
        <f>IF(ISDATE(BE6),BE6,"N/C")</f>
        <v>44237</v>
      </c>
      <c r="BF12" s="611">
        <f>IFS(OR(BD6="",BE6=""),"N/C",BE6-BD6=0,"1",AND(ISDATE(BD6),ISDATE(BE6)),BE6-BD6)</f>
        <v>7</v>
      </c>
      <c r="BG12" s="605">
        <f t="shared" ref="BG12:BH12" si="4">IF(BG6&lt;&gt;"",BG6,"N/C")</f>
        <v>7</v>
      </c>
      <c r="BH12" s="605" t="str">
        <f t="shared" si="4"/>
        <v>COMA E</v>
      </c>
      <c r="BI12" s="605" t="str">
        <f t="shared" ref="BI12:BJ12" si="5">IF(BI6="SI","SI","NO")</f>
        <v>NO</v>
      </c>
      <c r="BJ12" s="605" t="str">
        <f t="shared" si="5"/>
        <v>NO</v>
      </c>
      <c r="BK12" s="605" t="str">
        <f>IF(BK6&lt;&gt;"",BK6,"N/C")</f>
        <v>N/C</v>
      </c>
      <c r="BL12" s="605">
        <f>+BL6</f>
        <v>0</v>
      </c>
      <c r="BM12" s="605" t="str">
        <f>IF(BM6="SI","SI","NO")</f>
        <v>NO</v>
      </c>
      <c r="BN12" s="605" t="str">
        <f t="shared" ref="BN12:BP12" si="6">IF(ISDATE(BN6),BN6,"N/C")</f>
        <v>N/C</v>
      </c>
      <c r="BO12" s="605" t="str">
        <f t="shared" si="6"/>
        <v>N/C</v>
      </c>
      <c r="BP12" s="605" t="str">
        <f t="shared" si="6"/>
        <v>N/C</v>
      </c>
      <c r="BQ12" s="605" t="str">
        <f>IF(BQ6&lt;&gt;"",BQ6,"N/C")</f>
        <v>N/C</v>
      </c>
      <c r="BR12" s="605" t="str">
        <f>IF(BR6&gt;0,BR6,"N/C")</f>
        <v>N/C</v>
      </c>
      <c r="BS12" s="612">
        <f>IF(ISDATE(BS6),BS6,"N/C")</f>
        <v>44237</v>
      </c>
      <c r="BT12" s="605" t="str">
        <f>IF(BT6&lt;&gt;"",BT6,"N/C")</f>
        <v>Deseada</v>
      </c>
      <c r="BU12" s="605" t="str">
        <f>IFS(BU6="NO","NO",BU6="SI","SI",BU6="","N/C")</f>
        <v>NO</v>
      </c>
      <c r="BV12" s="605" t="str">
        <f t="shared" ref="BV12:CC12" si="7">IF(BV6&lt;&gt;"",BV6,"N/C")</f>
        <v>N/C</v>
      </c>
      <c r="BW12" s="605" t="str">
        <f t="shared" si="7"/>
        <v>NO</v>
      </c>
      <c r="BX12" s="605" t="str">
        <f t="shared" si="7"/>
        <v>N/C</v>
      </c>
      <c r="BY12" s="605" t="str">
        <f t="shared" si="7"/>
        <v>No falla</v>
      </c>
      <c r="BZ12" s="605">
        <f t="shared" si="7"/>
        <v>0</v>
      </c>
      <c r="CA12" s="605" t="str">
        <f t="shared" si="7"/>
        <v>Destete corto</v>
      </c>
      <c r="CB12" s="605" t="str">
        <f t="shared" si="7"/>
        <v>N/C</v>
      </c>
      <c r="CC12" s="605" t="str">
        <f t="shared" si="7"/>
        <v>NO</v>
      </c>
      <c r="CD12" s="605" t="str">
        <f>IF(CD6="SI","SI","NO")</f>
        <v>NO</v>
      </c>
      <c r="CE12" s="605" t="str">
        <f>IF(AND(ISDATE(CE6),CD6=""),CE6,"N/C")</f>
        <v>N/C</v>
      </c>
      <c r="CF12" s="605" t="str">
        <f>IFS(AND(CF6&lt;&gt;"",CE6=""),"N/C",AND(CF6&lt;&gt;"",ISDATE(CE6)),CF6,AND(CF6="",CE6=""),"N/C",AND(CE6&lt;&gt;"",CF6=""),"DATO PERDIDO")</f>
        <v>N/C</v>
      </c>
      <c r="CG12" s="605" t="str">
        <f>IFS(CG6="SI","SI",AND(ISDATE(CE6),CG6=""),"NO",AND(CD6="SI",CG6=""),"NO",CE6="","N/C")</f>
        <v>N/C</v>
      </c>
      <c r="CH12" s="605" t="str">
        <f>IFS(AND(CG6="",CH6=""),"N/C", AND(CG6="SI",CH6&lt;&gt;""),CH6,AND(CG6="SI",CH6=""),"0")</f>
        <v>N/C</v>
      </c>
      <c r="CI12" s="605" t="str">
        <f>IFS(OR(CI6="SI",CJ6&lt;&gt;""),"SI",CI6="NO","NO",CI6="","N/C")</f>
        <v>N/C</v>
      </c>
      <c r="CJ12" s="605" t="str">
        <f>IF(ISDATE(CJ6),CJ6,"N/C")</f>
        <v>N/C</v>
      </c>
      <c r="CK12" s="605" t="str">
        <f>IFS(AND(CD6="SI",ISDATE(CJ6)),CJ6-I6,AND(CD6="SI",CJ6=""),J6-I6,AND(ISDATE(CE6),ISDATE(CJ6)),CJ6-CE6,AND(ISDATE(CE6),CJ6=""),J6-CE6,AND(CD6="",AND(CE6="",CJ6="")),"N/C")</f>
        <v>N/C</v>
      </c>
      <c r="CL12" s="605" t="str">
        <f>IF(AND(ISDATE(CE6),ISDATE(BC6)),CE6-BC6,"N/C")</f>
        <v>N/C</v>
      </c>
      <c r="CM12" s="605" t="str">
        <f>IFS(OR(CN6&lt;&gt;"",ISDATE(CO6)),"SI",AND(CN6="",CO6=""),"NO")</f>
        <v>NO</v>
      </c>
      <c r="CN12" s="605" t="str">
        <f>IF(CN6&lt;&gt;"",CN6,"N/C")</f>
        <v>N/C</v>
      </c>
      <c r="CO12" s="605" t="str">
        <f>IF(ISDATE(CO6),CO6,"N/C")</f>
        <v>N/C</v>
      </c>
      <c r="CP12" s="605" t="str">
        <f>IF(CP6&lt;&gt;"",CP6,"N/C")</f>
        <v>N/C</v>
      </c>
      <c r="CQ12" s="605" t="str">
        <f>IFS(CQ6&lt;&gt;"",CQ6,CQ6="","N/C")</f>
        <v>N/C</v>
      </c>
      <c r="CR12" s="605" t="str">
        <f>IF(CR6&lt;&gt;"",CR6,"N/C")</f>
        <v>N/C</v>
      </c>
      <c r="CS12" s="605" t="str">
        <f>IFS(AND(CP6="",CO6=""),"N/C",CP6-CO6=0,"1",AND(ISDATE(CO6),ISDATE(CP6)),CP6-CO6)</f>
        <v>N/C</v>
      </c>
      <c r="CT12" s="605" t="str">
        <f>IFS(OR(CT6&lt;&gt;"",ISDATE(CV6)),"SI",AND(CT6="",CV6=""),"NO")</f>
        <v>NO</v>
      </c>
      <c r="CU12" s="605" t="str">
        <f>IF(CT6&lt;&gt;"",CT6,"N/C")</f>
        <v>N/C</v>
      </c>
      <c r="CV12" s="605" t="str">
        <f t="shared" ref="CV12:CW12" si="8">IF(ISDATE(CV6),CV6,"N/C")</f>
        <v>N/C</v>
      </c>
      <c r="CW12" s="605" t="str">
        <f t="shared" si="8"/>
        <v>N/C</v>
      </c>
      <c r="CX12" s="605" t="str">
        <f t="shared" ref="CX12:CY12" si="9">IF(CX6&lt;&gt;"",CX6,"N/C")</f>
        <v>N/C</v>
      </c>
      <c r="CY12" s="605" t="str">
        <f t="shared" si="9"/>
        <v>N/C</v>
      </c>
      <c r="CZ12" s="605" t="str">
        <f>IFS(AND(CV6="",CW6=""),"N/C",CW6-CV6=0,"1",AND(ISDATE(CV6),ISDATE(CW6)),CW6-CV6)</f>
        <v>N/C</v>
      </c>
      <c r="DA12" s="605" t="str">
        <f>IFS(OR(DA6&lt;&gt;"",ISDATE(DC6)),"SI",AND(DA6="",DC6=""),"NO")</f>
        <v>NO</v>
      </c>
      <c r="DB12" s="605" t="str">
        <f>IF(DA6&lt;&gt;"",DA6,"N/C")</f>
        <v>N/C</v>
      </c>
      <c r="DC12" s="605" t="str">
        <f t="shared" ref="DC12:DD12" si="10">IF(ISDATE(DC6),DC6,"N/C")</f>
        <v>N/C</v>
      </c>
      <c r="DD12" s="605" t="str">
        <f t="shared" si="10"/>
        <v>N/C</v>
      </c>
      <c r="DE12" s="605" t="str">
        <f>IFS(DE6&lt;&gt;"",DE6,AND(ISDATE(DD6),ISDATE(DC6)),"DATO PERDIDO",AND(DC6="",DD6=""),"N/C")</f>
        <v>N/C</v>
      </c>
      <c r="DF12" s="605" t="str">
        <f>IF(DF6&lt;&gt;"",DF6,"N/C")</f>
        <v>N/C</v>
      </c>
      <c r="DG12" s="605" t="str">
        <f>IFS(OR(DD6="",DC6=""),"N/C",DD6-DC6=0,"1",AND(ISDATE(DD6),ISDATE(DC6)),DD6-DC6)</f>
        <v>N/C</v>
      </c>
      <c r="DH12" s="605" t="str">
        <f>IFS(OR(DI6&lt;&gt;"",ISDATE(DJ6)),"SI",AND(DI6="",DJ6=""),"N/C")</f>
        <v>N/C</v>
      </c>
      <c r="DI12" s="605" t="str">
        <f>IF(DI6&lt;&gt;"",DI6,"N/C")</f>
        <v>N/C</v>
      </c>
      <c r="DJ12" s="605" t="str">
        <f t="shared" ref="DJ12:DK12" si="11">IF(ISDATE(DJ6),DJ6,"N/C")</f>
        <v>N/C</v>
      </c>
      <c r="DK12" s="605" t="str">
        <f t="shared" si="11"/>
        <v>N/C</v>
      </c>
      <c r="DL12" s="605" t="str">
        <f>IFS(DL6&lt;&gt;"",DL6,AND(ISDATE(DK6),ISDATE(DJ6)),"DATO PERDIDO",AND(DJ6="",DK6=""),"N/C")</f>
        <v>N/C</v>
      </c>
      <c r="DM12" s="605" t="str">
        <f>IF(DM6&lt;&gt;"",DM6,"N/C")</f>
        <v>N/C</v>
      </c>
      <c r="DN12" s="605" t="str">
        <f>IFS(AND(DJ6="",DK6=""),"N/C",DK6-DJ6=0,"1",AND(ISDATE(DJ6),ISDATE(DK6)),DK6-DJ6)</f>
        <v>N/C</v>
      </c>
      <c r="DO12" s="611" t="str">
        <f>IF(OR(DO10="TEP",DO11="TEP"),"SI","NO")</f>
        <v>NO</v>
      </c>
      <c r="DP12" s="611" t="str">
        <f>IF(OR(DP10="IAM",DP11="IAM"),"SI","NO")</f>
        <v>NO</v>
      </c>
      <c r="DQ12" s="611" t="str">
        <f>IF(OR(DQ10="PCR",DQ11="PCR"),"SI","NO")</f>
        <v>NO</v>
      </c>
      <c r="DR12" s="611" t="str">
        <f>IF(OR(DR10="SDRA",DR11="SDRA"),"SI","NO")</f>
        <v>NO</v>
      </c>
      <c r="DS12" s="611" t="str">
        <f>IF(OR(DS10="BNM",DS11="BNM"),"SI","NO")</f>
        <v>NO</v>
      </c>
      <c r="DT12" s="611" t="str">
        <f>IF(OR(DT10="PRONO",DT11="PRONO"),"SI","NO")</f>
        <v>NO</v>
      </c>
      <c r="DU12" s="611" t="str">
        <f>IF(OR(DU10="DAUCI",DU11="DAUCI"),"SI","NO")</f>
        <v>NO</v>
      </c>
      <c r="DV12" s="611" t="str">
        <f>IF(OR(DV10="BAROTRAUMA",DV11="BAROTRAUMA"),"SI","NO")</f>
        <v>NO</v>
      </c>
      <c r="DW12" s="611" t="str">
        <f>IF(OR(DW10="FMO",DW11="FMO"),"SI","NO")</f>
        <v>NO</v>
      </c>
      <c r="DX12" s="611" t="str">
        <f>IF(OR(DX10="EOT NO PROGRAMADA",DX11="EOT NO PROGRAMADA"),"SI","NO")</f>
        <v>NO</v>
      </c>
      <c r="DY12" s="611" t="str">
        <f>IF(OR(DY10="DELIRIUM",DY11="DELIRIUM"),"SI","NO")</f>
        <v>NO</v>
      </c>
      <c r="DZ12" s="611" t="str">
        <f>IF(OR(DZ10="PAFI&lt;200",DZ11="PAFI&lt;200"),"SI","NO")</f>
        <v>NO</v>
      </c>
      <c r="EA12" s="611" t="str">
        <f>IF(OR(EA10="SHOCK/SEPSIS",EA11="SHOCK/SEPSIS"),"SI","NO")</f>
        <v>NO</v>
      </c>
      <c r="EB12" s="611" t="str">
        <f t="shared" ref="EB12:EC12" si="12">IF(OR(EB10="I RENAL",EB11="I RENAL"),"SI","NO")</f>
        <v>NO</v>
      </c>
      <c r="EC12" s="611" t="str">
        <f t="shared" si="12"/>
        <v>NO</v>
      </c>
      <c r="ED12" s="611" t="str">
        <f>IF(OR(ED10="LESIONES FACIALES",ED11="LESIONES FACIALES"),"SI","NO")</f>
        <v>NO</v>
      </c>
      <c r="EE12" s="611" t="str">
        <f>IF(OR(EE10="CAMBIO DE INTERFAZ POR DISCOMFORT",EE11="CAMBIO DE INTERFAZ POR DISCOMFORT"),"SI","NO")</f>
        <v>NO</v>
      </c>
      <c r="EF12" s="605">
        <f>COUNTIF(DO12:EE12,"SI")</f>
        <v>0</v>
      </c>
      <c r="EG12" s="613">
        <f>+Monitoreo!C65</f>
        <v>2</v>
      </c>
      <c r="EH12" s="613">
        <f>+Monitoreo!C66</f>
        <v>0</v>
      </c>
      <c r="EI12" s="613">
        <f>+Monitoreo!C67</f>
        <v>2</v>
      </c>
      <c r="EJ12" s="613">
        <f>+Monitoreo!C68</f>
        <v>0</v>
      </c>
      <c r="EK12" s="613">
        <f>+Monitoreo!C69</f>
        <v>0</v>
      </c>
      <c r="EL12" s="613">
        <f>+Monitoreo!C70</f>
        <v>0</v>
      </c>
      <c r="EM12" s="613">
        <f>+Monitoreo!C71</f>
        <v>0</v>
      </c>
      <c r="EN12" s="613">
        <f>+Monitoreo!F65</f>
        <v>7</v>
      </c>
      <c r="EO12" s="613">
        <f>+Monitoreo!F66</f>
        <v>7</v>
      </c>
      <c r="EP12" s="613">
        <f>+Monitoreo!F67</f>
        <v>0</v>
      </c>
      <c r="EQ12" s="613">
        <f>+Monitoreo!F68</f>
        <v>0</v>
      </c>
      <c r="ER12" s="613">
        <f>+Monitoreo!F69</f>
        <v>0</v>
      </c>
      <c r="ES12" s="613">
        <f>+Monitoreo!F70</f>
        <v>0</v>
      </c>
      <c r="ET12" s="613">
        <f>+Monitoreo!F71</f>
        <v>0</v>
      </c>
      <c r="EU12" s="613">
        <f>+Monitoreo!I65</f>
        <v>3</v>
      </c>
      <c r="EV12" s="613">
        <f>+Monitoreo!I66</f>
        <v>3</v>
      </c>
      <c r="EW12" s="613">
        <f>+Monitoreo!I67</f>
        <v>0</v>
      </c>
      <c r="EX12" s="613">
        <f>+Monitoreo!I68</f>
        <v>0</v>
      </c>
      <c r="EY12" s="613">
        <f>+Monitoreo!I69</f>
        <v>0</v>
      </c>
      <c r="EZ12" s="613">
        <f>+Monitoreo!I70</f>
        <v>0</v>
      </c>
      <c r="FA12" s="613">
        <f>+Monitoreo!I71</f>
        <v>0</v>
      </c>
      <c r="FB12" s="613">
        <f>+Monitoreo!I72</f>
        <v>0</v>
      </c>
      <c r="FC12" s="613">
        <f>+Monitoreo!M69</f>
        <v>0</v>
      </c>
      <c r="FD12" s="613">
        <f>+Monitoreo!M70</f>
        <v>0</v>
      </c>
      <c r="FE12" s="613">
        <f>+Monitoreo!M71</f>
        <v>0</v>
      </c>
      <c r="FF12" s="613">
        <f>+Monitoreo!M72</f>
        <v>0</v>
      </c>
      <c r="FG12" s="613">
        <f>+Monitoreo!P69</f>
        <v>0</v>
      </c>
      <c r="FH12" s="613">
        <f>+Monitoreo!P70</f>
        <v>0</v>
      </c>
      <c r="FI12" s="613">
        <f>+Monitoreo!P71</f>
        <v>0</v>
      </c>
      <c r="FJ12" s="613">
        <f>+Monitoreo!M65</f>
        <v>0</v>
      </c>
      <c r="FK12" s="613">
        <f>+Monitoreo!M66</f>
        <v>0</v>
      </c>
      <c r="FL12" s="613">
        <f>+Monitoreo!M67</f>
        <v>5</v>
      </c>
      <c r="FM12" s="614" t="str">
        <f>+Monitoreo!C29</f>
        <v>VC-CMV</v>
      </c>
      <c r="FN12" s="614" t="str">
        <f>+Monitoreo!D29</f>
        <v>VC-CMV</v>
      </c>
      <c r="FO12" s="614" t="str">
        <f>+Monitoreo!E29</f>
        <v>VC-CMV</v>
      </c>
      <c r="FP12" s="614" t="str">
        <f>+Monitoreo!G29</f>
        <v>VC-CMV</v>
      </c>
      <c r="FQ12" s="614" t="str">
        <f>+Monitoreo!I29</f>
        <v>VC-CMV</v>
      </c>
      <c r="FR12" s="605">
        <f>+Monitoreo!C30</f>
        <v>360</v>
      </c>
      <c r="FS12" s="605">
        <f>+Monitoreo!D30</f>
        <v>350</v>
      </c>
      <c r="FT12" s="605">
        <f>+Monitoreo!E30</f>
        <v>350</v>
      </c>
      <c r="FU12" s="605">
        <f>+Monitoreo!G30</f>
        <v>350</v>
      </c>
      <c r="FV12" s="605">
        <f>+Monitoreo!I30</f>
        <v>400</v>
      </c>
      <c r="FW12" s="605">
        <f>+Monitoreo!C31</f>
        <v>12</v>
      </c>
      <c r="FX12" s="605">
        <f>+Monitoreo!D31</f>
        <v>16</v>
      </c>
      <c r="FY12" s="605">
        <f>+Monitoreo!E31</f>
        <v>16</v>
      </c>
      <c r="FZ12" s="605">
        <f>+Monitoreo!G31</f>
        <v>16</v>
      </c>
      <c r="GA12" s="605">
        <f>+Monitoreo!I31</f>
        <v>16</v>
      </c>
      <c r="GB12" s="605">
        <f>+Monitoreo!C32</f>
        <v>6</v>
      </c>
      <c r="GC12" s="605">
        <f>+Monitoreo!D32</f>
        <v>5</v>
      </c>
      <c r="GD12" s="605">
        <f>+Monitoreo!E32</f>
        <v>5</v>
      </c>
      <c r="GE12" s="605">
        <f>+Monitoreo!G32</f>
        <v>5</v>
      </c>
      <c r="GF12" s="605">
        <f>+Monitoreo!I32</f>
        <v>6</v>
      </c>
      <c r="GG12" s="605">
        <f>+Monitoreo!C33</f>
        <v>0.4</v>
      </c>
      <c r="GH12" s="605">
        <f>+Monitoreo!D33</f>
        <v>0.24</v>
      </c>
      <c r="GI12" s="605">
        <f>+Monitoreo!E33</f>
        <v>0.24</v>
      </c>
      <c r="GJ12" s="605">
        <f>+Monitoreo!G33</f>
        <v>0.24</v>
      </c>
      <c r="GK12" s="605">
        <f>+Monitoreo!I33</f>
        <v>30</v>
      </c>
      <c r="GL12" s="605">
        <f>+Monitoreo!C37</f>
        <v>12</v>
      </c>
      <c r="GM12" s="605">
        <f>+Monitoreo!D37</f>
        <v>16</v>
      </c>
      <c r="GN12" s="605">
        <f>+Monitoreo!E37</f>
        <v>16</v>
      </c>
      <c r="GO12" s="605">
        <f>+Monitoreo!G37</f>
        <v>19</v>
      </c>
      <c r="GP12" s="605">
        <f>+Monitoreo!I37</f>
        <v>16</v>
      </c>
      <c r="GQ12" s="605">
        <f>+Monitoreo!C39</f>
        <v>4.1</v>
      </c>
      <c r="GR12" s="605">
        <f>+Monitoreo!D39</f>
        <v>5.5</v>
      </c>
      <c r="GS12" s="605">
        <f>+Monitoreo!E39</f>
        <v>5.55</v>
      </c>
      <c r="GT12" s="605">
        <f>+Monitoreo!G39</f>
        <v>6.68</v>
      </c>
      <c r="GU12" s="605">
        <f>+Monitoreo!I39</f>
        <v>4.9</v>
      </c>
      <c r="GV12" s="605">
        <f>+Monitoreo!C40</f>
        <v>35</v>
      </c>
      <c r="GW12" s="605">
        <f>+Monitoreo!D40</f>
        <v>25</v>
      </c>
      <c r="GX12" s="605">
        <f>+Monitoreo!E40</f>
        <v>28</v>
      </c>
      <c r="GY12" s="605">
        <f>+Monitoreo!G40</f>
        <v>30</v>
      </c>
      <c r="GZ12" s="605">
        <f>+Monitoreo!I40</f>
        <v>32</v>
      </c>
      <c r="HA12" s="605">
        <f>+Monitoreo!C41</f>
        <v>27</v>
      </c>
      <c r="HB12" s="605">
        <f>+Monitoreo!D41</f>
        <v>19</v>
      </c>
      <c r="HC12" s="605">
        <f>+Monitoreo!E41</f>
        <v>20</v>
      </c>
      <c r="HD12" s="605">
        <f>+Monitoreo!G41</f>
        <v>21</v>
      </c>
      <c r="HE12" s="605">
        <f>+Monitoreo!I41</f>
        <v>22</v>
      </c>
      <c r="HF12" s="605">
        <f>+Monitoreo!C42</f>
        <v>6</v>
      </c>
      <c r="HG12" s="605">
        <f>+Monitoreo!D42</f>
        <v>5</v>
      </c>
      <c r="HH12" s="605">
        <f>+Monitoreo!E42</f>
        <v>5</v>
      </c>
      <c r="HI12" s="605">
        <f>+Monitoreo!G42</f>
        <v>5.7</v>
      </c>
      <c r="HJ12" s="605">
        <f>+Monitoreo!I42</f>
        <v>6</v>
      </c>
      <c r="HK12" s="605">
        <f>+Monitoreo!C51</f>
        <v>21</v>
      </c>
      <c r="HL12" s="605">
        <f>+Monitoreo!D51</f>
        <v>14</v>
      </c>
      <c r="HM12" s="605">
        <f>+Monitoreo!E51</f>
        <v>15</v>
      </c>
      <c r="HN12" s="605">
        <f>+Monitoreo!G51</f>
        <v>15.3</v>
      </c>
      <c r="HO12" s="605">
        <f>+Monitoreo!I51</f>
        <v>16</v>
      </c>
      <c r="HP12" s="607">
        <f>+Monitoreo!C47</f>
        <v>4.973337386</v>
      </c>
      <c r="HQ12" s="607">
        <f>+Monitoreo!D47</f>
        <v>4.835189125</v>
      </c>
      <c r="HR12" s="607">
        <f>+Monitoreo!E47</f>
        <v>4.835189125</v>
      </c>
      <c r="HS12" s="607">
        <f>+Monitoreo!G47</f>
        <v>4.835189125</v>
      </c>
      <c r="HT12" s="607">
        <f>+Monitoreo!I47</f>
        <v>5.525930429</v>
      </c>
      <c r="HU12" s="607">
        <f>+Monitoreo!C52</f>
        <v>16.47619048</v>
      </c>
      <c r="HV12" s="607">
        <f>+Monitoreo!D52</f>
        <v>25</v>
      </c>
      <c r="HW12" s="607">
        <f>+Monitoreo!E52</f>
        <v>23.33333333</v>
      </c>
      <c r="HX12" s="607">
        <f>+Monitoreo!G52</f>
        <v>22.15686275</v>
      </c>
      <c r="HY12" s="607">
        <f>+Monitoreo!I52</f>
        <v>25</v>
      </c>
      <c r="HZ12" s="615">
        <f>+Monitoreo!C53</f>
        <v>12</v>
      </c>
      <c r="IA12" s="615">
        <f>+Monitoreo!D53</f>
        <v>9</v>
      </c>
      <c r="IB12" s="615">
        <f>+Monitoreo!E53</f>
        <v>12</v>
      </c>
      <c r="IC12" s="615" t="str">
        <f>+Monitoreo!G53</f>
        <v/>
      </c>
      <c r="ID12" s="615" t="str">
        <f>+Monitoreo!I53</f>
        <v/>
      </c>
      <c r="IE12" s="605">
        <f>+Monitoreo!C50</f>
        <v>23.85</v>
      </c>
      <c r="IF12" s="605">
        <f>+Monitoreo!D50</f>
        <v>16.9</v>
      </c>
      <c r="IG12" s="605">
        <f>+Monitoreo!E50</f>
        <v>17.75</v>
      </c>
      <c r="IH12" s="605">
        <f>+Monitoreo!G50</f>
        <v>18.705</v>
      </c>
      <c r="II12" s="605">
        <f>+Monitoreo!I50</f>
        <v>19.6</v>
      </c>
      <c r="IJ12" s="615">
        <f>+Monitoreo!C54</f>
        <v>8.701351285</v>
      </c>
      <c r="IK12" s="615">
        <f>+Monitoreo!D54</f>
        <v>8.619388235</v>
      </c>
      <c r="IL12" s="615">
        <f>+Monitoreo!E54</f>
        <v>9.571717647</v>
      </c>
      <c r="IM12" s="615" t="str">
        <f>+Monitoreo!G54</f>
        <v/>
      </c>
      <c r="IN12" s="615" t="str">
        <f>+Monitoreo!I54</f>
        <v/>
      </c>
      <c r="IO12" s="615">
        <f>+Monitoreo!C55</f>
        <v>0.5281166965</v>
      </c>
      <c r="IP12" s="615">
        <f>+Monitoreo!D55</f>
        <v>0.3447755294</v>
      </c>
      <c r="IQ12" s="615">
        <f>+Monitoreo!E55</f>
        <v>0.4102164706</v>
      </c>
      <c r="IR12" s="615" t="str">
        <f>+Monitoreo!G55</f>
        <v/>
      </c>
      <c r="IS12" s="615" t="str">
        <f>+Monitoreo!I55</f>
        <v/>
      </c>
      <c r="IT12" s="615">
        <f>+Monitoreo!C56</f>
        <v>0.1202076546</v>
      </c>
      <c r="IU12" s="615">
        <f>+Monitoreo!D56</f>
        <v>0.1190753493</v>
      </c>
      <c r="IV12" s="615">
        <f>+Monitoreo!E56</f>
        <v>0.1322316145</v>
      </c>
      <c r="IW12" s="615" t="str">
        <f>+Monitoreo!G56</f>
        <v/>
      </c>
      <c r="IX12" s="615" t="str">
        <f>+Monitoreo!I56</f>
        <v/>
      </c>
      <c r="IY12" s="615">
        <f>+Monitoreo!C61</f>
        <v>252</v>
      </c>
      <c r="IZ12" s="615">
        <f>+Monitoreo!D61</f>
        <v>224</v>
      </c>
      <c r="JA12" s="615">
        <f>+Monitoreo!E61</f>
        <v>240</v>
      </c>
      <c r="JB12" s="615">
        <f>+Monitoreo!G61</f>
        <v>290.7</v>
      </c>
      <c r="JC12" s="615">
        <f>+Monitoreo!I61</f>
        <v>256</v>
      </c>
      <c r="JD12" s="615">
        <f>+Monitoreo!C57</f>
        <v>0.3625010361</v>
      </c>
      <c r="JE12" s="615">
        <f>+Monitoreo!D57</f>
        <v>0.7699463064</v>
      </c>
      <c r="JF12" s="615">
        <f>+Monitoreo!E57</f>
        <v>0.9200674164</v>
      </c>
      <c r="JG12" s="615">
        <f>+Monitoreo!G57</f>
        <v>1.183683769</v>
      </c>
      <c r="JH12" s="615" t="str">
        <f>+Monitoreo!I57</f>
        <v/>
      </c>
      <c r="JI12" s="605" t="str">
        <f>+Monitoreo!C58</f>
        <v/>
      </c>
      <c r="JJ12" s="605" t="str">
        <f>+Monitoreo!D58</f>
        <v/>
      </c>
      <c r="JK12" s="605" t="str">
        <f>+Monitoreo!E58</f>
        <v/>
      </c>
      <c r="JL12" s="605" t="str">
        <f>+Monitoreo!G58</f>
        <v/>
      </c>
      <c r="JM12" s="605" t="str">
        <f>+Monitoreo!I58</f>
        <v/>
      </c>
      <c r="JN12" s="605" t="str">
        <f>+Monitoreo!C44</f>
        <v/>
      </c>
      <c r="JO12" s="605" t="str">
        <f>+Monitoreo!D44</f>
        <v/>
      </c>
      <c r="JP12" s="605" t="str">
        <f>+Monitoreo!E44</f>
        <v/>
      </c>
      <c r="JQ12" s="605" t="str">
        <f>+Monitoreo!G44</f>
        <v/>
      </c>
      <c r="JR12" s="605" t="str">
        <f>+Monitoreo!I44</f>
        <v/>
      </c>
      <c r="JS12" s="605" t="str">
        <f>+Monitoreo!C45</f>
        <v/>
      </c>
      <c r="JT12" s="605" t="str">
        <f>+Monitoreo!D45</f>
        <v/>
      </c>
      <c r="JU12" s="605" t="str">
        <f>+Monitoreo!E45</f>
        <v/>
      </c>
      <c r="JV12" s="605" t="str">
        <f>+Monitoreo!G45</f>
        <v/>
      </c>
      <c r="JW12" s="605" t="str">
        <f>+Monitoreo!I45</f>
        <v/>
      </c>
      <c r="JX12" s="615">
        <f>+Monitoreo!C62</f>
        <v>7.077151335</v>
      </c>
      <c r="JY12" s="615">
        <f>+Monitoreo!D62</f>
        <v>2.123115578</v>
      </c>
      <c r="JZ12" s="615">
        <f>+Monitoreo!E62</f>
        <v>3.672413793</v>
      </c>
      <c r="KA12" s="615">
        <f>+Monitoreo!G62</f>
        <v>2.815806452</v>
      </c>
      <c r="KB12" s="605" t="str">
        <f>+Monitoreo!I62</f>
        <v>#N/A</v>
      </c>
      <c r="KC12" s="605">
        <f>+Monitoreo!C20</f>
        <v>7.62</v>
      </c>
      <c r="KD12" s="605">
        <f>+Monitoreo!D20</f>
        <v>7.4</v>
      </c>
      <c r="KE12" s="605">
        <f>+Monitoreo!E20</f>
        <v>7.35</v>
      </c>
      <c r="KF12" s="605">
        <f>+Monitoreo!G20</f>
        <v>7.34</v>
      </c>
      <c r="KG12" s="605" t="str">
        <f>+Monitoreo!I20</f>
        <v/>
      </c>
      <c r="KH12" s="605">
        <f>+Monitoreo!C22</f>
        <v>134.8</v>
      </c>
      <c r="KI12" s="605">
        <f>+Monitoreo!D22</f>
        <v>199</v>
      </c>
      <c r="KJ12" s="605">
        <f>+Monitoreo!E22</f>
        <v>116</v>
      </c>
      <c r="KK12" s="605">
        <f>+Monitoreo!G22</f>
        <v>139.5</v>
      </c>
      <c r="KL12" s="605" t="str">
        <f>+Monitoreo!I22</f>
        <v/>
      </c>
      <c r="KM12" s="605">
        <f>+Monitoreo!C21</f>
        <v>24</v>
      </c>
      <c r="KN12" s="605">
        <f>+Monitoreo!D21</f>
        <v>38</v>
      </c>
      <c r="KO12" s="605">
        <f>+Monitoreo!E21</f>
        <v>45</v>
      </c>
      <c r="KP12" s="605">
        <f>+Monitoreo!G21</f>
        <v>48.1</v>
      </c>
      <c r="KQ12" s="605" t="str">
        <f>+Monitoreo!I21</f>
        <v/>
      </c>
      <c r="KR12" s="605">
        <f>+Monitoreo!C25</f>
        <v>99.5</v>
      </c>
      <c r="KS12" s="605">
        <f>+Monitoreo!D25</f>
        <v>-0.9</v>
      </c>
      <c r="KT12" s="605">
        <f>+Monitoreo!E25</f>
        <v>98</v>
      </c>
      <c r="KU12" s="605">
        <f>+Monitoreo!G25</f>
        <v>98.9</v>
      </c>
      <c r="KV12" s="605" t="str">
        <f>+Monitoreo!I25</f>
        <v/>
      </c>
      <c r="KW12" s="605">
        <f>+Monitoreo!C10</f>
        <v>95</v>
      </c>
      <c r="KX12" s="605">
        <f>+Monitoreo!D10</f>
        <v>96</v>
      </c>
      <c r="KY12" s="605">
        <f>+Monitoreo!E10</f>
        <v>100</v>
      </c>
      <c r="KZ12" s="605">
        <f>+Monitoreo!G10</f>
        <v>98</v>
      </c>
      <c r="LA12" s="605">
        <f>+Monitoreo!I10</f>
        <v>100</v>
      </c>
      <c r="LB12" s="607">
        <f>+Monitoreo!C28</f>
        <v>337</v>
      </c>
      <c r="LC12" s="607">
        <f>+Monitoreo!D28</f>
        <v>796</v>
      </c>
      <c r="LD12" s="607">
        <f>+Monitoreo!E28</f>
        <v>483.3333333</v>
      </c>
      <c r="LE12" s="607">
        <f>+Monitoreo!G28</f>
        <v>664.2857143</v>
      </c>
      <c r="LF12" s="607" t="str">
        <f>+Monitoreo!I28</f>
        <v/>
      </c>
      <c r="LG12" s="605"/>
      <c r="LH12" s="605"/>
      <c r="LI12" s="605"/>
      <c r="LJ12" s="605"/>
      <c r="LK12" s="605"/>
      <c r="LL12" s="605"/>
      <c r="LM12" s="605"/>
    </row>
    <row r="14">
      <c r="DS14" s="182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16">
        <f>+Monitoreo!M65</f>
        <v>0</v>
      </c>
      <c r="DZ14" s="182">
        <f>+Monitoreo!T65</f>
        <v>0</v>
      </c>
    </row>
    <row r="15">
      <c r="A15" s="617" t="s">
        <v>365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618"/>
      <c r="O15" s="618"/>
      <c r="P15" s="618"/>
      <c r="Q15" s="619"/>
    </row>
    <row r="16">
      <c r="A16" s="620"/>
      <c r="Q16" s="621"/>
    </row>
    <row r="17">
      <c r="A17" s="620"/>
      <c r="Q17" s="621"/>
    </row>
    <row r="18">
      <c r="A18" s="620"/>
      <c r="Q18" s="621"/>
    </row>
    <row r="19">
      <c r="A19" s="622"/>
      <c r="B19" s="623"/>
      <c r="C19" s="623"/>
      <c r="D19" s="623"/>
      <c r="E19" s="623"/>
      <c r="F19" s="623"/>
      <c r="G19" s="623"/>
      <c r="H19" s="623"/>
      <c r="I19" s="623"/>
      <c r="J19" s="623"/>
      <c r="K19" s="623"/>
      <c r="L19" s="623"/>
      <c r="M19" s="623"/>
      <c r="N19" s="623"/>
      <c r="O19" s="623"/>
      <c r="P19" s="623"/>
      <c r="Q19" s="624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5" t="s">
        <v>366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7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</row>
    <row r="2" ht="41.25" customHeight="1">
      <c r="A2" s="629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127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</row>
    <row r="3">
      <c r="A3" s="630"/>
      <c r="B3" s="631" t="s">
        <v>367</v>
      </c>
      <c r="C3" s="21"/>
      <c r="D3" s="21"/>
      <c r="E3" s="22"/>
      <c r="F3" s="632" t="s">
        <v>368</v>
      </c>
      <c r="G3" s="22"/>
      <c r="H3" s="632" t="s">
        <v>369</v>
      </c>
      <c r="I3" s="21"/>
      <c r="J3" s="21"/>
      <c r="K3" s="21"/>
      <c r="L3" s="22"/>
      <c r="M3" s="632" t="s">
        <v>370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2" t="s">
        <v>371</v>
      </c>
      <c r="AA3" s="22"/>
      <c r="AB3" s="632" t="s">
        <v>372</v>
      </c>
      <c r="AC3" s="21"/>
      <c r="AD3" s="21"/>
      <c r="AE3" s="21"/>
      <c r="AF3" s="22"/>
      <c r="AG3" s="633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634"/>
      <c r="AZ3" s="634"/>
      <c r="BA3" s="634"/>
    </row>
    <row r="4">
      <c r="A4" s="635"/>
      <c r="B4" s="636" t="s">
        <v>247</v>
      </c>
      <c r="C4" s="636" t="s">
        <v>249</v>
      </c>
      <c r="D4" s="637" t="s">
        <v>373</v>
      </c>
      <c r="E4" s="638" t="s">
        <v>374</v>
      </c>
      <c r="F4" s="638" t="s">
        <v>375</v>
      </c>
      <c r="G4" s="638" t="s">
        <v>376</v>
      </c>
      <c r="H4" s="639" t="s">
        <v>377</v>
      </c>
      <c r="I4" s="639" t="s">
        <v>378</v>
      </c>
      <c r="J4" s="639" t="s">
        <v>379</v>
      </c>
      <c r="K4" s="639" t="s">
        <v>380</v>
      </c>
      <c r="L4" s="639" t="s">
        <v>381</v>
      </c>
      <c r="M4" s="639" t="s">
        <v>382</v>
      </c>
      <c r="N4" s="639" t="s">
        <v>383</v>
      </c>
      <c r="O4" s="639" t="s">
        <v>384</v>
      </c>
      <c r="P4" s="639" t="s">
        <v>385</v>
      </c>
      <c r="Q4" s="639" t="s">
        <v>386</v>
      </c>
      <c r="R4" s="639" t="s">
        <v>387</v>
      </c>
      <c r="S4" s="640" t="s">
        <v>36</v>
      </c>
      <c r="T4" s="640" t="s">
        <v>388</v>
      </c>
      <c r="U4" s="639" t="s">
        <v>389</v>
      </c>
      <c r="V4" s="639" t="s">
        <v>390</v>
      </c>
      <c r="W4" s="637" t="s">
        <v>391</v>
      </c>
      <c r="X4" s="637" t="s">
        <v>392</v>
      </c>
      <c r="Y4" s="640" t="s">
        <v>393</v>
      </c>
      <c r="Z4" s="638" t="s">
        <v>394</v>
      </c>
      <c r="AA4" s="640" t="s">
        <v>395</v>
      </c>
      <c r="AB4" s="641" t="s">
        <v>396</v>
      </c>
      <c r="AC4" s="641" t="s">
        <v>397</v>
      </c>
      <c r="AD4" s="641" t="s">
        <v>398</v>
      </c>
      <c r="AE4" s="641" t="s">
        <v>399</v>
      </c>
      <c r="AF4" s="641" t="s">
        <v>100</v>
      </c>
      <c r="AG4" s="642" t="s">
        <v>400</v>
      </c>
      <c r="AH4" s="643"/>
      <c r="AI4" s="644"/>
      <c r="AJ4" s="644"/>
      <c r="AK4" s="644"/>
      <c r="AL4" s="644"/>
      <c r="AM4" s="644"/>
      <c r="AN4" s="644"/>
      <c r="AO4" s="644"/>
      <c r="AP4" s="644"/>
      <c r="AQ4" s="644"/>
      <c r="AR4" s="644"/>
      <c r="AS4" s="644"/>
      <c r="AT4" s="644"/>
      <c r="AU4" s="644"/>
      <c r="AV4" s="644"/>
      <c r="AW4" s="644"/>
      <c r="AX4" s="644"/>
      <c r="AY4" s="644"/>
      <c r="AZ4" s="644"/>
      <c r="BA4" s="644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HSA</v>
      </c>
      <c r="I5" s="645">
        <f>+General!H22</f>
        <v>44230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3">
        <f>+General!H27</f>
        <v>4</v>
      </c>
      <c r="N5" s="603">
        <f>+General!J27</f>
        <v>1</v>
      </c>
      <c r="O5" s="182"/>
      <c r="P5" s="182"/>
      <c r="Q5" s="646">
        <f>+General!J25</f>
        <v>0</v>
      </c>
      <c r="R5" s="646">
        <f>+General!H25</f>
        <v>0</v>
      </c>
      <c r="S5" s="647" t="str">
        <f>+General!D20</f>
        <v/>
      </c>
      <c r="T5" s="182" t="str">
        <f>+General!B23</f>
        <v/>
      </c>
      <c r="U5" s="646">
        <f>+General!D25</f>
        <v>0</v>
      </c>
      <c r="V5" s="647" t="str">
        <f>+General!D19</f>
        <v/>
      </c>
      <c r="W5" s="646">
        <f>+General!F25</f>
        <v>0</v>
      </c>
      <c r="X5" s="182"/>
      <c r="Y5" s="182"/>
      <c r="Z5" s="648">
        <f>+General!D38</f>
        <v>44237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47" t="str">
        <f>+General!F20</f>
        <v/>
      </c>
      <c r="T6" s="648" t="str">
        <f>+General!C35</f>
        <v/>
      </c>
      <c r="U6" s="182"/>
      <c r="V6" s="647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47" t="str">
        <f>+General!D31</f>
        <v/>
      </c>
      <c r="T7" s="647" t="str">
        <f>+General!E36</f>
        <v/>
      </c>
      <c r="U7" s="182"/>
      <c r="V7" s="649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47" t="str">
        <f>+General!F31</f>
        <v/>
      </c>
      <c r="T8" s="182"/>
      <c r="U8" s="182"/>
      <c r="V8" s="649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0"/>
      <c r="B10" s="650" t="str">
        <f>+General!B4</f>
        <v>Barbieri Alfredo</v>
      </c>
      <c r="C10" s="650" t="str">
        <f>+General!D5</f>
        <v>Hombre</v>
      </c>
      <c r="D10" s="650">
        <f>+General!B5</f>
        <v>83</v>
      </c>
      <c r="E10" s="651">
        <f>+General!G4</f>
        <v>44230</v>
      </c>
      <c r="F10" s="650" t="str">
        <f>IF(F5="MÉDICO","X","")</f>
        <v>X</v>
      </c>
      <c r="G10" s="650" t="str">
        <f>IF(F5="QUIRÚRGICO","X","")</f>
        <v/>
      </c>
      <c r="H10" s="650"/>
      <c r="I10" s="650" t="str">
        <f>IF(ISDATE(I5),"X","")</f>
        <v>X</v>
      </c>
      <c r="J10" s="650"/>
      <c r="K10" s="650"/>
      <c r="L10" s="650"/>
      <c r="M10" s="650" t="str">
        <f t="shared" ref="M10:N10" si="1">IF(M5&lt;&gt;"","1","")</f>
        <v>1</v>
      </c>
      <c r="N10" s="650" t="str">
        <f t="shared" si="1"/>
        <v>1</v>
      </c>
      <c r="O10" s="650">
        <f>IFS(AND(M5="",N5=""),"",M5&gt;N5,M5,M5=N5,M5,M5&lt;N5,N5)</f>
        <v>4</v>
      </c>
      <c r="P10" s="650">
        <f>IF(OR(M10&lt;&gt;"",N10&lt;&gt;""),(O10*M10)+(O10*N10),0)</f>
        <v>8</v>
      </c>
      <c r="Q10" s="650">
        <f t="shared" ref="Q10:R10" si="2">IF(Q5="",0,Q5)</f>
        <v>0</v>
      </c>
      <c r="R10" s="650">
        <f t="shared" si="2"/>
        <v>0</v>
      </c>
      <c r="S10" s="650">
        <f>S12+S13</f>
        <v>0</v>
      </c>
      <c r="T10" s="650">
        <f>IFS(AND(T5="",AND(T6="",T7="")),0,AND(T5="SI",T7&lt;&gt;""),T7-E10,AND(T6&lt;&gt;"",T7&lt;&gt;""),T7-T6,AND(AF5="MUERTO",T6&lt;&gt;""),Z10-T6)</f>
        <v>0</v>
      </c>
      <c r="U10" s="650">
        <f>IF(U5="",0,U5)</f>
        <v>0</v>
      </c>
      <c r="V10" s="650">
        <f>V12+V13</f>
        <v>0</v>
      </c>
      <c r="W10" s="650">
        <f>IF(W5="",0,W5)</f>
        <v>0</v>
      </c>
      <c r="X10" s="650">
        <f>SUM(Q10:W10)</f>
        <v>0</v>
      </c>
      <c r="Y10" s="650">
        <f>P10+X10</f>
        <v>8</v>
      </c>
      <c r="Z10" s="652">
        <f>+General!D38</f>
        <v>44237</v>
      </c>
      <c r="AA10" s="650">
        <f>+General!J43</f>
        <v>7</v>
      </c>
      <c r="AB10" s="650" t="str">
        <f>IF(AB5="ALTA K","X","")</f>
        <v/>
      </c>
      <c r="AC10" s="650" t="str">
        <f>IF(AB5="ALTA DOMICILIARIA","X","")</f>
        <v/>
      </c>
      <c r="AD10" s="650" t="str">
        <f>IF(AB5="PISO","X","")</f>
        <v/>
      </c>
      <c r="AE10" s="650" t="str">
        <f>IF(AB5="3º NIVEL","X","")</f>
        <v/>
      </c>
      <c r="AF10" s="650" t="str">
        <f>IF(OR(AB5="Muerto",AF5="Muerto"),"X","")</f>
        <v>X</v>
      </c>
      <c r="AG10" s="650"/>
      <c r="AH10" s="650"/>
      <c r="AI10" s="650"/>
      <c r="AJ10" s="650"/>
      <c r="AK10" s="650"/>
      <c r="AL10" s="650"/>
      <c r="AM10" s="650"/>
      <c r="AN10" s="650"/>
      <c r="AO10" s="650"/>
      <c r="AP10" s="650"/>
      <c r="AQ10" s="650"/>
      <c r="AR10" s="650"/>
      <c r="AS10" s="650"/>
      <c r="AT10" s="650"/>
      <c r="AU10" s="650"/>
      <c r="AV10" s="650"/>
      <c r="AW10" s="650"/>
      <c r="AX10" s="650"/>
      <c r="AY10" s="650"/>
      <c r="AZ10" s="650"/>
      <c r="BA10" s="650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3" t="s">
        <v>401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89"/>
      <c r="O14" s="7"/>
    </row>
    <row r="15">
      <c r="A15" s="289"/>
      <c r="O15" s="7"/>
    </row>
    <row r="16">
      <c r="A16" s="30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