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<sst xmlns="http://schemas.openxmlformats.org/spreadsheetml/2006/main" count="624" uniqueCount="417">
  <si>
    <t>Servicio de Kinesiología</t>
  </si>
  <si>
    <t xml:space="preserve">Hoja Ingreso UTI </t>
  </si>
  <si>
    <t>Cama UTI</t>
  </si>
  <si>
    <t>UCO 4</t>
  </si>
  <si>
    <t>HC</t>
  </si>
  <si>
    <t>Fecha de ingreso al hospital</t>
  </si>
  <si>
    <t>SOFA / %</t>
  </si>
  <si>
    <t>Nombre y Apellido:</t>
  </si>
  <si>
    <t>Crabas Julio Cesar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</si>
  <si>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</si>
  <si>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</si>
  <si>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</si>
  <si>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</si>
  <si>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</si>
  <si>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</si>
  <si>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</si>
  <si>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</si>
  <si>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</si>
  <si>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</si>
  <si>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</si>
  <si>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</si>
  <si>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</si>
  <si>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</si>
  <si>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</si>
  <si>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POP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</si>
  <si>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</si>
  <si>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</si>
  <si>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</si>
  <si>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</si>
  <si>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</si>
  <si>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</si>
  <si>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</si>
  <si>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</si>
  <si>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</si>
  <si>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</si>
  <si>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</si>
  <si>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</si>
  <si>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</si>
  <si>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</si>
  <si>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</si>
  <si>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</si>
  <si>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</si>
  <si>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</si>
  <si>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</si>
  <si>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</si>
  <si>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</si>
  <si>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</si>
  <si>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</si>
  <si>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</si>
  <si>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</si>
  <si>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</si>
  <si>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</si>
  <si>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</si>
  <si>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</si>
  <si>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</si>
  <si>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</si>
  <si>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</si>
  <si>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</si>
  <si>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</si>
  <si>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</si>
  <si>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</si>
  <si>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</si>
  <si>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</si>
  <si>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</si>
  <si>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</si>
  <si>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</si>
  <si>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</si>
  <si>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</si>
  <si>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</si>
  <si>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</si>
  <si>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</si>
  <si>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</si>
  <si>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</si>
  <si>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Deseada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</si>
  <si>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</si>
  <si>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</si>
  <si>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</si>
  <si>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</si>
  <si>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</si>
  <si>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</si>
  <si>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</si>
  <si>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</si>
  <si>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</si>
  <si>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</si>
  <si>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</si>
  <si>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</si>
  <si>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</si>
  <si>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</si>
  <si>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</si>
  <si>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</si>
  <si>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</si>
  <si>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</si>
  <si>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</si>
  <si>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</si>
  <si>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</si>
  <si>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</si>
  <si>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</si>
  <si>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</si>
  <si>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PROGRAMADO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</si>
  <si>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</si>
  <si>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</si>
  <si>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</si>
  <si>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</si>
  <si>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</si>
  <si>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</si>
  <si>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</si>
  <si>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</si>
  <si>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</si>
  <si>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</si>
  <si>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SHOCK/SEPSIS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</si>
  <si>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</si>
  <si>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</si>
  <si>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</si>
  <si>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</si>
  <si>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</si>
  <si>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</si>
  <si>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</si>
  <si>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</si>
  <si>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</si>
  <si>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</si>
  <si>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</si>
  <si>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</si>
  <si>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</si>
  <si>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</si>
  <si>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</si>
  <si>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</si>
  <si>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</si>
  <si>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</si>
  <si>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</si>
  <si>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36.3</t>
  </si>
  <si>
    <t>36.6</t>
  </si>
  <si>
    <t>35.8</t>
  </si>
  <si>
    <t>SpO2</t>
  </si>
  <si>
    <t>CPOT/EVA 
Analgésicos</t>
  </si>
  <si>
    <t>no ref</t>
  </si>
  <si>
    <t>Refiere</t>
  </si>
  <si>
    <t>No refiere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</si>
  <si>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</si>
  <si>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</si>
  <si>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</si>
  <si>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</si>
  <si>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</si>
  <si>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</si>
  <si>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</si>
  <si>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</si>
  <si>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ATRA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</si>
  <si>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</si>
  <si>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</si>
  <si>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</si>
  <si>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</si>
  <si>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</si>
  <si>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</si>
  <si>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</si>
  <si>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</si>
  <si>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</si>
  <si>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</si>
  <si>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</si>
  <si>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</si>
  <si>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</si>
  <si>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</si>
  <si>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</si>
  <si>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</si>
  <si>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T/T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</si>
  <si>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</si>
  <si>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</si>
  <si>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</si>
  <si>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</si>
  <si>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</si>
  <si>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</si>
  <si>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</si>
  <si>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</si>
  <si>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</si>
  <si>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Desacelerad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</si>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</sst>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4" fillId="0" fontId="5" numFmtId="0" xfId="0" applyAlignment="1" applyBorder="1" applyFont="1">
      <alignment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readingOrder="0" vertical="bottom"/>
    </xf>
    <xf borderId="15" fillId="0" fontId="5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62" fillId="0" fontId="3" numFmtId="0" xfId="0" applyBorder="1" applyFont="1"/>
    <xf borderId="17" fillId="0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horizontal="center" readingOrder="0" vertical="bottom"/>
    </xf>
    <xf borderId="18" fillId="0" fontId="3" numFmtId="169" xfId="0" applyAlignment="1" applyBorder="1" applyFont="1" applyNumberFormat="1">
      <alignment horizontal="center" readingOrder="0"/>
    </xf>
    <xf borderId="12" fillId="7" fontId="9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4" fillId="7" fontId="3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17" fillId="7" fontId="9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8" fillId="9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vertical="bottom"/>
    </xf>
    <xf borderId="15" fillId="8" fontId="5" numFmtId="2" xfId="0" applyAlignment="1" applyBorder="1" applyFont="1" applyNumberFormat="1">
      <alignment vertical="bottom"/>
    </xf>
    <xf borderId="15" fillId="9" fontId="5" numFmtId="2" xfId="0" applyAlignment="1" applyBorder="1" applyFont="1" applyNumberFormat="1">
      <alignment vertical="bottom"/>
    </xf>
    <xf borderId="15" fillId="8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horizontal="center"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164138.0</v>
      </c>
      <c r="E3" s="12" t="s">
        <v>5</v>
      </c>
      <c r="F3" s="13"/>
      <c r="G3" s="14">
        <v>44175.0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44192.0</v>
      </c>
      <c r="H4" s="25" t="s">
        <v>10</v>
      </c>
      <c r="I4" s="26">
        <v>19.0</v>
      </c>
      <c r="J4" s="27">
        <v>32.0</v>
      </c>
      <c r="K4" s="18"/>
      <c r="L4" s="28"/>
    </row>
    <row r="5">
      <c r="A5" s="29" t="s">
        <v>11</v>
      </c>
      <c r="B5" s="30">
        <v>72.0</v>
      </c>
      <c r="C5" s="31" t="s">
        <v>12</v>
      </c>
      <c r="D5" s="32" t="s">
        <v>13</v>
      </c>
      <c r="E5" s="33" t="s">
        <v>14</v>
      </c>
      <c r="F5" s="22"/>
      <c r="G5" s="34">
        <v>95.0</v>
      </c>
      <c r="H5" s="35" t="s">
        <v>15</v>
      </c>
      <c r="I5" s="36">
        <v>39.0</v>
      </c>
      <c r="J5" s="27">
        <v>22.9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173.2791209</v>
      </c>
      <c r="C6" s="39" t="s">
        <v>17</v>
      </c>
      <c r="D6" s="40">
        <v>69.0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3.0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44192.0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44192.0</v>
      </c>
      <c r="I22" s="76" t="s">
        <v>41</v>
      </c>
      <c r="J22" s="77">
        <v>44222.0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 t="s">
        <v>45</v>
      </c>
      <c r="G23" s="83" t="s">
        <v>46</v>
      </c>
      <c r="H23" s="84">
        <v>1.0</v>
      </c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1.0</v>
      </c>
      <c r="E25" s="61" t="s">
        <v>52</v>
      </c>
      <c r="F25" s="75"/>
      <c r="G25" s="87" t="s">
        <v>53</v>
      </c>
      <c r="H25" s="75"/>
      <c r="I25" s="87" t="s">
        <v>54</v>
      </c>
      <c r="J25" s="8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>
        <v>44205.0</v>
      </c>
      <c r="C29" s="74" t="s">
        <v>64</v>
      </c>
      <c r="D29" s="32" t="s">
        <v>65</v>
      </c>
      <c r="E29" s="74" t="s">
        <v>66</v>
      </c>
      <c r="F29" s="32">
        <v>60.0</v>
      </c>
      <c r="G29" s="103" t="s">
        <v>67</v>
      </c>
      <c r="H29" s="104" t="s">
        <v>68</v>
      </c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>
        <v>44205.0</v>
      </c>
      <c r="C30" s="90" t="s">
        <v>72</v>
      </c>
      <c r="D30" s="75" t="s">
        <v>73</v>
      </c>
      <c r="E30" s="108" t="s">
        <v>74</v>
      </c>
      <c r="F30" s="71" t="s">
        <v>45</v>
      </c>
      <c r="G30" s="109" t="s">
        <v>75</v>
      </c>
      <c r="H30" s="22"/>
      <c r="I30" s="32">
        <v>12.0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 t="s">
        <v>45</v>
      </c>
      <c r="C33" s="103" t="s">
        <v>49</v>
      </c>
      <c r="D33" s="118" t="s">
        <v>84</v>
      </c>
      <c r="E33" s="83" t="s">
        <v>85</v>
      </c>
      <c r="F33" s="119" t="s">
        <v>86</v>
      </c>
      <c r="G33" s="120"/>
      <c r="H33" s="121" t="s">
        <v>87</v>
      </c>
      <c r="I33" s="68">
        <v>2.0</v>
      </c>
      <c r="J33" s="122"/>
    </row>
    <row r="34" ht="21.0" customHeight="1">
      <c r="A34" s="123" t="s">
        <v>88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89</v>
      </c>
      <c r="B35" s="127"/>
      <c r="C35" s="128">
        <v>44211.0</v>
      </c>
      <c r="D35" s="129" t="s">
        <v>90</v>
      </c>
      <c r="E35" s="130" t="s">
        <v>91</v>
      </c>
      <c r="F35" s="131" t="s">
        <v>92</v>
      </c>
      <c r="G35" s="127"/>
      <c r="H35" s="111" t="s">
        <v>45</v>
      </c>
      <c r="I35" s="87" t="s">
        <v>93</v>
      </c>
      <c r="J35" s="114">
        <v>1.0</v>
      </c>
    </row>
    <row r="36" ht="15.75" customHeight="1">
      <c r="A36" s="132" t="s">
        <v>94</v>
      </c>
      <c r="C36" s="133" t="s">
        <v>95</v>
      </c>
      <c r="D36" s="134" t="s">
        <v>96</v>
      </c>
      <c r="E36" s="135"/>
      <c r="F36" s="136" t="s">
        <v>97</v>
      </c>
      <c r="G36" s="137"/>
      <c r="H36" s="138" t="s">
        <v>98</v>
      </c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100</v>
      </c>
      <c r="B38" s="146" t="s">
        <v>101</v>
      </c>
      <c r="C38" s="129" t="s">
        <v>102</v>
      </c>
      <c r="D38" s="128">
        <v>44222.0</v>
      </c>
      <c r="E38" s="147"/>
      <c r="F38" s="148" t="s">
        <v>103</v>
      </c>
      <c r="G38" s="127"/>
      <c r="H38" s="146" t="s">
        <v>45</v>
      </c>
      <c r="I38" s="149" t="s">
        <v>104</v>
      </c>
      <c r="J38" s="150" t="s">
        <v>105</v>
      </c>
      <c r="L38" s="144"/>
    </row>
    <row r="39" ht="18.0" customHeight="1">
      <c r="A39" s="151" t="s">
        <v>106</v>
      </c>
      <c r="B39" s="133" t="s">
        <v>95</v>
      </c>
      <c r="C39" s="152" t="s">
        <v>102</v>
      </c>
      <c r="D39" s="153"/>
      <c r="E39" s="154"/>
      <c r="F39" s="155" t="s">
        <v>107</v>
      </c>
      <c r="G39" s="156"/>
      <c r="H39" s="157"/>
      <c r="I39" s="158"/>
      <c r="J39" s="159"/>
    </row>
    <row r="40" ht="18.0" customHeight="1">
      <c r="A40" s="160" t="s">
        <v>108</v>
      </c>
      <c r="B40" s="161" t="s">
        <v>109</v>
      </c>
      <c r="C40" s="161" t="s">
        <v>110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111</v>
      </c>
      <c r="B42" s="167" t="s">
        <v>112</v>
      </c>
      <c r="C42" s="167" t="s">
        <v>113</v>
      </c>
      <c r="D42" s="167" t="s">
        <v>114</v>
      </c>
      <c r="E42" s="168" t="s">
        <v>115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21</v>
      </c>
      <c r="C43" s="173">
        <f>+Monitoreo!C65</f>
        <v>12</v>
      </c>
      <c r="D43" s="173">
        <f>+Monitoreo!I65</f>
        <v>2</v>
      </c>
      <c r="E43" s="173">
        <f>+Monitoreo!P69</f>
        <v>4</v>
      </c>
      <c r="F43" s="173">
        <f>+Monitoreo!M65</f>
        <v>5</v>
      </c>
      <c r="G43" s="173">
        <f>+Monitoreo!M69</f>
        <v>0</v>
      </c>
      <c r="H43" s="174">
        <f>IFS(B22="","",B30=B22,"1",B30&gt;0,B30-B22,C35&gt;0,C35-B22,D38&gt;0,D38-B22,B22&gt;0,TODAY()-B22)</f>
        <v>13</v>
      </c>
      <c r="I43" s="175">
        <f>IFS(H22="","",H22=J22,"1",J22&gt;0,J22-H22,H22&gt;0,TODAY()-H22)</f>
        <v>30</v>
      </c>
      <c r="J43" s="176">
        <f>IFS(G4="","",G4=D38,"1",D38&gt;0,D38-G4,G4&gt;0,TODAY()-G4)</f>
        <v>30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56"/>
      <c r="M1" s="182"/>
      <c r="N1" s="182"/>
      <c r="P1" s="182"/>
      <c r="Q1" s="182"/>
      <c r="AB1" s="183"/>
      <c r="AC1" s="183"/>
      <c r="AD1" s="183"/>
      <c r="AE1" s="183"/>
    </row>
    <row r="2">
      <c r="A2" s="184" t="s">
        <v>122</v>
      </c>
      <c r="B2" s="185"/>
      <c r="C2" s="186"/>
      <c r="D2" s="186"/>
      <c r="E2" s="186" t="s">
        <v>0</v>
      </c>
      <c r="G2" s="181"/>
      <c r="H2" s="187" t="s">
        <v>123</v>
      </c>
      <c r="I2" s="188"/>
      <c r="J2" s="189">
        <f>+General!D6</f>
        <v>69</v>
      </c>
      <c r="M2" s="182"/>
      <c r="N2" s="182"/>
      <c r="P2" s="182"/>
      <c r="Q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56"/>
      <c r="M3" s="182"/>
      <c r="N3" s="182"/>
      <c r="P3" s="182"/>
      <c r="Q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102</v>
      </c>
      <c r="C5" s="194">
        <v>44192.0</v>
      </c>
      <c r="D5" s="194">
        <v>44193.0</v>
      </c>
      <c r="E5" s="194">
        <v>44194.0</v>
      </c>
      <c r="F5" s="194">
        <v>44195.0</v>
      </c>
      <c r="G5" s="194">
        <v>44196.0</v>
      </c>
      <c r="H5" s="194">
        <v>44197.0</v>
      </c>
      <c r="I5" s="195">
        <v>44198.0</v>
      </c>
      <c r="J5" s="194">
        <v>44199.0</v>
      </c>
      <c r="K5" s="194">
        <v>44200.0</v>
      </c>
      <c r="L5" s="194">
        <v>44201.0</v>
      </c>
      <c r="M5" s="194">
        <v>44202.0</v>
      </c>
      <c r="N5" s="194">
        <v>44203.0</v>
      </c>
      <c r="O5" s="194">
        <v>44205.0</v>
      </c>
      <c r="P5" s="195">
        <v>44206.0</v>
      </c>
      <c r="Q5" s="194">
        <v>44207.0</v>
      </c>
      <c r="R5" s="194">
        <v>44208.0</v>
      </c>
      <c r="S5" s="196">
        <v>44209.0</v>
      </c>
      <c r="T5" s="196">
        <v>44210.0</v>
      </c>
      <c r="U5" s="196">
        <v>44211.0</v>
      </c>
      <c r="V5" s="196">
        <v>44212.0</v>
      </c>
      <c r="W5" s="196">
        <v>44213.0</v>
      </c>
      <c r="X5" s="196">
        <v>44214.0</v>
      </c>
      <c r="Y5" s="196">
        <v>44215.0</v>
      </c>
      <c r="Z5" s="196">
        <v>44216.0</v>
      </c>
      <c r="AA5" s="197">
        <v>44218.0</v>
      </c>
      <c r="AB5" s="198">
        <v>44219.0</v>
      </c>
      <c r="AC5" s="199">
        <v>44222.0</v>
      </c>
      <c r="AD5" s="200"/>
      <c r="AE5" s="201"/>
    </row>
    <row r="6">
      <c r="A6" s="202"/>
      <c r="B6" s="203" t="s">
        <v>125</v>
      </c>
      <c r="C6" s="204"/>
      <c r="D6" s="205"/>
      <c r="E6" s="206"/>
      <c r="F6" s="207"/>
      <c r="G6" s="208"/>
      <c r="H6" s="209"/>
      <c r="I6" s="210"/>
      <c r="J6" s="211"/>
      <c r="K6" s="212"/>
      <c r="L6" s="205"/>
      <c r="M6" s="206"/>
      <c r="N6" s="207"/>
      <c r="O6" s="212"/>
      <c r="P6" s="213"/>
      <c r="Q6" s="206"/>
      <c r="R6" s="211"/>
      <c r="S6" s="214"/>
      <c r="T6" s="215"/>
      <c r="U6" s="216"/>
      <c r="V6" s="217">
        <v>62.0</v>
      </c>
      <c r="W6" s="218">
        <v>62.0</v>
      </c>
      <c r="X6" s="219">
        <v>73.0</v>
      </c>
      <c r="Y6" s="220">
        <v>71.0</v>
      </c>
      <c r="Z6" s="215"/>
      <c r="AA6" s="220">
        <v>78.0</v>
      </c>
      <c r="AB6" s="221">
        <v>64.0</v>
      </c>
      <c r="AC6" s="222">
        <v>71.0</v>
      </c>
      <c r="AD6" s="223"/>
      <c r="AE6" s="201"/>
    </row>
    <row r="7">
      <c r="A7" s="202"/>
      <c r="B7" s="224" t="s">
        <v>126</v>
      </c>
      <c r="C7" s="225"/>
      <c r="D7" s="226"/>
      <c r="E7" s="227"/>
      <c r="F7" s="228"/>
      <c r="G7" s="229"/>
      <c r="H7" s="230"/>
      <c r="I7" s="231"/>
      <c r="J7" s="232"/>
      <c r="K7" s="233"/>
      <c r="L7" s="226"/>
      <c r="M7" s="227"/>
      <c r="N7" s="228"/>
      <c r="O7" s="233"/>
      <c r="P7" s="234"/>
      <c r="Q7" s="227"/>
      <c r="R7" s="235"/>
      <c r="S7" s="236"/>
      <c r="T7" s="237"/>
      <c r="U7" s="238"/>
      <c r="V7" s="116">
        <v>137.0</v>
      </c>
      <c r="W7" s="239">
        <v>149.0</v>
      </c>
      <c r="X7" s="240">
        <v>136.0</v>
      </c>
      <c r="Y7" s="241">
        <v>165.0</v>
      </c>
      <c r="Z7" s="237"/>
      <c r="AA7" s="241">
        <v>137.0</v>
      </c>
      <c r="AB7" s="242">
        <v>146.0</v>
      </c>
      <c r="AC7" s="243">
        <v>138.0</v>
      </c>
      <c r="AD7" s="244"/>
      <c r="AE7" s="201"/>
    </row>
    <row r="8">
      <c r="A8" s="202"/>
      <c r="B8" s="224" t="s">
        <v>127</v>
      </c>
      <c r="C8" s="225"/>
      <c r="D8" s="245"/>
      <c r="E8" s="246"/>
      <c r="F8" s="228"/>
      <c r="G8" s="229"/>
      <c r="H8" s="230"/>
      <c r="I8" s="247"/>
      <c r="J8" s="235"/>
      <c r="K8" s="248"/>
      <c r="L8" s="230"/>
      <c r="M8" s="227"/>
      <c r="N8" s="228"/>
      <c r="O8" s="248"/>
      <c r="P8" s="234"/>
      <c r="Q8" s="227"/>
      <c r="R8" s="232"/>
      <c r="S8" s="236"/>
      <c r="T8" s="237"/>
      <c r="U8" s="238"/>
      <c r="V8" s="116">
        <v>61.0</v>
      </c>
      <c r="W8" s="239">
        <v>60.0</v>
      </c>
      <c r="X8" s="240">
        <v>63.0</v>
      </c>
      <c r="Y8" s="241">
        <v>72.0</v>
      </c>
      <c r="Z8" s="237"/>
      <c r="AA8" s="241">
        <v>59.0</v>
      </c>
      <c r="AB8" s="242">
        <v>75.0</v>
      </c>
      <c r="AC8" s="243">
        <v>63.0</v>
      </c>
      <c r="AD8" s="244"/>
      <c r="AE8" s="201"/>
    </row>
    <row r="9">
      <c r="A9" s="202"/>
      <c r="B9" s="249" t="s">
        <v>128</v>
      </c>
      <c r="C9" s="225"/>
      <c r="D9" s="245"/>
      <c r="E9" s="246"/>
      <c r="F9" s="228"/>
      <c r="G9" s="229"/>
      <c r="H9" s="230"/>
      <c r="I9" s="247"/>
      <c r="J9" s="235"/>
      <c r="K9" s="248"/>
      <c r="L9" s="230"/>
      <c r="M9" s="227"/>
      <c r="N9" s="228"/>
      <c r="O9" s="248"/>
      <c r="P9" s="234"/>
      <c r="Q9" s="227"/>
      <c r="R9" s="232"/>
      <c r="S9" s="236"/>
      <c r="T9" s="237"/>
      <c r="U9" s="238"/>
      <c r="V9" s="250"/>
      <c r="W9" s="236"/>
      <c r="X9" s="240" t="s">
        <v>129</v>
      </c>
      <c r="Y9" s="241" t="s">
        <v>129</v>
      </c>
      <c r="Z9" s="237"/>
      <c r="AA9" s="241" t="s">
        <v>130</v>
      </c>
      <c r="AB9" s="251"/>
      <c r="AC9" s="243" t="s">
        <v>131</v>
      </c>
      <c r="AD9" s="244"/>
      <c r="AE9" s="201"/>
    </row>
    <row r="10">
      <c r="A10" s="202"/>
      <c r="B10" s="249" t="s">
        <v>132</v>
      </c>
      <c r="C10" s="225"/>
      <c r="D10" s="252">
        <v>99.0</v>
      </c>
      <c r="E10" s="253">
        <v>100.0</v>
      </c>
      <c r="F10" s="254">
        <v>100.0</v>
      </c>
      <c r="G10" s="255">
        <v>100.0</v>
      </c>
      <c r="H10" s="256">
        <v>99.0</v>
      </c>
      <c r="I10" s="257">
        <v>95.0</v>
      </c>
      <c r="J10" s="258">
        <v>98.0</v>
      </c>
      <c r="K10" s="259">
        <v>96.0</v>
      </c>
      <c r="L10" s="252">
        <v>96.0</v>
      </c>
      <c r="M10" s="253">
        <v>97.0</v>
      </c>
      <c r="N10" s="254">
        <v>96.0</v>
      </c>
      <c r="O10" s="259">
        <v>96.0</v>
      </c>
      <c r="P10" s="260">
        <v>99.0</v>
      </c>
      <c r="Q10" s="253">
        <v>99.0</v>
      </c>
      <c r="R10" s="258">
        <v>97.0</v>
      </c>
      <c r="S10" s="239">
        <v>98.0</v>
      </c>
      <c r="T10" s="240">
        <v>96.0</v>
      </c>
      <c r="U10" s="241">
        <v>94.0</v>
      </c>
      <c r="V10" s="116">
        <v>95.0</v>
      </c>
      <c r="W10" s="239">
        <v>95.0</v>
      </c>
      <c r="X10" s="240">
        <v>96.0</v>
      </c>
      <c r="Y10" s="241">
        <v>94.0</v>
      </c>
      <c r="Z10" s="240">
        <v>98.0</v>
      </c>
      <c r="AA10" s="241">
        <v>97.0</v>
      </c>
      <c r="AB10" s="242">
        <v>95.0</v>
      </c>
      <c r="AC10" s="243">
        <v>96.0</v>
      </c>
      <c r="AD10" s="244"/>
      <c r="AE10" s="201"/>
    </row>
    <row r="11">
      <c r="A11" s="202"/>
      <c r="B11" s="261" t="s">
        <v>133</v>
      </c>
      <c r="C11" s="253"/>
      <c r="D11" s="226"/>
      <c r="E11" s="227"/>
      <c r="F11" s="228"/>
      <c r="G11" s="255">
        <v>0.0</v>
      </c>
      <c r="H11" s="230"/>
      <c r="I11" s="257"/>
      <c r="J11" s="232"/>
      <c r="K11" s="259" t="s">
        <v>134</v>
      </c>
      <c r="L11" s="252" t="s">
        <v>135</v>
      </c>
      <c r="M11" s="227"/>
      <c r="N11" s="254">
        <v>4.0</v>
      </c>
      <c r="O11" s="259" t="s">
        <v>136</v>
      </c>
      <c r="P11" s="234"/>
      <c r="Q11" s="227"/>
      <c r="R11" s="258">
        <v>2.0</v>
      </c>
      <c r="S11" s="239">
        <v>0.0</v>
      </c>
      <c r="T11" s="240">
        <v>0.0</v>
      </c>
      <c r="U11" s="241">
        <v>0.0</v>
      </c>
      <c r="V11" s="116">
        <v>0.0</v>
      </c>
      <c r="W11" s="239">
        <v>0.0</v>
      </c>
      <c r="X11" s="240">
        <v>0.0</v>
      </c>
      <c r="Y11" s="241" t="s">
        <v>136</v>
      </c>
      <c r="Z11" s="240" t="s">
        <v>136</v>
      </c>
      <c r="AA11" s="241" t="s">
        <v>136</v>
      </c>
      <c r="AB11" s="251"/>
      <c r="AC11" s="262"/>
      <c r="AD11" s="244"/>
      <c r="AE11" s="201"/>
    </row>
    <row r="12">
      <c r="A12" s="202"/>
      <c r="B12" s="263"/>
      <c r="C12" s="253" t="s">
        <v>137</v>
      </c>
      <c r="D12" s="259" t="s">
        <v>137</v>
      </c>
      <c r="E12" s="253" t="s">
        <v>137</v>
      </c>
      <c r="F12" s="259" t="s">
        <v>137</v>
      </c>
      <c r="G12" s="253" t="s">
        <v>137</v>
      </c>
      <c r="H12" s="259" t="s">
        <v>137</v>
      </c>
      <c r="I12" s="257" t="s">
        <v>137</v>
      </c>
      <c r="J12" s="259" t="s">
        <v>137</v>
      </c>
      <c r="K12" s="253" t="s">
        <v>137</v>
      </c>
      <c r="L12" s="259" t="s">
        <v>137</v>
      </c>
      <c r="M12" s="253" t="s">
        <v>137</v>
      </c>
      <c r="N12" s="259" t="s">
        <v>137</v>
      </c>
      <c r="O12" s="253" t="s">
        <v>137</v>
      </c>
      <c r="P12" s="264" t="s">
        <v>137</v>
      </c>
      <c r="Q12" s="253" t="s">
        <v>137</v>
      </c>
      <c r="R12" s="259"/>
      <c r="S12" s="253" t="s">
        <v>137</v>
      </c>
      <c r="T12" s="259" t="s">
        <v>137</v>
      </c>
      <c r="U12" s="253" t="s">
        <v>137</v>
      </c>
      <c r="V12" s="259" t="s">
        <v>137</v>
      </c>
      <c r="W12" s="253" t="s">
        <v>137</v>
      </c>
      <c r="X12" s="259"/>
      <c r="Y12" s="253" t="s">
        <v>137</v>
      </c>
      <c r="Z12" s="259"/>
      <c r="AA12" s="253"/>
      <c r="AB12" s="259"/>
      <c r="AC12" s="253"/>
      <c r="AD12" s="264"/>
      <c r="AE12" s="201"/>
    </row>
    <row r="13">
      <c r="A13" s="202"/>
      <c r="B13" s="261" t="s">
        <v>138</v>
      </c>
      <c r="C13" s="253">
        <v>-5.0</v>
      </c>
      <c r="D13" s="252">
        <v>-5.0</v>
      </c>
      <c r="E13" s="253">
        <v>-5.0</v>
      </c>
      <c r="F13" s="258">
        <v>-5.0</v>
      </c>
      <c r="G13" s="259">
        <v>-3.0</v>
      </c>
      <c r="H13" s="252">
        <v>-4.0</v>
      </c>
      <c r="I13" s="257">
        <v>-4.0</v>
      </c>
      <c r="J13" s="258">
        <v>-4.0</v>
      </c>
      <c r="K13" s="259">
        <v>-1.0</v>
      </c>
      <c r="L13" s="252">
        <v>-1.0</v>
      </c>
      <c r="M13" s="253">
        <v>-4.0</v>
      </c>
      <c r="N13" s="258">
        <v>-1.0</v>
      </c>
      <c r="O13" s="259">
        <v>0.0</v>
      </c>
      <c r="P13" s="260">
        <v>-4.0</v>
      </c>
      <c r="Q13" s="253">
        <v>-3.0</v>
      </c>
      <c r="R13" s="258">
        <v>-3.0</v>
      </c>
      <c r="S13" s="239">
        <v>-2.0</v>
      </c>
      <c r="T13" s="240">
        <v>-1.0</v>
      </c>
      <c r="U13" s="241">
        <v>-1.0</v>
      </c>
      <c r="V13" s="116">
        <v>-4.0</v>
      </c>
      <c r="W13" s="239">
        <v>0.0</v>
      </c>
      <c r="X13" s="240">
        <v>0.0</v>
      </c>
      <c r="Y13" s="241">
        <v>0.0</v>
      </c>
      <c r="Z13" s="240">
        <v>0.0</v>
      </c>
      <c r="AA13" s="241">
        <v>0.0</v>
      </c>
      <c r="AB13" s="242">
        <v>-1.0</v>
      </c>
      <c r="AC13" s="243">
        <v>0.0</v>
      </c>
      <c r="AD13" s="244"/>
      <c r="AE13" s="201"/>
    </row>
    <row r="14">
      <c r="A14" s="202"/>
      <c r="B14" s="263"/>
      <c r="C14" s="253" t="s">
        <v>139</v>
      </c>
      <c r="D14" s="259" t="s">
        <v>139</v>
      </c>
      <c r="E14" s="253" t="s">
        <v>139</v>
      </c>
      <c r="F14" s="259" t="s">
        <v>139</v>
      </c>
      <c r="G14" s="253" t="s">
        <v>140</v>
      </c>
      <c r="H14" s="259" t="s">
        <v>140</v>
      </c>
      <c r="I14" s="257" t="s">
        <v>140</v>
      </c>
      <c r="J14" s="259"/>
      <c r="K14" s="253"/>
      <c r="L14" s="259"/>
      <c r="M14" s="253"/>
      <c r="N14" s="259"/>
      <c r="O14" s="253"/>
      <c r="P14" s="264" t="s">
        <v>139</v>
      </c>
      <c r="Q14" s="253" t="s">
        <v>139</v>
      </c>
      <c r="R14" s="259" t="s">
        <v>139</v>
      </c>
      <c r="S14" s="253" t="s">
        <v>139</v>
      </c>
      <c r="T14" s="259" t="s">
        <v>139</v>
      </c>
      <c r="U14" s="253"/>
      <c r="V14" s="259"/>
      <c r="W14" s="253"/>
      <c r="X14" s="259"/>
      <c r="Y14" s="253"/>
      <c r="Z14" s="259"/>
      <c r="AA14" s="253"/>
      <c r="AB14" s="259"/>
      <c r="AC14" s="253"/>
      <c r="AD14" s="265"/>
      <c r="AE14" s="201"/>
    </row>
    <row r="15">
      <c r="A15" s="202"/>
      <c r="B15" s="266" t="s">
        <v>141</v>
      </c>
      <c r="C15" s="253" t="s">
        <v>142</v>
      </c>
      <c r="D15" s="259" t="s">
        <v>142</v>
      </c>
      <c r="E15" s="253" t="s">
        <v>142</v>
      </c>
      <c r="F15" s="259" t="s">
        <v>142</v>
      </c>
      <c r="G15" s="253" t="s">
        <v>142</v>
      </c>
      <c r="H15" s="259" t="s">
        <v>142</v>
      </c>
      <c r="I15" s="257" t="s">
        <v>142</v>
      </c>
      <c r="J15" s="259"/>
      <c r="K15" s="253" t="s">
        <v>143</v>
      </c>
      <c r="L15" s="267"/>
      <c r="M15" s="253" t="s">
        <v>142</v>
      </c>
      <c r="N15" s="259" t="s">
        <v>142</v>
      </c>
      <c r="O15" s="253" t="s">
        <v>143</v>
      </c>
      <c r="P15" s="268"/>
      <c r="Q15" s="269"/>
      <c r="R15" s="259" t="s">
        <v>143</v>
      </c>
      <c r="S15" s="253" t="s">
        <v>142</v>
      </c>
      <c r="T15" s="259" t="s">
        <v>143</v>
      </c>
      <c r="U15" s="269"/>
      <c r="V15" s="259" t="s">
        <v>142</v>
      </c>
      <c r="W15" s="269"/>
      <c r="X15" s="267"/>
      <c r="Y15" s="269"/>
      <c r="Z15" s="270"/>
      <c r="AA15" s="269"/>
      <c r="AB15" s="258" t="s">
        <v>143</v>
      </c>
      <c r="AC15" s="267"/>
      <c r="AD15" s="271"/>
      <c r="AE15" s="201"/>
    </row>
    <row r="16">
      <c r="A16" s="202"/>
      <c r="C16" s="253"/>
      <c r="D16" s="267"/>
      <c r="E16" s="253"/>
      <c r="F16" s="267"/>
      <c r="G16" s="253"/>
      <c r="H16" s="267"/>
      <c r="I16" s="272"/>
      <c r="J16" s="267"/>
      <c r="K16" s="269"/>
      <c r="L16" s="267"/>
      <c r="M16" s="269"/>
      <c r="N16" s="267"/>
      <c r="O16" s="269"/>
      <c r="P16" s="268"/>
      <c r="Q16" s="269"/>
      <c r="R16" s="267"/>
      <c r="S16" s="269"/>
      <c r="T16" s="267"/>
      <c r="U16" s="269"/>
      <c r="V16" s="267"/>
      <c r="W16" s="269"/>
      <c r="X16" s="267"/>
      <c r="Y16" s="269"/>
      <c r="Z16" s="267"/>
      <c r="AA16" s="269"/>
      <c r="AB16" s="259"/>
      <c r="AC16" s="269"/>
      <c r="AD16" s="273"/>
      <c r="AE16" s="201"/>
    </row>
    <row r="17" ht="15.75" customHeight="1">
      <c r="A17" s="202"/>
      <c r="B17" s="274" t="s">
        <v>144</v>
      </c>
      <c r="C17" s="253"/>
      <c r="D17" s="252"/>
      <c r="E17" s="253"/>
      <c r="F17" s="232"/>
      <c r="G17" s="259"/>
      <c r="H17" s="226"/>
      <c r="I17" s="231"/>
      <c r="J17" s="258"/>
      <c r="K17" s="259"/>
      <c r="L17" s="226"/>
      <c r="M17" s="227"/>
      <c r="N17" s="232"/>
      <c r="O17" s="233"/>
      <c r="P17" s="234"/>
      <c r="Q17" s="227"/>
      <c r="R17" s="232"/>
      <c r="S17" s="236"/>
      <c r="T17" s="237"/>
      <c r="U17" s="238"/>
      <c r="V17" s="250"/>
      <c r="W17" s="236"/>
      <c r="X17" s="237"/>
      <c r="Y17" s="238"/>
      <c r="Z17" s="237"/>
      <c r="AA17" s="238"/>
      <c r="AB17" s="251"/>
      <c r="AC17" s="262"/>
      <c r="AD17" s="244"/>
      <c r="AE17" s="201"/>
    </row>
    <row r="18">
      <c r="A18" s="202"/>
      <c r="B18" s="275"/>
      <c r="C18" s="253" t="s">
        <v>145</v>
      </c>
      <c r="D18" s="259" t="s">
        <v>145</v>
      </c>
      <c r="E18" s="253" t="s">
        <v>145</v>
      </c>
      <c r="F18" s="276" t="s">
        <v>145</v>
      </c>
      <c r="G18" s="253"/>
      <c r="H18" s="276"/>
      <c r="I18" s="257"/>
      <c r="J18" s="276"/>
      <c r="K18" s="253"/>
      <c r="L18" s="276"/>
      <c r="M18" s="253"/>
      <c r="N18" s="276"/>
      <c r="O18" s="253"/>
      <c r="P18" s="265"/>
      <c r="Q18" s="253"/>
      <c r="R18" s="276"/>
      <c r="S18" s="253"/>
      <c r="T18" s="276"/>
      <c r="U18" s="253"/>
      <c r="V18" s="276"/>
      <c r="W18" s="253"/>
      <c r="X18" s="276"/>
      <c r="Y18" s="253"/>
      <c r="Z18" s="276"/>
      <c r="AA18" s="253"/>
      <c r="AB18" s="276"/>
      <c r="AC18" s="253"/>
      <c r="AD18" s="265"/>
      <c r="AE18" s="201"/>
    </row>
    <row r="19">
      <c r="A19" s="277"/>
      <c r="B19" s="278" t="s">
        <v>114</v>
      </c>
      <c r="C19" s="279"/>
      <c r="D19" s="280"/>
      <c r="E19" s="279"/>
      <c r="F19" s="280"/>
      <c r="G19" s="279"/>
      <c r="H19" s="280"/>
      <c r="I19" s="281"/>
      <c r="J19" s="280"/>
      <c r="K19" s="279" t="s">
        <v>146</v>
      </c>
      <c r="L19" s="280" t="s">
        <v>146</v>
      </c>
      <c r="M19" s="279"/>
      <c r="N19" s="280"/>
      <c r="O19" s="279"/>
      <c r="P19" s="282"/>
      <c r="Q19" s="279"/>
      <c r="R19" s="280"/>
      <c r="S19" s="279"/>
      <c r="T19" s="280"/>
      <c r="U19" s="279"/>
      <c r="V19" s="280"/>
      <c r="W19" s="279"/>
      <c r="X19" s="280"/>
      <c r="Y19" s="279"/>
      <c r="Z19" s="280"/>
      <c r="AA19" s="279"/>
      <c r="AB19" s="280"/>
      <c r="AC19" s="279"/>
      <c r="AD19" s="282"/>
      <c r="AE19" s="201"/>
    </row>
    <row r="20">
      <c r="A20" s="283" t="s">
        <v>147</v>
      </c>
      <c r="B20" s="284" t="s">
        <v>148</v>
      </c>
      <c r="C20" s="285">
        <v>7.36</v>
      </c>
      <c r="D20" s="286">
        <v>7.3</v>
      </c>
      <c r="E20" s="285">
        <v>7.28</v>
      </c>
      <c r="F20" s="217">
        <v>7.29</v>
      </c>
      <c r="G20" s="218">
        <v>7.3</v>
      </c>
      <c r="H20" s="219">
        <v>7.3</v>
      </c>
      <c r="I20" s="287">
        <v>7.39</v>
      </c>
      <c r="J20" s="217">
        <v>7.38</v>
      </c>
      <c r="K20" s="218">
        <v>7.44</v>
      </c>
      <c r="L20" s="219">
        <v>7.46</v>
      </c>
      <c r="M20" s="220">
        <v>7.42</v>
      </c>
      <c r="N20" s="217">
        <v>7.47</v>
      </c>
      <c r="O20" s="218">
        <v>7.42</v>
      </c>
      <c r="P20" s="288">
        <v>7.36</v>
      </c>
      <c r="Q20" s="206"/>
      <c r="R20" s="289">
        <v>7.4</v>
      </c>
      <c r="S20" s="214"/>
      <c r="T20" s="215"/>
      <c r="U20" s="220">
        <v>7.3</v>
      </c>
      <c r="V20" s="290"/>
      <c r="W20" s="218">
        <v>7.42</v>
      </c>
      <c r="X20" s="219">
        <v>7.4</v>
      </c>
      <c r="Y20" s="216"/>
      <c r="Z20" s="217">
        <v>7.44</v>
      </c>
      <c r="AA20" s="291"/>
      <c r="AB20" s="292"/>
      <c r="AC20" s="293"/>
      <c r="AD20" s="294"/>
      <c r="AE20" s="201"/>
    </row>
    <row r="21">
      <c r="A21" s="295"/>
      <c r="B21" s="296" t="s">
        <v>149</v>
      </c>
      <c r="C21" s="253">
        <v>39.0</v>
      </c>
      <c r="D21" s="297">
        <v>45.0</v>
      </c>
      <c r="E21" s="253">
        <v>47.9</v>
      </c>
      <c r="F21" s="116">
        <v>47.0</v>
      </c>
      <c r="G21" s="239">
        <v>46.6</v>
      </c>
      <c r="H21" s="240">
        <v>43.0</v>
      </c>
      <c r="I21" s="298">
        <v>38.0</v>
      </c>
      <c r="J21" s="116">
        <v>44.0</v>
      </c>
      <c r="K21" s="239">
        <v>39.9</v>
      </c>
      <c r="L21" s="240">
        <v>38.0</v>
      </c>
      <c r="M21" s="241">
        <v>43.8</v>
      </c>
      <c r="N21" s="116">
        <v>39.3</v>
      </c>
      <c r="O21" s="239">
        <v>41.6</v>
      </c>
      <c r="P21" s="260">
        <v>50.0</v>
      </c>
      <c r="Q21" s="227"/>
      <c r="R21" s="258">
        <v>45.2</v>
      </c>
      <c r="S21" s="236"/>
      <c r="T21" s="237"/>
      <c r="U21" s="241">
        <v>34.0</v>
      </c>
      <c r="V21" s="250"/>
      <c r="W21" s="239">
        <v>44.0</v>
      </c>
      <c r="X21" s="240">
        <v>45.7</v>
      </c>
      <c r="Y21" s="238"/>
      <c r="Z21" s="116">
        <v>47.2</v>
      </c>
      <c r="AA21" s="299"/>
      <c r="AB21" s="242"/>
      <c r="AC21" s="300"/>
      <c r="AD21" s="244"/>
      <c r="AE21" s="201"/>
    </row>
    <row r="22" ht="15.75" customHeight="1">
      <c r="A22" s="295"/>
      <c r="B22" s="296" t="s">
        <v>150</v>
      </c>
      <c r="C22" s="253">
        <v>81.0</v>
      </c>
      <c r="D22" s="297">
        <v>103.0</v>
      </c>
      <c r="E22" s="253">
        <v>111.2</v>
      </c>
      <c r="F22" s="116">
        <v>155.1</v>
      </c>
      <c r="G22" s="239">
        <v>77.8</v>
      </c>
      <c r="H22" s="240">
        <v>94.0</v>
      </c>
      <c r="I22" s="298">
        <v>157.0</v>
      </c>
      <c r="J22" s="116">
        <v>93.0</v>
      </c>
      <c r="K22" s="239">
        <v>124.7</v>
      </c>
      <c r="L22" s="240">
        <v>166.8</v>
      </c>
      <c r="M22" s="241">
        <v>72.4</v>
      </c>
      <c r="N22" s="116">
        <v>104.4</v>
      </c>
      <c r="O22" s="239">
        <v>82.9</v>
      </c>
      <c r="P22" s="260">
        <v>56.0</v>
      </c>
      <c r="Q22" s="227"/>
      <c r="R22" s="258">
        <v>91.9</v>
      </c>
      <c r="S22" s="236"/>
      <c r="T22" s="237"/>
      <c r="U22" s="241">
        <v>63.0</v>
      </c>
      <c r="V22" s="250"/>
      <c r="W22" s="239">
        <v>63.7</v>
      </c>
      <c r="X22" s="240">
        <v>138.0</v>
      </c>
      <c r="Y22" s="238"/>
      <c r="Z22" s="116">
        <v>144.0</v>
      </c>
      <c r="AA22" s="299"/>
      <c r="AB22" s="242"/>
      <c r="AC22" s="300"/>
      <c r="AD22" s="244"/>
      <c r="AE22" s="201"/>
    </row>
    <row r="23" ht="15.75" customHeight="1">
      <c r="A23" s="295"/>
      <c r="B23" s="296" t="s">
        <v>151</v>
      </c>
      <c r="C23" s="253">
        <v>21.7</v>
      </c>
      <c r="D23" s="297">
        <v>21.0</v>
      </c>
      <c r="E23" s="253">
        <v>22.2</v>
      </c>
      <c r="F23" s="116">
        <v>22.5</v>
      </c>
      <c r="G23" s="239">
        <v>22.4</v>
      </c>
      <c r="H23" s="240">
        <v>21.1</v>
      </c>
      <c r="I23" s="298">
        <v>23.0</v>
      </c>
      <c r="J23" s="116">
        <v>26.0</v>
      </c>
      <c r="K23" s="239">
        <v>27.0</v>
      </c>
      <c r="L23" s="240">
        <v>27.0</v>
      </c>
      <c r="M23" s="241">
        <v>28.3</v>
      </c>
      <c r="N23" s="116">
        <v>28.1</v>
      </c>
      <c r="O23" s="239">
        <v>26.7</v>
      </c>
      <c r="P23" s="260">
        <v>28.3</v>
      </c>
      <c r="Q23" s="227"/>
      <c r="R23" s="258">
        <v>27.5</v>
      </c>
      <c r="S23" s="236"/>
      <c r="T23" s="237"/>
      <c r="U23" s="241">
        <v>25.0</v>
      </c>
      <c r="V23" s="250"/>
      <c r="W23" s="239">
        <v>27.9</v>
      </c>
      <c r="X23" s="240">
        <v>27.8</v>
      </c>
      <c r="Y23" s="238"/>
      <c r="Z23" s="116">
        <v>28.0</v>
      </c>
      <c r="AA23" s="299"/>
      <c r="AB23" s="242"/>
      <c r="AC23" s="300"/>
      <c r="AD23" s="244"/>
      <c r="AE23" s="201"/>
    </row>
    <row r="24" ht="15.75" customHeight="1">
      <c r="A24" s="295"/>
      <c r="B24" s="296" t="s">
        <v>152</v>
      </c>
      <c r="C24" s="253">
        <v>-3.3</v>
      </c>
      <c r="D24" s="297">
        <v>-4.6</v>
      </c>
      <c r="E24" s="253">
        <v>-4.8</v>
      </c>
      <c r="F24" s="116">
        <v>-4.2</v>
      </c>
      <c r="G24" s="239">
        <v>-4.0</v>
      </c>
      <c r="H24" s="240">
        <v>-4.7</v>
      </c>
      <c r="I24" s="298">
        <v>-2.0</v>
      </c>
      <c r="J24" s="116">
        <v>0.5</v>
      </c>
      <c r="K24" s="239">
        <v>2.8</v>
      </c>
      <c r="L24" s="240">
        <v>3.4</v>
      </c>
      <c r="M24" s="241">
        <v>3.4</v>
      </c>
      <c r="N24" s="250"/>
      <c r="O24" s="239">
        <v>2.1</v>
      </c>
      <c r="P24" s="260">
        <v>2.4</v>
      </c>
      <c r="Q24" s="227"/>
      <c r="R24" s="258">
        <v>2.2</v>
      </c>
      <c r="S24" s="236"/>
      <c r="T24" s="237"/>
      <c r="U24" s="241">
        <v>2.6</v>
      </c>
      <c r="V24" s="250"/>
      <c r="W24" s="239">
        <v>2.0</v>
      </c>
      <c r="X24" s="240">
        <v>2.5</v>
      </c>
      <c r="Y24" s="238"/>
      <c r="Z24" s="116">
        <v>3.5</v>
      </c>
      <c r="AA24" s="299"/>
      <c r="AB24" s="242"/>
      <c r="AC24" s="300"/>
      <c r="AD24" s="244"/>
      <c r="AE24" s="201"/>
    </row>
    <row r="25" ht="15.75" customHeight="1">
      <c r="A25" s="295"/>
      <c r="B25" s="301" t="s">
        <v>153</v>
      </c>
      <c r="C25" s="253">
        <v>21.7</v>
      </c>
      <c r="D25" s="297">
        <v>97.0</v>
      </c>
      <c r="E25" s="253">
        <v>97.2</v>
      </c>
      <c r="F25" s="116">
        <v>99.1</v>
      </c>
      <c r="G25" s="239">
        <v>93.7</v>
      </c>
      <c r="H25" s="240">
        <v>96.2</v>
      </c>
      <c r="I25" s="298">
        <v>99.0</v>
      </c>
      <c r="J25" s="116">
        <v>97.0</v>
      </c>
      <c r="K25" s="239">
        <v>99.0</v>
      </c>
      <c r="L25" s="240">
        <v>99.6</v>
      </c>
      <c r="M25" s="241">
        <v>94.0</v>
      </c>
      <c r="N25" s="116">
        <v>99.4</v>
      </c>
      <c r="O25" s="239">
        <v>96.5</v>
      </c>
      <c r="P25" s="260">
        <v>87.9</v>
      </c>
      <c r="Q25" s="227"/>
      <c r="R25" s="258">
        <v>97.1</v>
      </c>
      <c r="S25" s="236"/>
      <c r="T25" s="237"/>
      <c r="U25" s="241">
        <v>94.0</v>
      </c>
      <c r="V25" s="250"/>
      <c r="W25" s="239">
        <v>92.0</v>
      </c>
      <c r="X25" s="240">
        <v>99.0</v>
      </c>
      <c r="Y25" s="238"/>
      <c r="Z25" s="116">
        <v>99.0</v>
      </c>
      <c r="AA25" s="299"/>
      <c r="AB25" s="251"/>
      <c r="AC25" s="300"/>
      <c r="AD25" s="244"/>
      <c r="AE25" s="201"/>
    </row>
    <row r="26" ht="15.75" customHeight="1">
      <c r="A26" s="295"/>
      <c r="B26" s="296" t="s">
        <v>154</v>
      </c>
      <c r="C26" s="238"/>
      <c r="D26" s="237"/>
      <c r="E26" s="238"/>
      <c r="F26" s="250"/>
      <c r="G26" s="236"/>
      <c r="H26" s="237"/>
      <c r="I26" s="302"/>
      <c r="J26" s="250"/>
      <c r="K26" s="236"/>
      <c r="L26" s="237"/>
      <c r="M26" s="238"/>
      <c r="N26" s="250"/>
      <c r="O26" s="236"/>
      <c r="P26" s="234"/>
      <c r="Q26" s="227"/>
      <c r="R26" s="232"/>
      <c r="S26" s="236"/>
      <c r="T26" s="237"/>
      <c r="U26" s="238"/>
      <c r="V26" s="250"/>
      <c r="W26" s="236"/>
      <c r="X26" s="237"/>
      <c r="Y26" s="238"/>
      <c r="Z26" s="250"/>
      <c r="AA26" s="299"/>
      <c r="AB26" s="251"/>
      <c r="AC26" s="300"/>
      <c r="AD26" s="244"/>
      <c r="AE26" s="201"/>
    </row>
    <row r="27" ht="15.75" customHeight="1">
      <c r="A27" s="295"/>
      <c r="B27" s="303" t="s">
        <v>155</v>
      </c>
      <c r="C27" s="304">
        <v>0.6</v>
      </c>
      <c r="D27" s="305">
        <v>0.35</v>
      </c>
      <c r="E27" s="304">
        <v>0.3</v>
      </c>
      <c r="F27" s="306">
        <v>0.4</v>
      </c>
      <c r="G27" s="307">
        <v>0.4</v>
      </c>
      <c r="H27" s="305">
        <v>0.8</v>
      </c>
      <c r="I27" s="308">
        <v>0.4</v>
      </c>
      <c r="J27" s="306">
        <v>0.4</v>
      </c>
      <c r="K27" s="307">
        <v>0.4</v>
      </c>
      <c r="L27" s="305">
        <v>0.55</v>
      </c>
      <c r="M27" s="304">
        <v>0.6</v>
      </c>
      <c r="N27" s="306">
        <v>0.5</v>
      </c>
      <c r="O27" s="307">
        <v>0.35</v>
      </c>
      <c r="P27" s="309">
        <v>0.5</v>
      </c>
      <c r="Q27" s="304"/>
      <c r="R27" s="306">
        <v>0.4</v>
      </c>
      <c r="S27" s="307"/>
      <c r="T27" s="305"/>
      <c r="U27" s="304">
        <v>0.35</v>
      </c>
      <c r="V27" s="306"/>
      <c r="W27" s="307">
        <v>0.4</v>
      </c>
      <c r="X27" s="305">
        <v>0.4</v>
      </c>
      <c r="Y27" s="304"/>
      <c r="Z27" s="306">
        <v>0.35</v>
      </c>
      <c r="AA27" s="310"/>
      <c r="AB27" s="311"/>
      <c r="AC27" s="312"/>
      <c r="AD27" s="313"/>
      <c r="AE27" s="314"/>
    </row>
    <row r="28" ht="15.75" customHeight="1">
      <c r="A28" s="315"/>
      <c r="B28" s="316" t="s">
        <v>156</v>
      </c>
      <c r="C28" s="317">
        <f t="shared" ref="C28:H28" si="1">IF(AND(C22&gt;0,C27&gt;0),C22/C27,"")</f>
        <v>135</v>
      </c>
      <c r="D28" s="318">
        <f t="shared" si="1"/>
        <v>294.2857143</v>
      </c>
      <c r="E28" s="317">
        <f t="shared" si="1"/>
        <v>370.6666667</v>
      </c>
      <c r="F28" s="319">
        <f t="shared" si="1"/>
        <v>387.75</v>
      </c>
      <c r="G28" s="320">
        <f t="shared" si="1"/>
        <v>194.5</v>
      </c>
      <c r="H28" s="318">
        <f t="shared" si="1"/>
        <v>117.5</v>
      </c>
      <c r="I28" s="321">
        <v>392.0</v>
      </c>
      <c r="J28" s="319">
        <f t="shared" ref="J28:AD28" si="2">IF(AND(J22&gt;0,J27&gt;0),J22/J27,"")</f>
        <v>232.5</v>
      </c>
      <c r="K28" s="320">
        <f t="shared" si="2"/>
        <v>311.75</v>
      </c>
      <c r="L28" s="318">
        <f t="shared" si="2"/>
        <v>303.2727273</v>
      </c>
      <c r="M28" s="317">
        <f t="shared" si="2"/>
        <v>120.6666667</v>
      </c>
      <c r="N28" s="319">
        <f t="shared" si="2"/>
        <v>208.8</v>
      </c>
      <c r="O28" s="320">
        <f t="shared" si="2"/>
        <v>236.8571429</v>
      </c>
      <c r="P28" s="318">
        <f t="shared" si="2"/>
        <v>112</v>
      </c>
      <c r="Q28" s="317" t="str">
        <f t="shared" si="2"/>
        <v/>
      </c>
      <c r="R28" s="319">
        <f t="shared" si="2"/>
        <v>229.75</v>
      </c>
      <c r="S28" s="320" t="str">
        <f t="shared" si="2"/>
        <v/>
      </c>
      <c r="T28" s="318" t="str">
        <f t="shared" si="2"/>
        <v/>
      </c>
      <c r="U28" s="317">
        <f t="shared" si="2"/>
        <v>180</v>
      </c>
      <c r="V28" s="319" t="str">
        <f t="shared" si="2"/>
        <v/>
      </c>
      <c r="W28" s="320">
        <f t="shared" si="2"/>
        <v>159.25</v>
      </c>
      <c r="X28" s="318">
        <f t="shared" si="2"/>
        <v>345</v>
      </c>
      <c r="Y28" s="317" t="str">
        <f t="shared" si="2"/>
        <v/>
      </c>
      <c r="Z28" s="319">
        <f t="shared" si="2"/>
        <v>411.4285714</v>
      </c>
      <c r="AA28" s="322" t="str">
        <f t="shared" si="2"/>
        <v/>
      </c>
      <c r="AB28" s="323" t="str">
        <f t="shared" si="2"/>
        <v/>
      </c>
      <c r="AC28" s="324" t="str">
        <f t="shared" si="2"/>
        <v/>
      </c>
      <c r="AD28" s="323" t="str">
        <f t="shared" si="2"/>
        <v/>
      </c>
      <c r="AE28" s="325"/>
    </row>
    <row r="29" ht="15.75" customHeight="1">
      <c r="A29" s="283" t="s">
        <v>157</v>
      </c>
      <c r="B29" s="284" t="s">
        <v>158</v>
      </c>
      <c r="C29" s="285" t="s">
        <v>159</v>
      </c>
      <c r="D29" s="326" t="s">
        <v>159</v>
      </c>
      <c r="E29" s="285" t="s">
        <v>159</v>
      </c>
      <c r="F29" s="326" t="s">
        <v>159</v>
      </c>
      <c r="G29" s="285" t="s">
        <v>160</v>
      </c>
      <c r="H29" s="326" t="s">
        <v>160</v>
      </c>
      <c r="I29" s="327" t="s">
        <v>160</v>
      </c>
      <c r="J29" s="326" t="s">
        <v>160</v>
      </c>
      <c r="K29" s="285" t="s">
        <v>160</v>
      </c>
      <c r="L29" s="326" t="s">
        <v>160</v>
      </c>
      <c r="M29" s="285" t="s">
        <v>160</v>
      </c>
      <c r="N29" s="326" t="s">
        <v>161</v>
      </c>
      <c r="O29" s="285" t="s">
        <v>160</v>
      </c>
      <c r="P29" s="328" t="s">
        <v>160</v>
      </c>
      <c r="Q29" s="285" t="s">
        <v>160</v>
      </c>
      <c r="R29" s="326" t="s">
        <v>160</v>
      </c>
      <c r="S29" s="285" t="s">
        <v>160</v>
      </c>
      <c r="T29" s="326" t="s">
        <v>160</v>
      </c>
      <c r="U29" s="285" t="s">
        <v>160</v>
      </c>
      <c r="V29" s="326" t="s">
        <v>160</v>
      </c>
      <c r="W29" s="285" t="s">
        <v>161</v>
      </c>
      <c r="X29" s="326" t="s">
        <v>65</v>
      </c>
      <c r="Y29" s="285" t="s">
        <v>162</v>
      </c>
      <c r="Z29" s="326" t="s">
        <v>161</v>
      </c>
      <c r="AA29" s="285" t="s">
        <v>162</v>
      </c>
      <c r="AB29" s="329" t="s">
        <v>160</v>
      </c>
      <c r="AC29" s="285" t="s">
        <v>160</v>
      </c>
      <c r="AD29" s="330"/>
      <c r="AE29" s="201"/>
    </row>
    <row r="30" ht="15.75" customHeight="1">
      <c r="A30" s="295"/>
      <c r="B30" s="296" t="s">
        <v>163</v>
      </c>
      <c r="C30" s="253">
        <v>490.0</v>
      </c>
      <c r="D30" s="252">
        <v>430.0</v>
      </c>
      <c r="E30" s="253">
        <v>430.0</v>
      </c>
      <c r="F30" s="254">
        <v>430.0</v>
      </c>
      <c r="G30" s="255">
        <v>14.0</v>
      </c>
      <c r="H30" s="297">
        <v>16.0</v>
      </c>
      <c r="I30" s="257">
        <v>12.0</v>
      </c>
      <c r="J30" s="258">
        <v>14.0</v>
      </c>
      <c r="K30" s="259">
        <v>14.0</v>
      </c>
      <c r="L30" s="252">
        <v>16.0</v>
      </c>
      <c r="M30" s="253">
        <v>16.0</v>
      </c>
      <c r="N30" s="254">
        <v>6.0</v>
      </c>
      <c r="O30" s="259">
        <v>16.0</v>
      </c>
      <c r="P30" s="260">
        <v>16.0</v>
      </c>
      <c r="Q30" s="253">
        <v>16.0</v>
      </c>
      <c r="R30" s="258">
        <v>14.0</v>
      </c>
      <c r="S30" s="239">
        <v>14.0</v>
      </c>
      <c r="T30" s="240">
        <v>14.0</v>
      </c>
      <c r="U30" s="241">
        <v>15.0</v>
      </c>
      <c r="V30" s="116">
        <v>16.0</v>
      </c>
      <c r="W30" s="239">
        <v>8.0</v>
      </c>
      <c r="X30" s="237"/>
      <c r="Y30" s="241"/>
      <c r="Z30" s="116">
        <v>7.0</v>
      </c>
      <c r="AA30" s="299"/>
      <c r="AB30" s="331">
        <v>14.0</v>
      </c>
      <c r="AC30" s="332">
        <v>14.0</v>
      </c>
      <c r="AD30" s="244"/>
      <c r="AE30" s="201"/>
    </row>
    <row r="31" ht="15.75" customHeight="1">
      <c r="A31" s="295"/>
      <c r="B31" s="296" t="s">
        <v>164</v>
      </c>
      <c r="C31" s="253">
        <v>20.0</v>
      </c>
      <c r="D31" s="252">
        <v>26.0</v>
      </c>
      <c r="E31" s="253">
        <v>26.0</v>
      </c>
      <c r="F31" s="254">
        <v>24.0</v>
      </c>
      <c r="G31" s="255">
        <v>14.0</v>
      </c>
      <c r="H31" s="297">
        <v>18.0</v>
      </c>
      <c r="I31" s="257">
        <v>15.0</v>
      </c>
      <c r="J31" s="258">
        <v>12.0</v>
      </c>
      <c r="K31" s="259">
        <v>8.0</v>
      </c>
      <c r="L31" s="252">
        <v>14.0</v>
      </c>
      <c r="M31" s="253">
        <v>20.0</v>
      </c>
      <c r="N31" s="228"/>
      <c r="O31" s="333">
        <v>14.0</v>
      </c>
      <c r="P31" s="260">
        <v>14.0</v>
      </c>
      <c r="Q31" s="253">
        <v>14.0</v>
      </c>
      <c r="R31" s="258">
        <v>14.0</v>
      </c>
      <c r="S31" s="239">
        <v>14.0</v>
      </c>
      <c r="T31" s="240">
        <v>14.0</v>
      </c>
      <c r="U31" s="241">
        <v>14.0</v>
      </c>
      <c r="V31" s="116">
        <v>15.0</v>
      </c>
      <c r="W31" s="236"/>
      <c r="X31" s="237"/>
      <c r="Y31" s="241"/>
      <c r="Z31" s="250"/>
      <c r="AA31" s="299"/>
      <c r="AB31" s="331">
        <v>14.0</v>
      </c>
      <c r="AC31" s="332">
        <v>14.0</v>
      </c>
      <c r="AD31" s="244"/>
      <c r="AE31" s="201"/>
    </row>
    <row r="32" ht="15.75" customHeight="1">
      <c r="A32" s="295"/>
      <c r="B32" s="296" t="s">
        <v>165</v>
      </c>
      <c r="C32" s="253">
        <v>12.0</v>
      </c>
      <c r="D32" s="252">
        <v>12.0</v>
      </c>
      <c r="E32" s="253">
        <v>12.0</v>
      </c>
      <c r="F32" s="254">
        <v>12.0</v>
      </c>
      <c r="G32" s="255">
        <v>10.0</v>
      </c>
      <c r="H32" s="297">
        <v>10.0</v>
      </c>
      <c r="I32" s="257">
        <v>10.0</v>
      </c>
      <c r="J32" s="258">
        <v>10.0</v>
      </c>
      <c r="K32" s="259">
        <v>14.0</v>
      </c>
      <c r="L32" s="252">
        <v>8.0</v>
      </c>
      <c r="M32" s="253">
        <v>6.0</v>
      </c>
      <c r="N32" s="254">
        <v>8.0</v>
      </c>
      <c r="O32" s="259">
        <v>8.0</v>
      </c>
      <c r="P32" s="260">
        <v>10.0</v>
      </c>
      <c r="Q32" s="253">
        <v>10.0</v>
      </c>
      <c r="R32" s="258">
        <v>10.0</v>
      </c>
      <c r="S32" s="239">
        <v>10.0</v>
      </c>
      <c r="T32" s="240">
        <v>8.0</v>
      </c>
      <c r="U32" s="241">
        <v>7.0</v>
      </c>
      <c r="V32" s="116">
        <v>7.0</v>
      </c>
      <c r="W32" s="239">
        <v>8.0</v>
      </c>
      <c r="X32" s="240">
        <v>8.0</v>
      </c>
      <c r="Y32" s="241"/>
      <c r="Z32" s="116">
        <v>7.0</v>
      </c>
      <c r="AA32" s="299"/>
      <c r="AB32" s="331">
        <v>7.0</v>
      </c>
      <c r="AC32" s="332">
        <v>8.0</v>
      </c>
      <c r="AD32" s="244"/>
      <c r="AE32" s="201"/>
    </row>
    <row r="33" ht="15.75" customHeight="1">
      <c r="A33" s="295"/>
      <c r="B33" s="296" t="s">
        <v>166</v>
      </c>
      <c r="C33" s="253">
        <v>0.6</v>
      </c>
      <c r="D33" s="252">
        <v>0.35</v>
      </c>
      <c r="E33" s="253">
        <v>0.3</v>
      </c>
      <c r="F33" s="254">
        <v>0.4</v>
      </c>
      <c r="G33" s="255">
        <v>0.4</v>
      </c>
      <c r="H33" s="297">
        <v>0.5</v>
      </c>
      <c r="I33" s="257">
        <v>0.4</v>
      </c>
      <c r="J33" s="258">
        <v>0.4</v>
      </c>
      <c r="K33" s="259">
        <v>0.4</v>
      </c>
      <c r="L33" s="252">
        <v>0.5</v>
      </c>
      <c r="M33" s="253">
        <v>0.6</v>
      </c>
      <c r="N33" s="254">
        <v>0.4</v>
      </c>
      <c r="O33" s="259">
        <v>0.35</v>
      </c>
      <c r="P33" s="260">
        <v>0.4</v>
      </c>
      <c r="Q33" s="253">
        <v>0.6</v>
      </c>
      <c r="R33" s="258">
        <v>0.4</v>
      </c>
      <c r="S33" s="239">
        <v>0.35</v>
      </c>
      <c r="T33" s="240">
        <v>0.35</v>
      </c>
      <c r="U33" s="241">
        <v>0.35</v>
      </c>
      <c r="V33" s="116">
        <v>0.4</v>
      </c>
      <c r="W33" s="239">
        <v>0.4</v>
      </c>
      <c r="X33" s="240">
        <v>0.4</v>
      </c>
      <c r="Y33" s="241"/>
      <c r="Z33" s="116">
        <v>0.35</v>
      </c>
      <c r="AA33" s="299"/>
      <c r="AB33" s="331">
        <v>0.35</v>
      </c>
      <c r="AC33" s="332">
        <v>0.3</v>
      </c>
      <c r="AD33" s="244"/>
      <c r="AE33" s="201"/>
    </row>
    <row r="34" ht="15.75" customHeight="1">
      <c r="A34" s="295"/>
      <c r="B34" s="334" t="s">
        <v>167</v>
      </c>
      <c r="C34" s="225"/>
      <c r="D34" s="297">
        <v>0.8</v>
      </c>
      <c r="E34" s="253">
        <v>0.7</v>
      </c>
      <c r="F34" s="254">
        <v>0.7</v>
      </c>
      <c r="G34" s="255">
        <v>1.1</v>
      </c>
      <c r="H34" s="297">
        <v>1.1</v>
      </c>
      <c r="I34" s="257">
        <v>1.1</v>
      </c>
      <c r="J34" s="335">
        <v>0.9</v>
      </c>
      <c r="K34" s="259">
        <v>0.85</v>
      </c>
      <c r="L34" s="252">
        <v>0.8</v>
      </c>
      <c r="M34" s="253">
        <v>0.8</v>
      </c>
      <c r="N34" s="228"/>
      <c r="O34" s="259">
        <v>0.9</v>
      </c>
      <c r="P34" s="336">
        <v>0.9</v>
      </c>
      <c r="Q34" s="225">
        <v>0.8</v>
      </c>
      <c r="R34" s="258">
        <v>1.1</v>
      </c>
      <c r="S34" s="239">
        <v>0.95</v>
      </c>
      <c r="T34" s="240">
        <v>0.95</v>
      </c>
      <c r="U34" s="241">
        <v>1.15</v>
      </c>
      <c r="V34" s="116">
        <v>0.85</v>
      </c>
      <c r="W34" s="236"/>
      <c r="X34" s="237"/>
      <c r="Y34" s="337"/>
      <c r="Z34" s="250"/>
      <c r="AA34" s="299"/>
      <c r="AB34" s="331">
        <v>0.95</v>
      </c>
      <c r="AC34" s="332">
        <v>0.95</v>
      </c>
      <c r="AD34" s="244"/>
      <c r="AE34" s="201"/>
    </row>
    <row r="35" ht="15.75" customHeight="1">
      <c r="A35" s="295"/>
      <c r="B35" s="334" t="s">
        <v>168</v>
      </c>
      <c r="C35" s="225"/>
      <c r="D35" s="297">
        <v>35.0</v>
      </c>
      <c r="E35" s="253">
        <v>40.0</v>
      </c>
      <c r="F35" s="254">
        <v>60.0</v>
      </c>
      <c r="G35" s="229"/>
      <c r="H35" s="245"/>
      <c r="I35" s="231"/>
      <c r="J35" s="235"/>
      <c r="K35" s="233"/>
      <c r="L35" s="226"/>
      <c r="M35" s="246"/>
      <c r="N35" s="228"/>
      <c r="O35" s="248"/>
      <c r="P35" s="338"/>
      <c r="Q35" s="246"/>
      <c r="R35" s="235"/>
      <c r="S35" s="236"/>
      <c r="T35" s="237"/>
      <c r="U35" s="238"/>
      <c r="V35" s="250"/>
      <c r="W35" s="236"/>
      <c r="X35" s="237"/>
      <c r="Y35" s="238"/>
      <c r="Z35" s="250"/>
      <c r="AA35" s="299"/>
      <c r="AB35" s="339"/>
      <c r="AC35" s="300"/>
      <c r="AD35" s="244"/>
      <c r="AE35" s="201"/>
    </row>
    <row r="36" ht="15.75" customHeight="1">
      <c r="A36" s="295"/>
      <c r="B36" s="303" t="s">
        <v>169</v>
      </c>
      <c r="C36" s="340"/>
      <c r="D36" s="341" t="s">
        <v>170</v>
      </c>
      <c r="E36" s="340" t="s">
        <v>170</v>
      </c>
      <c r="F36" s="341" t="s">
        <v>170</v>
      </c>
      <c r="G36" s="340"/>
      <c r="H36" s="341" t="s">
        <v>171</v>
      </c>
      <c r="I36" s="342"/>
      <c r="J36" s="341" t="s">
        <v>171</v>
      </c>
      <c r="K36" s="340"/>
      <c r="L36" s="341" t="s">
        <v>171</v>
      </c>
      <c r="M36" s="340" t="s">
        <v>171</v>
      </c>
      <c r="N36" s="341"/>
      <c r="O36" s="340" t="s">
        <v>171</v>
      </c>
      <c r="P36" s="343" t="s">
        <v>171</v>
      </c>
      <c r="Q36" s="340" t="s">
        <v>171</v>
      </c>
      <c r="R36" s="341" t="s">
        <v>171</v>
      </c>
      <c r="S36" s="340"/>
      <c r="T36" s="344"/>
      <c r="U36" s="340"/>
      <c r="V36" s="344" t="s">
        <v>171</v>
      </c>
      <c r="W36" s="340" t="s">
        <v>171</v>
      </c>
      <c r="X36" s="344" t="s">
        <v>172</v>
      </c>
      <c r="Y36" s="340"/>
      <c r="Z36" s="344" t="s">
        <v>171</v>
      </c>
      <c r="AA36" s="340"/>
      <c r="AB36" s="341" t="s">
        <v>171</v>
      </c>
      <c r="AC36" s="340" t="s">
        <v>171</v>
      </c>
      <c r="AD36" s="345"/>
      <c r="AE36" s="346"/>
    </row>
    <row r="37" ht="15.75" customHeight="1">
      <c r="A37" s="347" t="s">
        <v>173</v>
      </c>
      <c r="B37" s="284" t="s">
        <v>174</v>
      </c>
      <c r="C37" s="204"/>
      <c r="D37" s="289">
        <v>26.0</v>
      </c>
      <c r="E37" s="326">
        <v>26.0</v>
      </c>
      <c r="F37" s="286">
        <v>24.0</v>
      </c>
      <c r="G37" s="204">
        <v>17.0</v>
      </c>
      <c r="H37" s="348">
        <v>20.0</v>
      </c>
      <c r="I37" s="328">
        <v>17.0</v>
      </c>
      <c r="J37" s="349">
        <v>18.0</v>
      </c>
      <c r="K37" s="285">
        <v>24.0</v>
      </c>
      <c r="L37" s="289">
        <v>26.0</v>
      </c>
      <c r="M37" s="326">
        <v>25.0</v>
      </c>
      <c r="N37" s="286">
        <v>20.0</v>
      </c>
      <c r="O37" s="285">
        <v>24.0</v>
      </c>
      <c r="P37" s="350">
        <v>21.0</v>
      </c>
      <c r="Q37" s="351">
        <v>19.0</v>
      </c>
      <c r="R37" s="349">
        <v>18.0</v>
      </c>
      <c r="S37" s="220">
        <v>19.0</v>
      </c>
      <c r="T37" s="217">
        <v>19.0</v>
      </c>
      <c r="U37" s="218">
        <v>17.0</v>
      </c>
      <c r="V37" s="219">
        <v>20.0</v>
      </c>
      <c r="W37" s="220">
        <v>19.0</v>
      </c>
      <c r="X37" s="217">
        <v>24.0</v>
      </c>
      <c r="Y37" s="218">
        <v>16.0</v>
      </c>
      <c r="Z37" s="219">
        <v>14.0</v>
      </c>
      <c r="AA37" s="220">
        <v>23.0</v>
      </c>
      <c r="AB37" s="221">
        <v>17.0</v>
      </c>
      <c r="AC37" s="352">
        <v>20.0</v>
      </c>
      <c r="AD37" s="223"/>
      <c r="AE37" s="201"/>
    </row>
    <row r="38" ht="15.75" customHeight="1">
      <c r="A38" s="202"/>
      <c r="B38" s="301" t="s">
        <v>175</v>
      </c>
      <c r="C38" s="225"/>
      <c r="D38" s="258">
        <v>423.0</v>
      </c>
      <c r="E38" s="259">
        <v>425.0</v>
      </c>
      <c r="F38" s="297">
        <v>428.0</v>
      </c>
      <c r="G38" s="225">
        <v>550.0</v>
      </c>
      <c r="H38" s="254">
        <v>550.0</v>
      </c>
      <c r="I38" s="264">
        <v>314.0</v>
      </c>
      <c r="J38" s="252">
        <v>500.0</v>
      </c>
      <c r="K38" s="253">
        <v>338.0</v>
      </c>
      <c r="L38" s="258">
        <v>460.0</v>
      </c>
      <c r="M38" s="255">
        <v>520.0</v>
      </c>
      <c r="N38" s="297">
        <v>500.0</v>
      </c>
      <c r="O38" s="253">
        <v>425.0</v>
      </c>
      <c r="P38" s="353">
        <v>600.0</v>
      </c>
      <c r="Q38" s="259">
        <v>450.0</v>
      </c>
      <c r="R38" s="252">
        <v>491.0</v>
      </c>
      <c r="S38" s="241">
        <v>450.0</v>
      </c>
      <c r="T38" s="116">
        <v>450.0</v>
      </c>
      <c r="U38" s="239">
        <v>570.0</v>
      </c>
      <c r="V38" s="240">
        <v>566.0</v>
      </c>
      <c r="W38" s="241">
        <v>540.0</v>
      </c>
      <c r="X38" s="116">
        <v>540.0</v>
      </c>
      <c r="Y38" s="239"/>
      <c r="Z38" s="240">
        <v>870.0</v>
      </c>
      <c r="AA38" s="238"/>
      <c r="AB38" s="242">
        <v>700.0</v>
      </c>
      <c r="AC38" s="354">
        <v>440.0</v>
      </c>
      <c r="AD38" s="244"/>
      <c r="AE38" s="201"/>
    </row>
    <row r="39" ht="15.75" customHeight="1">
      <c r="A39" s="202"/>
      <c r="B39" s="296" t="s">
        <v>176</v>
      </c>
      <c r="C39" s="225"/>
      <c r="D39" s="254">
        <v>11.0</v>
      </c>
      <c r="E39" s="259">
        <v>11.03</v>
      </c>
      <c r="F39" s="297">
        <v>10.25</v>
      </c>
      <c r="G39" s="225">
        <v>8.85</v>
      </c>
      <c r="H39" s="254">
        <v>11.36</v>
      </c>
      <c r="I39" s="264">
        <v>8.6</v>
      </c>
      <c r="J39" s="252">
        <v>11.0</v>
      </c>
      <c r="K39" s="253">
        <v>13.2</v>
      </c>
      <c r="L39" s="335">
        <v>12.0</v>
      </c>
      <c r="M39" s="259">
        <v>13.0</v>
      </c>
      <c r="N39" s="297">
        <v>9.7</v>
      </c>
      <c r="O39" s="253">
        <v>8.8</v>
      </c>
      <c r="P39" s="353">
        <v>10.8</v>
      </c>
      <c r="Q39" s="259">
        <v>9.9</v>
      </c>
      <c r="R39" s="252">
        <v>9.19</v>
      </c>
      <c r="S39" s="241">
        <v>9.04</v>
      </c>
      <c r="T39" s="116">
        <v>8.0</v>
      </c>
      <c r="U39" s="239">
        <v>8.7</v>
      </c>
      <c r="V39" s="240">
        <v>10.8</v>
      </c>
      <c r="W39" s="241">
        <v>10.5</v>
      </c>
      <c r="X39" s="116">
        <v>10.3</v>
      </c>
      <c r="Y39" s="239"/>
      <c r="Z39" s="240">
        <v>8.7</v>
      </c>
      <c r="AA39" s="238"/>
      <c r="AB39" s="242">
        <v>9.8</v>
      </c>
      <c r="AC39" s="354">
        <v>11.4</v>
      </c>
      <c r="AD39" s="244"/>
      <c r="AE39" s="201"/>
    </row>
    <row r="40" ht="15.75" customHeight="1">
      <c r="A40" s="202"/>
      <c r="B40" s="296" t="s">
        <v>177</v>
      </c>
      <c r="C40" s="225"/>
      <c r="D40" s="258">
        <v>28.0</v>
      </c>
      <c r="E40" s="259">
        <v>28.0</v>
      </c>
      <c r="F40" s="297">
        <v>35.0</v>
      </c>
      <c r="G40" s="225">
        <v>24.0</v>
      </c>
      <c r="H40" s="254">
        <v>26.0</v>
      </c>
      <c r="I40" s="264">
        <v>22.0</v>
      </c>
      <c r="J40" s="252">
        <v>24.0</v>
      </c>
      <c r="K40" s="253">
        <v>22.0</v>
      </c>
      <c r="L40" s="258">
        <v>25.0</v>
      </c>
      <c r="M40" s="259">
        <v>22.0</v>
      </c>
      <c r="N40" s="297">
        <v>14.0</v>
      </c>
      <c r="O40" s="253">
        <v>24.0</v>
      </c>
      <c r="P40" s="353">
        <v>21.0</v>
      </c>
      <c r="Q40" s="255">
        <v>26.0</v>
      </c>
      <c r="R40" s="252">
        <v>24.0</v>
      </c>
      <c r="S40" s="241">
        <v>24.0</v>
      </c>
      <c r="T40" s="116">
        <v>23.0</v>
      </c>
      <c r="U40" s="239">
        <v>22.0</v>
      </c>
      <c r="V40" s="240">
        <v>23.0</v>
      </c>
      <c r="W40" s="241">
        <v>16.0</v>
      </c>
      <c r="X40" s="116">
        <v>8.5</v>
      </c>
      <c r="Y40" s="236"/>
      <c r="Z40" s="240">
        <v>21.0</v>
      </c>
      <c r="AA40" s="238"/>
      <c r="AB40" s="242">
        <v>21.0</v>
      </c>
      <c r="AC40" s="354">
        <v>23.0</v>
      </c>
      <c r="AD40" s="244"/>
      <c r="AE40" s="201"/>
    </row>
    <row r="41" ht="15.75" customHeight="1">
      <c r="A41" s="202"/>
      <c r="B41" s="296" t="s">
        <v>178</v>
      </c>
      <c r="C41" s="225"/>
      <c r="D41" s="254">
        <v>21.0</v>
      </c>
      <c r="E41" s="255">
        <v>20.0</v>
      </c>
      <c r="F41" s="297">
        <v>20.0</v>
      </c>
      <c r="G41" s="225">
        <v>20.0</v>
      </c>
      <c r="H41" s="228"/>
      <c r="I41" s="355"/>
      <c r="J41" s="226"/>
      <c r="K41" s="227"/>
      <c r="L41" s="232"/>
      <c r="M41" s="229"/>
      <c r="N41" s="245"/>
      <c r="O41" s="356"/>
      <c r="P41" s="357"/>
      <c r="Q41" s="255">
        <v>14.0</v>
      </c>
      <c r="R41" s="252">
        <v>21.0</v>
      </c>
      <c r="S41" s="241">
        <v>18.0</v>
      </c>
      <c r="T41" s="116">
        <v>18.0</v>
      </c>
      <c r="U41" s="239">
        <v>16.0</v>
      </c>
      <c r="V41" s="237"/>
      <c r="W41" s="238"/>
      <c r="X41" s="250"/>
      <c r="Y41" s="236"/>
      <c r="Z41" s="237"/>
      <c r="AA41" s="238"/>
      <c r="AB41" s="251"/>
      <c r="AC41" s="358"/>
      <c r="AD41" s="244"/>
      <c r="AE41" s="201"/>
    </row>
    <row r="42" ht="15.75" customHeight="1">
      <c r="A42" s="202"/>
      <c r="B42" s="296" t="s">
        <v>179</v>
      </c>
      <c r="D42" s="254">
        <v>13.0</v>
      </c>
      <c r="E42" s="255">
        <v>12.0</v>
      </c>
      <c r="F42" s="225"/>
      <c r="G42" s="225">
        <v>10.0</v>
      </c>
      <c r="H42" s="228"/>
      <c r="I42" s="355"/>
      <c r="J42" s="226"/>
      <c r="K42" s="227"/>
      <c r="L42" s="232"/>
      <c r="M42" s="255">
        <v>14.0</v>
      </c>
      <c r="N42" s="245"/>
      <c r="O42" s="356"/>
      <c r="P42" s="357"/>
      <c r="Q42" s="229"/>
      <c r="R42" s="252">
        <v>10.0</v>
      </c>
      <c r="S42" s="241">
        <v>10.0</v>
      </c>
      <c r="T42" s="116">
        <v>9.0</v>
      </c>
      <c r="U42" s="239">
        <v>8.0</v>
      </c>
      <c r="V42" s="237"/>
      <c r="W42" s="238"/>
      <c r="X42" s="250"/>
      <c r="Y42" s="236"/>
      <c r="Z42" s="237"/>
      <c r="AA42" s="238"/>
      <c r="AB42" s="251"/>
      <c r="AC42" s="358"/>
      <c r="AD42" s="244"/>
      <c r="AE42" s="201"/>
    </row>
    <row r="43" ht="15.75" customHeight="1">
      <c r="A43" s="202"/>
      <c r="B43" s="303" t="s">
        <v>180</v>
      </c>
      <c r="C43" s="340"/>
      <c r="D43" s="359" t="s">
        <v>95</v>
      </c>
      <c r="E43" s="344" t="s">
        <v>95</v>
      </c>
      <c r="F43" s="360" t="s">
        <v>95</v>
      </c>
      <c r="G43" s="340" t="s">
        <v>95</v>
      </c>
      <c r="H43" s="359" t="s">
        <v>45</v>
      </c>
      <c r="I43" s="361" t="s">
        <v>45</v>
      </c>
      <c r="J43" s="360" t="s">
        <v>45</v>
      </c>
      <c r="K43" s="340" t="s">
        <v>45</v>
      </c>
      <c r="L43" s="359" t="s">
        <v>45</v>
      </c>
      <c r="M43" s="344" t="s">
        <v>45</v>
      </c>
      <c r="N43" s="360" t="s">
        <v>45</v>
      </c>
      <c r="O43" s="340" t="s">
        <v>45</v>
      </c>
      <c r="P43" s="345" t="s">
        <v>45</v>
      </c>
      <c r="Q43" s="344" t="s">
        <v>45</v>
      </c>
      <c r="R43" s="360" t="s">
        <v>45</v>
      </c>
      <c r="S43" s="340" t="s">
        <v>45</v>
      </c>
      <c r="T43" s="359" t="s">
        <v>45</v>
      </c>
      <c r="U43" s="344" t="s">
        <v>45</v>
      </c>
      <c r="V43" s="360" t="s">
        <v>45</v>
      </c>
      <c r="W43" s="340" t="s">
        <v>45</v>
      </c>
      <c r="X43" s="359" t="s">
        <v>45</v>
      </c>
      <c r="Y43" s="344" t="s">
        <v>45</v>
      </c>
      <c r="Z43" s="360" t="s">
        <v>45</v>
      </c>
      <c r="AA43" s="340" t="s">
        <v>45</v>
      </c>
      <c r="AB43" s="359" t="s">
        <v>45</v>
      </c>
      <c r="AC43" s="362" t="s">
        <v>45</v>
      </c>
      <c r="AD43" s="363"/>
      <c r="AE43" s="201"/>
    </row>
    <row r="44" ht="15.75" customHeight="1">
      <c r="A44" s="202"/>
      <c r="B44" s="301" t="s">
        <v>181</v>
      </c>
      <c r="C44" s="238"/>
      <c r="D44" s="250"/>
      <c r="E44" s="236"/>
      <c r="F44" s="237"/>
      <c r="G44" s="238"/>
      <c r="H44" s="250"/>
      <c r="I44" s="364"/>
      <c r="J44" s="237"/>
      <c r="K44" s="238"/>
      <c r="L44" s="250"/>
      <c r="M44" s="236"/>
      <c r="N44" s="240">
        <v>-1.0</v>
      </c>
      <c r="O44" s="238"/>
      <c r="P44" s="363"/>
      <c r="Q44" s="236"/>
      <c r="R44" s="237"/>
      <c r="S44" s="238"/>
      <c r="T44" s="250"/>
      <c r="U44" s="236"/>
      <c r="V44" s="237"/>
      <c r="W44" s="241">
        <v>1.0</v>
      </c>
      <c r="X44" s="250"/>
      <c r="Y44" s="236"/>
      <c r="Z44" s="237"/>
      <c r="AA44" s="238"/>
      <c r="AB44" s="251"/>
      <c r="AC44" s="358"/>
      <c r="AD44" s="244"/>
      <c r="AE44" s="201"/>
    </row>
    <row r="45" ht="15.75" customHeight="1">
      <c r="A45" s="202"/>
      <c r="B45" s="303" t="s">
        <v>182</v>
      </c>
      <c r="C45" s="365"/>
      <c r="D45" s="366"/>
      <c r="E45" s="367"/>
      <c r="F45" s="368"/>
      <c r="G45" s="365"/>
      <c r="H45" s="366"/>
      <c r="I45" s="369"/>
      <c r="J45" s="368"/>
      <c r="K45" s="365"/>
      <c r="L45" s="366"/>
      <c r="M45" s="367"/>
      <c r="N45" s="368"/>
      <c r="O45" s="365"/>
      <c r="P45" s="370"/>
      <c r="Q45" s="367"/>
      <c r="R45" s="368"/>
      <c r="S45" s="365"/>
      <c r="T45" s="366"/>
      <c r="U45" s="367"/>
      <c r="V45" s="368"/>
      <c r="W45" s="365"/>
      <c r="X45" s="366"/>
      <c r="Y45" s="367"/>
      <c r="Z45" s="368"/>
      <c r="AA45" s="365"/>
      <c r="AB45" s="371"/>
      <c r="AC45" s="372"/>
      <c r="AD45" s="373"/>
      <c r="AE45" s="201"/>
    </row>
    <row r="46" ht="15.75" customHeight="1">
      <c r="A46" s="277"/>
      <c r="B46" s="374" t="s">
        <v>183</v>
      </c>
      <c r="C46" s="375"/>
      <c r="D46" s="376"/>
      <c r="E46" s="375"/>
      <c r="F46" s="376"/>
      <c r="G46" s="375"/>
      <c r="H46" s="376"/>
      <c r="I46" s="377"/>
      <c r="J46" s="376"/>
      <c r="K46" s="375"/>
      <c r="L46" s="376"/>
      <c r="M46" s="375"/>
      <c r="N46" s="376"/>
      <c r="O46" s="375"/>
      <c r="P46" s="378"/>
      <c r="Q46" s="375"/>
      <c r="R46" s="376"/>
      <c r="S46" s="375"/>
      <c r="T46" s="376"/>
      <c r="U46" s="375"/>
      <c r="V46" s="376"/>
      <c r="W46" s="375"/>
      <c r="X46" s="376"/>
      <c r="Y46" s="375"/>
      <c r="Z46" s="376"/>
      <c r="AA46" s="375"/>
      <c r="AB46" s="376"/>
      <c r="AC46" s="375"/>
      <c r="AD46" s="379"/>
      <c r="AE46" s="380"/>
    </row>
    <row r="47" ht="15.75" customHeight="1">
      <c r="A47" s="381" t="s">
        <v>184</v>
      </c>
      <c r="B47" s="382" t="s">
        <v>185</v>
      </c>
      <c r="C47" s="383">
        <f t="shared" ref="C47:AD47" si="3">IFS(C29="VC-CMV",C30/$J$2,C29="PC-CMV",C38/$J$2,C29="PC-CSV",C38/$J$2,C29="CPAP",C38/$J$2,C29="VMNI",C38/$J$2,C29="PC-SIMV",C38/$J$2,C29="","")</f>
        <v>7.101449275</v>
      </c>
      <c r="D47" s="384">
        <f t="shared" si="3"/>
        <v>6.231884058</v>
      </c>
      <c r="E47" s="385">
        <f t="shared" si="3"/>
        <v>6.231884058</v>
      </c>
      <c r="F47" s="386">
        <f t="shared" si="3"/>
        <v>6.231884058</v>
      </c>
      <c r="G47" s="383">
        <f t="shared" si="3"/>
        <v>7.971014493</v>
      </c>
      <c r="H47" s="384">
        <f t="shared" si="3"/>
        <v>7.971014493</v>
      </c>
      <c r="I47" s="387">
        <f t="shared" si="3"/>
        <v>4.550724638</v>
      </c>
      <c r="J47" s="386">
        <f t="shared" si="3"/>
        <v>7.246376812</v>
      </c>
      <c r="K47" s="383">
        <f t="shared" si="3"/>
        <v>4.898550725</v>
      </c>
      <c r="L47" s="384">
        <f t="shared" si="3"/>
        <v>6.666666667</v>
      </c>
      <c r="M47" s="385">
        <f t="shared" si="3"/>
        <v>7.536231884</v>
      </c>
      <c r="N47" s="386">
        <f t="shared" si="3"/>
        <v>7.246376812</v>
      </c>
      <c r="O47" s="383">
        <f t="shared" si="3"/>
        <v>6.15942029</v>
      </c>
      <c r="P47" s="388">
        <f t="shared" si="3"/>
        <v>8.695652174</v>
      </c>
      <c r="Q47" s="385">
        <f t="shared" si="3"/>
        <v>6.52173913</v>
      </c>
      <c r="R47" s="386">
        <f t="shared" si="3"/>
        <v>7.115942029</v>
      </c>
      <c r="S47" s="383">
        <f t="shared" si="3"/>
        <v>6.52173913</v>
      </c>
      <c r="T47" s="384">
        <f t="shared" si="3"/>
        <v>6.52173913</v>
      </c>
      <c r="U47" s="385">
        <f t="shared" si="3"/>
        <v>8.260869565</v>
      </c>
      <c r="V47" s="386">
        <f t="shared" si="3"/>
        <v>8.202898551</v>
      </c>
      <c r="W47" s="383">
        <f t="shared" si="3"/>
        <v>7.826086957</v>
      </c>
      <c r="X47" s="384">
        <f t="shared" si="3"/>
        <v>7.826086957</v>
      </c>
      <c r="Y47" s="385" t="str">
        <f t="shared" si="3"/>
        <v>#N/A</v>
      </c>
      <c r="Z47" s="386">
        <f t="shared" si="3"/>
        <v>12.60869565</v>
      </c>
      <c r="AA47" s="383" t="str">
        <f t="shared" si="3"/>
        <v>#N/A</v>
      </c>
      <c r="AB47" s="384">
        <f t="shared" si="3"/>
        <v>10.14492754</v>
      </c>
      <c r="AC47" s="385">
        <f t="shared" si="3"/>
        <v>6.376811594</v>
      </c>
      <c r="AD47" s="389" t="str">
        <f t="shared" si="3"/>
        <v/>
      </c>
      <c r="AE47" s="390"/>
    </row>
    <row r="48" ht="15.75" customHeight="1">
      <c r="A48" s="202"/>
      <c r="B48" s="391" t="s">
        <v>186</v>
      </c>
      <c r="C48" s="392">
        <v>1.0</v>
      </c>
      <c r="D48" s="393">
        <v>1.0</v>
      </c>
      <c r="E48" s="394">
        <v>1.0</v>
      </c>
      <c r="F48" s="395">
        <v>1.0</v>
      </c>
      <c r="G48" s="392">
        <v>1.0</v>
      </c>
      <c r="H48" s="393">
        <v>1.0</v>
      </c>
      <c r="I48" s="396">
        <v>1.0</v>
      </c>
      <c r="J48" s="395">
        <v>1.0</v>
      </c>
      <c r="K48" s="392">
        <v>1.0</v>
      </c>
      <c r="L48" s="393">
        <v>1.0</v>
      </c>
      <c r="M48" s="394">
        <v>1.0</v>
      </c>
      <c r="N48" s="395">
        <v>1.0</v>
      </c>
      <c r="O48" s="392">
        <v>1.0</v>
      </c>
      <c r="P48" s="397">
        <v>1.0</v>
      </c>
      <c r="Q48" s="394">
        <v>1.0</v>
      </c>
      <c r="R48" s="395">
        <v>1.0</v>
      </c>
      <c r="S48" s="392">
        <v>1.0</v>
      </c>
      <c r="T48" s="393">
        <v>1.0</v>
      </c>
      <c r="U48" s="394">
        <v>1.0</v>
      </c>
      <c r="V48" s="395">
        <v>1.0</v>
      </c>
      <c r="W48" s="392">
        <v>1.0</v>
      </c>
      <c r="X48" s="393">
        <v>1.0</v>
      </c>
      <c r="Y48" s="394">
        <v>1.0</v>
      </c>
      <c r="Z48" s="395">
        <v>1.0</v>
      </c>
      <c r="AA48" s="392">
        <v>1.0</v>
      </c>
      <c r="AB48" s="398">
        <v>1.0</v>
      </c>
      <c r="AC48" s="399">
        <v>1.0</v>
      </c>
      <c r="AD48" s="400">
        <v>1.0</v>
      </c>
      <c r="AE48" s="346"/>
    </row>
    <row r="49" ht="15.75" customHeight="1">
      <c r="A49" s="202"/>
      <c r="B49" s="401" t="s">
        <v>187</v>
      </c>
      <c r="C49" s="402" t="str">
        <f t="shared" ref="C49:AD49" si="4">((60/C31)-C34)/C34</f>
        <v>#DIV/0!</v>
      </c>
      <c r="D49" s="403">
        <f t="shared" si="4"/>
        <v>1.884615385</v>
      </c>
      <c r="E49" s="404">
        <f t="shared" si="4"/>
        <v>2.296703297</v>
      </c>
      <c r="F49" s="405">
        <f t="shared" si="4"/>
        <v>2.571428571</v>
      </c>
      <c r="G49" s="402">
        <f t="shared" si="4"/>
        <v>2.896103896</v>
      </c>
      <c r="H49" s="403">
        <f t="shared" si="4"/>
        <v>2.03030303</v>
      </c>
      <c r="I49" s="406">
        <f t="shared" si="4"/>
        <v>2.636363636</v>
      </c>
      <c r="J49" s="405">
        <f t="shared" si="4"/>
        <v>4.555555556</v>
      </c>
      <c r="K49" s="402">
        <f t="shared" si="4"/>
        <v>7.823529412</v>
      </c>
      <c r="L49" s="403">
        <f t="shared" si="4"/>
        <v>4.357142857</v>
      </c>
      <c r="M49" s="404">
        <f t="shared" si="4"/>
        <v>2.75</v>
      </c>
      <c r="N49" s="405" t="str">
        <f t="shared" si="4"/>
        <v>#DIV/0!</v>
      </c>
      <c r="O49" s="402">
        <f t="shared" si="4"/>
        <v>3.761904762</v>
      </c>
      <c r="P49" s="407">
        <f t="shared" si="4"/>
        <v>3.761904762</v>
      </c>
      <c r="Q49" s="404">
        <f t="shared" si="4"/>
        <v>4.357142857</v>
      </c>
      <c r="R49" s="405">
        <f t="shared" si="4"/>
        <v>2.896103896</v>
      </c>
      <c r="S49" s="402">
        <f t="shared" si="4"/>
        <v>3.511278195</v>
      </c>
      <c r="T49" s="403">
        <f t="shared" si="4"/>
        <v>3.511278195</v>
      </c>
      <c r="U49" s="404">
        <f t="shared" si="4"/>
        <v>2.726708075</v>
      </c>
      <c r="V49" s="405">
        <f t="shared" si="4"/>
        <v>3.705882353</v>
      </c>
      <c r="W49" s="402" t="str">
        <f t="shared" si="4"/>
        <v>#DIV/0!</v>
      </c>
      <c r="X49" s="403" t="str">
        <f t="shared" si="4"/>
        <v>#DIV/0!</v>
      </c>
      <c r="Y49" s="404" t="str">
        <f t="shared" si="4"/>
        <v>#DIV/0!</v>
      </c>
      <c r="Z49" s="405" t="str">
        <f t="shared" si="4"/>
        <v>#DIV/0!</v>
      </c>
      <c r="AA49" s="402" t="str">
        <f t="shared" si="4"/>
        <v>#DIV/0!</v>
      </c>
      <c r="AB49" s="408">
        <f t="shared" si="4"/>
        <v>3.511278195</v>
      </c>
      <c r="AC49" s="409">
        <f t="shared" si="4"/>
        <v>3.511278195</v>
      </c>
      <c r="AD49" s="410" t="str">
        <f t="shared" si="4"/>
        <v>#DIV/0!</v>
      </c>
      <c r="AE49" s="314"/>
    </row>
    <row r="50" ht="15.75" customHeight="1">
      <c r="A50" s="202"/>
      <c r="B50" s="411" t="s">
        <v>188</v>
      </c>
      <c r="C50" s="412" t="str">
        <f>IF(C51&lt;&gt;"",(C51*C34)+F42,"")</f>
        <v/>
      </c>
      <c r="D50" s="413">
        <f t="shared" ref="D50:E50" si="5">IF(D51&lt;&gt;"",(D51*D34)+D42,"")</f>
        <v>19.4</v>
      </c>
      <c r="E50" s="412">
        <f t="shared" si="5"/>
        <v>17.6</v>
      </c>
      <c r="F50" s="413" t="str">
        <f>IF(F51&lt;&gt;"",(F51*F34)+#REF!,"")</f>
        <v>#REF!</v>
      </c>
      <c r="G50" s="412">
        <f t="shared" ref="G50:AD50" si="6">IF(G51&lt;&gt;"",(G51*G34)+G42,"")</f>
        <v>21</v>
      </c>
      <c r="H50" s="413" t="str">
        <f t="shared" si="6"/>
        <v/>
      </c>
      <c r="I50" s="414" t="str">
        <f t="shared" si="6"/>
        <v/>
      </c>
      <c r="J50" s="413" t="str">
        <f t="shared" si="6"/>
        <v/>
      </c>
      <c r="K50" s="412" t="str">
        <f t="shared" si="6"/>
        <v/>
      </c>
      <c r="L50" s="413" t="str">
        <f t="shared" si="6"/>
        <v/>
      </c>
      <c r="M50" s="412" t="str">
        <f t="shared" si="6"/>
        <v/>
      </c>
      <c r="N50" s="413" t="str">
        <f t="shared" si="6"/>
        <v/>
      </c>
      <c r="O50" s="412" t="str">
        <f t="shared" si="6"/>
        <v/>
      </c>
      <c r="P50" s="415" t="str">
        <f t="shared" si="6"/>
        <v/>
      </c>
      <c r="Q50" s="412" t="str">
        <f t="shared" si="6"/>
        <v/>
      </c>
      <c r="R50" s="413">
        <f t="shared" si="6"/>
        <v>22.1</v>
      </c>
      <c r="S50" s="412">
        <f t="shared" si="6"/>
        <v>17.6</v>
      </c>
      <c r="T50" s="413">
        <f t="shared" si="6"/>
        <v>17.55</v>
      </c>
      <c r="U50" s="412">
        <f t="shared" si="6"/>
        <v>17.2</v>
      </c>
      <c r="V50" s="413" t="str">
        <f t="shared" si="6"/>
        <v/>
      </c>
      <c r="W50" s="412" t="str">
        <f t="shared" si="6"/>
        <v/>
      </c>
      <c r="X50" s="413" t="str">
        <f t="shared" si="6"/>
        <v/>
      </c>
      <c r="Y50" s="412" t="str">
        <f t="shared" si="6"/>
        <v/>
      </c>
      <c r="Z50" s="413" t="str">
        <f t="shared" si="6"/>
        <v/>
      </c>
      <c r="AA50" s="412" t="str">
        <f t="shared" si="6"/>
        <v/>
      </c>
      <c r="AB50" s="413" t="str">
        <f t="shared" si="6"/>
        <v/>
      </c>
      <c r="AC50" s="412" t="str">
        <f t="shared" si="6"/>
        <v/>
      </c>
      <c r="AD50" s="414" t="str">
        <f t="shared" si="6"/>
        <v/>
      </c>
      <c r="AE50" s="201"/>
    </row>
    <row r="51" ht="15.75" customHeight="1">
      <c r="A51" s="202"/>
      <c r="B51" s="411" t="s">
        <v>189</v>
      </c>
      <c r="C51" s="416" t="str">
        <f>IF(AND(F42&gt;0,C41&gt;0),C41-F42,"")</f>
        <v/>
      </c>
      <c r="D51" s="417">
        <f t="shared" ref="D51:E51" si="7">IF(AND(D42&gt;0,D41&gt;0),D41-D42,"")</f>
        <v>8</v>
      </c>
      <c r="E51" s="418">
        <f t="shared" si="7"/>
        <v>8</v>
      </c>
      <c r="F51" s="419" t="str">
        <f>IF(AND(#REF!&gt;0,F41&gt;0),F41-#REF!,"")</f>
        <v>#REF!</v>
      </c>
      <c r="G51" s="416">
        <f t="shared" ref="G51:AD51" si="8">IF(AND(G42&gt;0,G41&gt;0),G41-G42,"")</f>
        <v>10</v>
      </c>
      <c r="H51" s="417" t="str">
        <f t="shared" si="8"/>
        <v/>
      </c>
      <c r="I51" s="420" t="str">
        <f t="shared" si="8"/>
        <v/>
      </c>
      <c r="J51" s="419" t="str">
        <f t="shared" si="8"/>
        <v/>
      </c>
      <c r="K51" s="416" t="str">
        <f t="shared" si="8"/>
        <v/>
      </c>
      <c r="L51" s="417" t="str">
        <f t="shared" si="8"/>
        <v/>
      </c>
      <c r="M51" s="418" t="str">
        <f t="shared" si="8"/>
        <v/>
      </c>
      <c r="N51" s="419" t="str">
        <f t="shared" si="8"/>
        <v/>
      </c>
      <c r="O51" s="416" t="str">
        <f t="shared" si="8"/>
        <v/>
      </c>
      <c r="P51" s="421" t="str">
        <f t="shared" si="8"/>
        <v/>
      </c>
      <c r="Q51" s="418" t="str">
        <f t="shared" si="8"/>
        <v/>
      </c>
      <c r="R51" s="419">
        <f t="shared" si="8"/>
        <v>11</v>
      </c>
      <c r="S51" s="416">
        <f t="shared" si="8"/>
        <v>8</v>
      </c>
      <c r="T51" s="417">
        <f t="shared" si="8"/>
        <v>9</v>
      </c>
      <c r="U51" s="418">
        <f t="shared" si="8"/>
        <v>8</v>
      </c>
      <c r="V51" s="419" t="str">
        <f t="shared" si="8"/>
        <v/>
      </c>
      <c r="W51" s="416" t="str">
        <f t="shared" si="8"/>
        <v/>
      </c>
      <c r="X51" s="417" t="str">
        <f t="shared" si="8"/>
        <v/>
      </c>
      <c r="Y51" s="418" t="str">
        <f t="shared" si="8"/>
        <v/>
      </c>
      <c r="Z51" s="419" t="str">
        <f t="shared" si="8"/>
        <v/>
      </c>
      <c r="AA51" s="416" t="str">
        <f t="shared" si="8"/>
        <v/>
      </c>
      <c r="AB51" s="417" t="str">
        <f t="shared" si="8"/>
        <v/>
      </c>
      <c r="AC51" s="418" t="str">
        <f t="shared" si="8"/>
        <v/>
      </c>
      <c r="AD51" s="422" t="str">
        <f t="shared" si="8"/>
        <v/>
      </c>
      <c r="AE51" s="201"/>
    </row>
    <row r="52" ht="15.75" customHeight="1">
      <c r="A52" s="202"/>
      <c r="B52" s="411" t="s">
        <v>190</v>
      </c>
      <c r="C52" s="402" t="str">
        <f t="shared" ref="C52:AD52" si="9">IF(AND(C38&gt;0,C51&gt;0),C38/C51,"")</f>
        <v/>
      </c>
      <c r="D52" s="403">
        <f t="shared" si="9"/>
        <v>52.875</v>
      </c>
      <c r="E52" s="404">
        <f t="shared" si="9"/>
        <v>53.125</v>
      </c>
      <c r="F52" s="405" t="str">
        <f t="shared" si="9"/>
        <v>#REF!</v>
      </c>
      <c r="G52" s="402">
        <f t="shared" si="9"/>
        <v>55</v>
      </c>
      <c r="H52" s="403" t="str">
        <f t="shared" si="9"/>
        <v>#DIV/0!</v>
      </c>
      <c r="I52" s="406" t="str">
        <f t="shared" si="9"/>
        <v>#DIV/0!</v>
      </c>
      <c r="J52" s="405" t="str">
        <f t="shared" si="9"/>
        <v>#DIV/0!</v>
      </c>
      <c r="K52" s="402" t="str">
        <f t="shared" si="9"/>
        <v>#DIV/0!</v>
      </c>
      <c r="L52" s="403" t="str">
        <f t="shared" si="9"/>
        <v>#DIV/0!</v>
      </c>
      <c r="M52" s="404" t="str">
        <f t="shared" si="9"/>
        <v>#DIV/0!</v>
      </c>
      <c r="N52" s="405" t="str">
        <f t="shared" si="9"/>
        <v>#DIV/0!</v>
      </c>
      <c r="O52" s="402" t="str">
        <f t="shared" si="9"/>
        <v>#DIV/0!</v>
      </c>
      <c r="P52" s="407" t="str">
        <f t="shared" si="9"/>
        <v>#DIV/0!</v>
      </c>
      <c r="Q52" s="404" t="str">
        <f t="shared" si="9"/>
        <v>#DIV/0!</v>
      </c>
      <c r="R52" s="405">
        <f t="shared" si="9"/>
        <v>44.63636364</v>
      </c>
      <c r="S52" s="402">
        <f t="shared" si="9"/>
        <v>56.25</v>
      </c>
      <c r="T52" s="403">
        <f t="shared" si="9"/>
        <v>50</v>
      </c>
      <c r="U52" s="404">
        <f t="shared" si="9"/>
        <v>71.25</v>
      </c>
      <c r="V52" s="405" t="str">
        <f t="shared" si="9"/>
        <v>#DIV/0!</v>
      </c>
      <c r="W52" s="402" t="str">
        <f t="shared" si="9"/>
        <v>#DIV/0!</v>
      </c>
      <c r="X52" s="403" t="str">
        <f t="shared" si="9"/>
        <v>#DIV/0!</v>
      </c>
      <c r="Y52" s="404" t="str">
        <f t="shared" si="9"/>
        <v/>
      </c>
      <c r="Z52" s="405" t="str">
        <f t="shared" si="9"/>
        <v>#DIV/0!</v>
      </c>
      <c r="AA52" s="402" t="str">
        <f t="shared" si="9"/>
        <v/>
      </c>
      <c r="AB52" s="403" t="str">
        <f t="shared" si="9"/>
        <v>#DIV/0!</v>
      </c>
      <c r="AC52" s="404" t="str">
        <f t="shared" si="9"/>
        <v>#DIV/0!</v>
      </c>
      <c r="AD52" s="423" t="str">
        <f t="shared" si="9"/>
        <v/>
      </c>
      <c r="AE52" s="201"/>
    </row>
    <row r="53" ht="15.75" customHeight="1">
      <c r="A53" s="202"/>
      <c r="B53" s="411" t="s">
        <v>191</v>
      </c>
      <c r="C53" s="424" t="str">
        <f t="shared" ref="C53:AD53" si="10">IF(AND(C29="VC-CMV",C43="NO"),(C40-C41)/(C35/60),"")</f>
        <v/>
      </c>
      <c r="D53" s="425">
        <f t="shared" si="10"/>
        <v>12</v>
      </c>
      <c r="E53" s="424">
        <f t="shared" si="10"/>
        <v>12</v>
      </c>
      <c r="F53" s="425">
        <f t="shared" si="10"/>
        <v>15</v>
      </c>
      <c r="G53" s="424" t="str">
        <f t="shared" si="10"/>
        <v/>
      </c>
      <c r="H53" s="425" t="str">
        <f t="shared" si="10"/>
        <v/>
      </c>
      <c r="I53" s="426" t="str">
        <f t="shared" si="10"/>
        <v/>
      </c>
      <c r="J53" s="425" t="str">
        <f t="shared" si="10"/>
        <v/>
      </c>
      <c r="K53" s="424" t="str">
        <f t="shared" si="10"/>
        <v/>
      </c>
      <c r="L53" s="425" t="str">
        <f t="shared" si="10"/>
        <v/>
      </c>
      <c r="M53" s="424" t="str">
        <f t="shared" si="10"/>
        <v/>
      </c>
      <c r="N53" s="425" t="str">
        <f t="shared" si="10"/>
        <v/>
      </c>
      <c r="O53" s="424" t="str">
        <f t="shared" si="10"/>
        <v/>
      </c>
      <c r="P53" s="427" t="str">
        <f t="shared" si="10"/>
        <v/>
      </c>
      <c r="Q53" s="424" t="str">
        <f t="shared" si="10"/>
        <v/>
      </c>
      <c r="R53" s="425" t="str">
        <f t="shared" si="10"/>
        <v/>
      </c>
      <c r="S53" s="424" t="str">
        <f t="shared" si="10"/>
        <v/>
      </c>
      <c r="T53" s="425" t="str">
        <f t="shared" si="10"/>
        <v/>
      </c>
      <c r="U53" s="424" t="str">
        <f t="shared" si="10"/>
        <v/>
      </c>
      <c r="V53" s="425" t="str">
        <f t="shared" si="10"/>
        <v/>
      </c>
      <c r="W53" s="424" t="str">
        <f t="shared" si="10"/>
        <v/>
      </c>
      <c r="X53" s="425" t="str">
        <f t="shared" si="10"/>
        <v/>
      </c>
      <c r="Y53" s="424" t="str">
        <f t="shared" si="10"/>
        <v/>
      </c>
      <c r="Z53" s="425" t="str">
        <f t="shared" si="10"/>
        <v/>
      </c>
      <c r="AA53" s="424" t="str">
        <f t="shared" si="10"/>
        <v/>
      </c>
      <c r="AB53" s="425" t="str">
        <f t="shared" si="10"/>
        <v/>
      </c>
      <c r="AC53" s="424" t="str">
        <f t="shared" si="10"/>
        <v/>
      </c>
      <c r="AD53" s="427" t="str">
        <f t="shared" si="10"/>
        <v/>
      </c>
      <c r="AE53" s="428"/>
    </row>
    <row r="54" ht="15.75" customHeight="1">
      <c r="A54" s="202"/>
      <c r="B54" s="429" t="s">
        <v>192</v>
      </c>
      <c r="C54" s="430" t="str">
        <f>IF(AND(C29="VC-CMV",AND(C36="Cuadrada",C43="NO")), (((0.5*(C51/(C38/1000))+(1+(C48/C49))/(60*(C48/C49))*C37*C53)*((C38/1000)*(C38/1000))+(C38/1000)*F42)*C37*0.098),"")</f>
        <v/>
      </c>
      <c r="D54" s="431">
        <f t="shared" ref="D54:E54" si="11">IF(AND(D29="VC-CMV",AND(D36="Cuadrada",D43="NO")), (((0.5*(D51/(D38/1000))+(1+(D48/D49))/(60*(D48/D49))*D37*D53)*((D38/1000)*(D38/1000))+(D38/1000)*D42)*D37*0.098),"")</f>
        <v>25.16133438</v>
      </c>
      <c r="E54" s="432">
        <f t="shared" si="11"/>
        <v>25.2161</v>
      </c>
      <c r="F54" s="433" t="str">
        <f>IF(AND(F29="VC-CMV",AND(F36="Cuadrada",F43="NO")), (((0.5*(F51/(F38/1000))+(1+(F48/F49))/(60*(F48/F49))*F37*F53)*((F38/1000)*(F38/1000))+(F38/1000)*#REF!)*F37*0.098),"")</f>
        <v>#REF!</v>
      </c>
      <c r="G54" s="430" t="str">
        <f t="shared" ref="G54:AD54" si="12">IF(AND(G29="VC-CMV",AND(G36="Cuadrada",G43="NO")), (((0.5*(G51/(G38/1000))+(1+(G48/G49))/(60*(G48/G49))*G37*G53)*((G38/1000)*(G38/1000))+(G38/1000)*G42)*G37*0.098),"")</f>
        <v/>
      </c>
      <c r="H54" s="431" t="str">
        <f t="shared" si="12"/>
        <v/>
      </c>
      <c r="I54" s="434" t="str">
        <f t="shared" si="12"/>
        <v/>
      </c>
      <c r="J54" s="433" t="str">
        <f t="shared" si="12"/>
        <v/>
      </c>
      <c r="K54" s="430" t="str">
        <f t="shared" si="12"/>
        <v/>
      </c>
      <c r="L54" s="431" t="str">
        <f t="shared" si="12"/>
        <v/>
      </c>
      <c r="M54" s="432" t="str">
        <f t="shared" si="12"/>
        <v/>
      </c>
      <c r="N54" s="433" t="str">
        <f t="shared" si="12"/>
        <v/>
      </c>
      <c r="O54" s="430" t="str">
        <f t="shared" si="12"/>
        <v/>
      </c>
      <c r="P54" s="435" t="str">
        <f t="shared" si="12"/>
        <v/>
      </c>
      <c r="Q54" s="432" t="str">
        <f t="shared" si="12"/>
        <v/>
      </c>
      <c r="R54" s="433" t="str">
        <f t="shared" si="12"/>
        <v/>
      </c>
      <c r="S54" s="430" t="str">
        <f t="shared" si="12"/>
        <v/>
      </c>
      <c r="T54" s="431" t="str">
        <f t="shared" si="12"/>
        <v/>
      </c>
      <c r="U54" s="432" t="str">
        <f t="shared" si="12"/>
        <v/>
      </c>
      <c r="V54" s="433" t="str">
        <f t="shared" si="12"/>
        <v/>
      </c>
      <c r="W54" s="430" t="str">
        <f t="shared" si="12"/>
        <v/>
      </c>
      <c r="X54" s="431" t="str">
        <f t="shared" si="12"/>
        <v/>
      </c>
      <c r="Y54" s="432" t="str">
        <f t="shared" si="12"/>
        <v/>
      </c>
      <c r="Z54" s="433" t="str">
        <f t="shared" si="12"/>
        <v/>
      </c>
      <c r="AA54" s="430" t="str">
        <f t="shared" si="12"/>
        <v/>
      </c>
      <c r="AB54" s="431" t="str">
        <f t="shared" si="12"/>
        <v/>
      </c>
      <c r="AC54" s="432" t="str">
        <f t="shared" si="12"/>
        <v/>
      </c>
      <c r="AD54" s="436" t="str">
        <f t="shared" si="12"/>
        <v/>
      </c>
      <c r="AE54" s="390"/>
    </row>
    <row r="55" ht="15.75" customHeight="1">
      <c r="A55" s="202"/>
      <c r="B55" s="437" t="s">
        <v>193</v>
      </c>
      <c r="C55" s="430" t="str">
        <f t="shared" ref="C55:H55" si="13">IFS(OR(C52="",C54=""),"",AND(C52&gt;0,C54&gt;0),C54/C52)</f>
        <v/>
      </c>
      <c r="D55" s="438">
        <f t="shared" si="13"/>
        <v>0.47586448</v>
      </c>
      <c r="E55" s="432">
        <f t="shared" si="13"/>
        <v>0.474656</v>
      </c>
      <c r="F55" s="438" t="str">
        <f t="shared" si="13"/>
        <v>#REF!</v>
      </c>
      <c r="G55" s="432" t="str">
        <f t="shared" si="13"/>
        <v/>
      </c>
      <c r="H55" s="430" t="str">
        <f t="shared" si="13"/>
        <v>#DIV/0!</v>
      </c>
      <c r="I55" s="439"/>
      <c r="J55" s="440"/>
      <c r="K55" s="441"/>
      <c r="L55" s="442"/>
      <c r="M55" s="443"/>
      <c r="N55" s="440"/>
      <c r="O55" s="441"/>
      <c r="P55" s="444"/>
      <c r="Q55" s="443"/>
      <c r="R55" s="440"/>
      <c r="S55" s="441"/>
      <c r="T55" s="442"/>
      <c r="U55" s="443"/>
      <c r="V55" s="440"/>
      <c r="W55" s="441"/>
      <c r="X55" s="442"/>
      <c r="Y55" s="443"/>
      <c r="Z55" s="440"/>
      <c r="AA55" s="441"/>
      <c r="AB55" s="442"/>
      <c r="AC55" s="443"/>
      <c r="AD55" s="445"/>
      <c r="AE55" s="390"/>
    </row>
    <row r="56" ht="15.75" customHeight="1">
      <c r="A56" s="202"/>
      <c r="B56" s="437" t="s">
        <v>194</v>
      </c>
      <c r="C56" s="430" t="str">
        <f t="shared" ref="C56:AD56" si="14">IFS(OR(C54="",$J$2=""),"",AND(C54&gt;0,$J$2&gt;0),C54/$J$2)</f>
        <v/>
      </c>
      <c r="D56" s="431">
        <f t="shared" si="14"/>
        <v>0.36465702</v>
      </c>
      <c r="E56" s="432">
        <f t="shared" si="14"/>
        <v>0.3654507246</v>
      </c>
      <c r="F56" s="433" t="str">
        <f t="shared" si="14"/>
        <v>#REF!</v>
      </c>
      <c r="G56" s="446" t="str">
        <f t="shared" si="14"/>
        <v/>
      </c>
      <c r="H56" s="447" t="str">
        <f t="shared" si="14"/>
        <v/>
      </c>
      <c r="I56" s="448" t="str">
        <f t="shared" si="14"/>
        <v/>
      </c>
      <c r="J56" s="449" t="str">
        <f t="shared" si="14"/>
        <v/>
      </c>
      <c r="K56" s="446" t="str">
        <f t="shared" si="14"/>
        <v/>
      </c>
      <c r="L56" s="447" t="str">
        <f t="shared" si="14"/>
        <v/>
      </c>
      <c r="M56" s="450" t="str">
        <f t="shared" si="14"/>
        <v/>
      </c>
      <c r="N56" s="449" t="str">
        <f t="shared" si="14"/>
        <v/>
      </c>
      <c r="O56" s="446" t="str">
        <f t="shared" si="14"/>
        <v/>
      </c>
      <c r="P56" s="451" t="str">
        <f t="shared" si="14"/>
        <v/>
      </c>
      <c r="Q56" s="450" t="str">
        <f t="shared" si="14"/>
        <v/>
      </c>
      <c r="R56" s="449" t="str">
        <f t="shared" si="14"/>
        <v/>
      </c>
      <c r="S56" s="446" t="str">
        <f t="shared" si="14"/>
        <v/>
      </c>
      <c r="T56" s="447" t="str">
        <f t="shared" si="14"/>
        <v/>
      </c>
      <c r="U56" s="450" t="str">
        <f t="shared" si="14"/>
        <v/>
      </c>
      <c r="V56" s="449" t="str">
        <f t="shared" si="14"/>
        <v/>
      </c>
      <c r="W56" s="446" t="str">
        <f t="shared" si="14"/>
        <v/>
      </c>
      <c r="X56" s="447" t="str">
        <f t="shared" si="14"/>
        <v/>
      </c>
      <c r="Y56" s="450" t="str">
        <f t="shared" si="14"/>
        <v/>
      </c>
      <c r="Z56" s="449" t="str">
        <f t="shared" si="14"/>
        <v/>
      </c>
      <c r="AA56" s="446" t="str">
        <f t="shared" si="14"/>
        <v/>
      </c>
      <c r="AB56" s="447" t="str">
        <f t="shared" si="14"/>
        <v/>
      </c>
      <c r="AC56" s="450" t="str">
        <f t="shared" si="14"/>
        <v/>
      </c>
      <c r="AD56" s="452" t="str">
        <f t="shared" si="14"/>
        <v/>
      </c>
      <c r="AE56" s="390"/>
    </row>
    <row r="57" ht="15.75" customHeight="1">
      <c r="A57" s="202"/>
      <c r="B57" s="437" t="s">
        <v>195</v>
      </c>
      <c r="C57" s="430" t="str">
        <f t="shared" ref="C57:AD57" si="15">IF(AND(C21&gt;0,C39&gt;0),(C39*1000*C21)/($J$2*37.5*100),"")</f>
        <v/>
      </c>
      <c r="D57" s="431">
        <f t="shared" si="15"/>
        <v>1.913043478</v>
      </c>
      <c r="E57" s="432">
        <f t="shared" si="15"/>
        <v>2.041882126</v>
      </c>
      <c r="F57" s="433">
        <f t="shared" si="15"/>
        <v>1.861835749</v>
      </c>
      <c r="G57" s="430">
        <f t="shared" si="15"/>
        <v>1.593855072</v>
      </c>
      <c r="H57" s="431">
        <f t="shared" si="15"/>
        <v>1.887845411</v>
      </c>
      <c r="I57" s="434">
        <f t="shared" si="15"/>
        <v>1.262995169</v>
      </c>
      <c r="J57" s="433">
        <f t="shared" si="15"/>
        <v>1.870531401</v>
      </c>
      <c r="K57" s="430">
        <f t="shared" si="15"/>
        <v>2.035478261</v>
      </c>
      <c r="L57" s="431">
        <f t="shared" si="15"/>
        <v>1.762318841</v>
      </c>
      <c r="M57" s="432">
        <f t="shared" si="15"/>
        <v>2.20057971</v>
      </c>
      <c r="N57" s="433">
        <f t="shared" si="15"/>
        <v>1.473275362</v>
      </c>
      <c r="O57" s="430">
        <f t="shared" si="15"/>
        <v>1.414801932</v>
      </c>
      <c r="P57" s="435">
        <f t="shared" si="15"/>
        <v>2.086956522</v>
      </c>
      <c r="Q57" s="432" t="str">
        <f t="shared" si="15"/>
        <v/>
      </c>
      <c r="R57" s="433">
        <f t="shared" si="15"/>
        <v>1.605364251</v>
      </c>
      <c r="S57" s="430" t="str">
        <f t="shared" si="15"/>
        <v/>
      </c>
      <c r="T57" s="431" t="str">
        <f t="shared" si="15"/>
        <v/>
      </c>
      <c r="U57" s="432">
        <f t="shared" si="15"/>
        <v>1.143188406</v>
      </c>
      <c r="V57" s="433" t="str">
        <f t="shared" si="15"/>
        <v/>
      </c>
      <c r="W57" s="430">
        <f t="shared" si="15"/>
        <v>1.785507246</v>
      </c>
      <c r="X57" s="431">
        <f t="shared" si="15"/>
        <v>1.819169082</v>
      </c>
      <c r="Y57" s="432" t="str">
        <f t="shared" si="15"/>
        <v/>
      </c>
      <c r="Z57" s="433">
        <f t="shared" si="15"/>
        <v>1.587014493</v>
      </c>
      <c r="AA57" s="430" t="str">
        <f t="shared" si="15"/>
        <v/>
      </c>
      <c r="AB57" s="431" t="str">
        <f t="shared" si="15"/>
        <v/>
      </c>
      <c r="AC57" s="432" t="str">
        <f t="shared" si="15"/>
        <v/>
      </c>
      <c r="AD57" s="436" t="str">
        <f t="shared" si="15"/>
        <v/>
      </c>
      <c r="AE57" s="390"/>
    </row>
    <row r="58" ht="15.75" customHeight="1">
      <c r="A58" s="202"/>
      <c r="B58" s="453" t="s">
        <v>196</v>
      </c>
      <c r="C58" s="454" t="str">
        <f t="shared" ref="C58:AD58" si="16">IFS(C41="","",C41=C40,"0",C41&lt;C40,"",C41&gt;C40,C41-(C40-C32))</f>
        <v/>
      </c>
      <c r="D58" s="455" t="str">
        <f t="shared" si="16"/>
        <v/>
      </c>
      <c r="E58" s="456" t="str">
        <f t="shared" si="16"/>
        <v/>
      </c>
      <c r="F58" s="457" t="str">
        <f t="shared" si="16"/>
        <v/>
      </c>
      <c r="G58" s="454" t="str">
        <f t="shared" si="16"/>
        <v/>
      </c>
      <c r="H58" s="455" t="str">
        <f t="shared" si="16"/>
        <v/>
      </c>
      <c r="I58" s="458" t="str">
        <f t="shared" si="16"/>
        <v/>
      </c>
      <c r="J58" s="457" t="str">
        <f t="shared" si="16"/>
        <v/>
      </c>
      <c r="K58" s="454" t="str">
        <f t="shared" si="16"/>
        <v/>
      </c>
      <c r="L58" s="455" t="str">
        <f t="shared" si="16"/>
        <v/>
      </c>
      <c r="M58" s="456" t="str">
        <f t="shared" si="16"/>
        <v/>
      </c>
      <c r="N58" s="457" t="str">
        <f t="shared" si="16"/>
        <v/>
      </c>
      <c r="O58" s="454" t="str">
        <f t="shared" si="16"/>
        <v/>
      </c>
      <c r="P58" s="459" t="str">
        <f t="shared" si="16"/>
        <v/>
      </c>
      <c r="Q58" s="456" t="str">
        <f t="shared" si="16"/>
        <v/>
      </c>
      <c r="R58" s="457" t="str">
        <f t="shared" si="16"/>
        <v/>
      </c>
      <c r="S58" s="454" t="str">
        <f t="shared" si="16"/>
        <v/>
      </c>
      <c r="T58" s="455" t="str">
        <f t="shared" si="16"/>
        <v/>
      </c>
      <c r="U58" s="456" t="str">
        <f t="shared" si="16"/>
        <v/>
      </c>
      <c r="V58" s="457" t="str">
        <f t="shared" si="16"/>
        <v/>
      </c>
      <c r="W58" s="454" t="str">
        <f t="shared" si="16"/>
        <v/>
      </c>
      <c r="X58" s="455" t="str">
        <f t="shared" si="16"/>
        <v/>
      </c>
      <c r="Y58" s="456" t="str">
        <f t="shared" si="16"/>
        <v/>
      </c>
      <c r="Z58" s="457" t="str">
        <f t="shared" si="16"/>
        <v/>
      </c>
      <c r="AA58" s="454" t="str">
        <f t="shared" si="16"/>
        <v/>
      </c>
      <c r="AB58" s="455" t="str">
        <f t="shared" si="16"/>
        <v/>
      </c>
      <c r="AC58" s="456" t="str">
        <f t="shared" si="16"/>
        <v/>
      </c>
      <c r="AD58" s="460" t="str">
        <f t="shared" si="16"/>
        <v/>
      </c>
      <c r="AE58" s="390"/>
    </row>
    <row r="59" ht="15.75" customHeight="1">
      <c r="A59" s="202"/>
      <c r="B59" s="461" t="s">
        <v>197</v>
      </c>
      <c r="C59" s="462" t="str">
        <f t="shared" ref="C59:AD59" si="17">IF(C45&gt;0,(C40-C41)*(C45*0.66),"")</f>
        <v/>
      </c>
      <c r="D59" s="463" t="str">
        <f t="shared" si="17"/>
        <v/>
      </c>
      <c r="E59" s="462" t="str">
        <f t="shared" si="17"/>
        <v/>
      </c>
      <c r="F59" s="463" t="str">
        <f t="shared" si="17"/>
        <v/>
      </c>
      <c r="G59" s="462" t="str">
        <f t="shared" si="17"/>
        <v/>
      </c>
      <c r="H59" s="463" t="str">
        <f t="shared" si="17"/>
        <v/>
      </c>
      <c r="I59" s="464" t="str">
        <f t="shared" si="17"/>
        <v/>
      </c>
      <c r="J59" s="463" t="str">
        <f t="shared" si="17"/>
        <v/>
      </c>
      <c r="K59" s="462" t="str">
        <f t="shared" si="17"/>
        <v/>
      </c>
      <c r="L59" s="463" t="str">
        <f t="shared" si="17"/>
        <v/>
      </c>
      <c r="M59" s="462" t="str">
        <f t="shared" si="17"/>
        <v/>
      </c>
      <c r="N59" s="463" t="str">
        <f t="shared" si="17"/>
        <v/>
      </c>
      <c r="O59" s="462" t="str">
        <f t="shared" si="17"/>
        <v/>
      </c>
      <c r="P59" s="465" t="str">
        <f t="shared" si="17"/>
        <v/>
      </c>
      <c r="Q59" s="462" t="str">
        <f t="shared" si="17"/>
        <v/>
      </c>
      <c r="R59" s="463" t="str">
        <f t="shared" si="17"/>
        <v/>
      </c>
      <c r="S59" s="462" t="str">
        <f t="shared" si="17"/>
        <v/>
      </c>
      <c r="T59" s="463" t="str">
        <f t="shared" si="17"/>
        <v/>
      </c>
      <c r="U59" s="462" t="str">
        <f t="shared" si="17"/>
        <v/>
      </c>
      <c r="V59" s="463" t="str">
        <f t="shared" si="17"/>
        <v/>
      </c>
      <c r="W59" s="462" t="str">
        <f t="shared" si="17"/>
        <v/>
      </c>
      <c r="X59" s="463" t="str">
        <f t="shared" si="17"/>
        <v/>
      </c>
      <c r="Y59" s="462" t="str">
        <f t="shared" si="17"/>
        <v/>
      </c>
      <c r="Z59" s="463" t="str">
        <f t="shared" si="17"/>
        <v/>
      </c>
      <c r="AA59" s="462" t="str">
        <f t="shared" si="17"/>
        <v/>
      </c>
      <c r="AB59" s="463" t="str">
        <f t="shared" si="17"/>
        <v/>
      </c>
      <c r="AC59" s="462" t="str">
        <f t="shared" si="17"/>
        <v/>
      </c>
      <c r="AD59" s="465" t="str">
        <f t="shared" si="17"/>
        <v/>
      </c>
      <c r="AE59" s="201"/>
    </row>
    <row r="60" ht="15.75" customHeight="1">
      <c r="A60" s="202"/>
      <c r="B60" s="461" t="s">
        <v>198</v>
      </c>
      <c r="C60" s="462" t="str">
        <f t="shared" ref="C60:AD60" si="18">IF(C45&gt;0,C45*0.75,"")</f>
        <v/>
      </c>
      <c r="D60" s="463" t="str">
        <f t="shared" si="18"/>
        <v/>
      </c>
      <c r="E60" s="462" t="str">
        <f t="shared" si="18"/>
        <v/>
      </c>
      <c r="F60" s="463" t="str">
        <f t="shared" si="18"/>
        <v/>
      </c>
      <c r="G60" s="462" t="str">
        <f t="shared" si="18"/>
        <v/>
      </c>
      <c r="H60" s="463" t="str">
        <f t="shared" si="18"/>
        <v/>
      </c>
      <c r="I60" s="464" t="str">
        <f t="shared" si="18"/>
        <v/>
      </c>
      <c r="J60" s="463" t="str">
        <f t="shared" si="18"/>
        <v/>
      </c>
      <c r="K60" s="462" t="str">
        <f t="shared" si="18"/>
        <v/>
      </c>
      <c r="L60" s="463" t="str">
        <f t="shared" si="18"/>
        <v/>
      </c>
      <c r="M60" s="462" t="str">
        <f t="shared" si="18"/>
        <v/>
      </c>
      <c r="N60" s="463" t="str">
        <f t="shared" si="18"/>
        <v/>
      </c>
      <c r="O60" s="462" t="str">
        <f t="shared" si="18"/>
        <v/>
      </c>
      <c r="P60" s="465" t="str">
        <f t="shared" si="18"/>
        <v/>
      </c>
      <c r="Q60" s="462" t="str">
        <f t="shared" si="18"/>
        <v/>
      </c>
      <c r="R60" s="463" t="str">
        <f t="shared" si="18"/>
        <v/>
      </c>
      <c r="S60" s="462" t="str">
        <f t="shared" si="18"/>
        <v/>
      </c>
      <c r="T60" s="463" t="str">
        <f t="shared" si="18"/>
        <v/>
      </c>
      <c r="U60" s="462" t="str">
        <f t="shared" si="18"/>
        <v/>
      </c>
      <c r="V60" s="463" t="str">
        <f t="shared" si="18"/>
        <v/>
      </c>
      <c r="W60" s="462" t="str">
        <f t="shared" si="18"/>
        <v/>
      </c>
      <c r="X60" s="463" t="str">
        <f t="shared" si="18"/>
        <v/>
      </c>
      <c r="Y60" s="462" t="str">
        <f t="shared" si="18"/>
        <v/>
      </c>
      <c r="Z60" s="463" t="str">
        <f t="shared" si="18"/>
        <v/>
      </c>
      <c r="AA60" s="462" t="str">
        <f t="shared" si="18"/>
        <v/>
      </c>
      <c r="AB60" s="463" t="str">
        <f t="shared" si="18"/>
        <v/>
      </c>
      <c r="AC60" s="462" t="str">
        <f t="shared" si="18"/>
        <v/>
      </c>
      <c r="AD60" s="465" t="str">
        <f t="shared" si="18"/>
        <v/>
      </c>
      <c r="AE60" s="201"/>
    </row>
    <row r="61" ht="15.75" customHeight="1">
      <c r="A61" s="202"/>
      <c r="B61" s="466" t="s">
        <v>199</v>
      </c>
      <c r="C61" s="467" t="str">
        <f t="shared" ref="C61:AD61" si="19">IFS(AND(C51&lt;&gt;"",C37&lt;&gt;""),C51*C37,AND(C51&lt;&gt;"",C31&lt;&gt;""),C51*C31,C51="","")</f>
        <v/>
      </c>
      <c r="D61" s="467">
        <f t="shared" si="19"/>
        <v>208</v>
      </c>
      <c r="E61" s="467">
        <f t="shared" si="19"/>
        <v>208</v>
      </c>
      <c r="F61" s="467" t="str">
        <f t="shared" si="19"/>
        <v>#REF!</v>
      </c>
      <c r="G61" s="467">
        <f t="shared" si="19"/>
        <v>170</v>
      </c>
      <c r="H61" s="467" t="str">
        <f t="shared" si="19"/>
        <v/>
      </c>
      <c r="I61" s="468" t="str">
        <f t="shared" si="19"/>
        <v/>
      </c>
      <c r="J61" s="467" t="str">
        <f t="shared" si="19"/>
        <v/>
      </c>
      <c r="K61" s="467" t="str">
        <f t="shared" si="19"/>
        <v/>
      </c>
      <c r="L61" s="467" t="str">
        <f t="shared" si="19"/>
        <v/>
      </c>
      <c r="M61" s="469" t="str">
        <f t="shared" si="19"/>
        <v/>
      </c>
      <c r="N61" s="469" t="str">
        <f t="shared" si="19"/>
        <v/>
      </c>
      <c r="O61" s="467" t="str">
        <f t="shared" si="19"/>
        <v/>
      </c>
      <c r="P61" s="470" t="str">
        <f t="shared" si="19"/>
        <v/>
      </c>
      <c r="Q61" s="469" t="str">
        <f t="shared" si="19"/>
        <v/>
      </c>
      <c r="R61" s="467">
        <f t="shared" si="19"/>
        <v>198</v>
      </c>
      <c r="S61" s="467">
        <f t="shared" si="19"/>
        <v>152</v>
      </c>
      <c r="T61" s="467">
        <f t="shared" si="19"/>
        <v>171</v>
      </c>
      <c r="U61" s="467">
        <f t="shared" si="19"/>
        <v>136</v>
      </c>
      <c r="V61" s="467" t="str">
        <f t="shared" si="19"/>
        <v/>
      </c>
      <c r="W61" s="467" t="str">
        <f t="shared" si="19"/>
        <v/>
      </c>
      <c r="X61" s="467" t="str">
        <f t="shared" si="19"/>
        <v/>
      </c>
      <c r="Y61" s="467" t="str">
        <f t="shared" si="19"/>
        <v/>
      </c>
      <c r="Z61" s="467" t="str">
        <f t="shared" si="19"/>
        <v/>
      </c>
      <c r="AA61" s="467" t="str">
        <f t="shared" si="19"/>
        <v/>
      </c>
      <c r="AB61" s="467" t="str">
        <f t="shared" si="19"/>
        <v/>
      </c>
      <c r="AC61" s="467" t="str">
        <f t="shared" si="19"/>
        <v/>
      </c>
      <c r="AD61" s="468" t="str">
        <f t="shared" si="19"/>
        <v/>
      </c>
      <c r="AE61" s="201"/>
    </row>
    <row r="62" ht="15.75" customHeight="1">
      <c r="A62" s="277"/>
      <c r="B62" s="471" t="s">
        <v>200</v>
      </c>
      <c r="C62" s="472" t="str">
        <f t="shared" ref="C62:AD62" si="20">IFS(C50="","",AND(C50&lt;&gt;"",C27&lt;&gt;""),(C50*100*C27)/C22)</f>
        <v/>
      </c>
      <c r="D62" s="473">
        <f t="shared" si="20"/>
        <v>6.59223301</v>
      </c>
      <c r="E62" s="474">
        <f t="shared" si="20"/>
        <v>4.748201439</v>
      </c>
      <c r="F62" s="473" t="str">
        <f t="shared" si="20"/>
        <v>#REF!</v>
      </c>
      <c r="G62" s="474">
        <f t="shared" si="20"/>
        <v>10.79691517</v>
      </c>
      <c r="H62" s="475" t="str">
        <f t="shared" si="20"/>
        <v/>
      </c>
      <c r="I62" s="476" t="str">
        <f t="shared" si="20"/>
        <v/>
      </c>
      <c r="J62" s="475" t="str">
        <f t="shared" si="20"/>
        <v/>
      </c>
      <c r="K62" s="477" t="str">
        <f t="shared" si="20"/>
        <v/>
      </c>
      <c r="L62" s="475" t="str">
        <f t="shared" si="20"/>
        <v/>
      </c>
      <c r="M62" s="477" t="str">
        <f t="shared" si="20"/>
        <v/>
      </c>
      <c r="N62" s="475" t="str">
        <f t="shared" si="20"/>
        <v/>
      </c>
      <c r="O62" s="477" t="str">
        <f t="shared" si="20"/>
        <v/>
      </c>
      <c r="P62" s="478" t="str">
        <f t="shared" si="20"/>
        <v/>
      </c>
      <c r="Q62" s="477" t="str">
        <f t="shared" si="20"/>
        <v/>
      </c>
      <c r="R62" s="473">
        <f t="shared" si="20"/>
        <v>9.619151251</v>
      </c>
      <c r="S62" s="477" t="str">
        <f t="shared" si="20"/>
        <v>#N/A</v>
      </c>
      <c r="T62" s="475" t="str">
        <f t="shared" si="20"/>
        <v>#N/A</v>
      </c>
      <c r="U62" s="474">
        <f t="shared" si="20"/>
        <v>9.555555556</v>
      </c>
      <c r="V62" s="475" t="str">
        <f t="shared" si="20"/>
        <v/>
      </c>
      <c r="W62" s="477" t="str">
        <f t="shared" si="20"/>
        <v/>
      </c>
      <c r="X62" s="475" t="str">
        <f t="shared" si="20"/>
        <v/>
      </c>
      <c r="Y62" s="477" t="str">
        <f t="shared" si="20"/>
        <v/>
      </c>
      <c r="Z62" s="475" t="str">
        <f t="shared" si="20"/>
        <v/>
      </c>
      <c r="AA62" s="477" t="str">
        <f t="shared" si="20"/>
        <v/>
      </c>
      <c r="AB62" s="475" t="str">
        <f t="shared" si="20"/>
        <v/>
      </c>
      <c r="AC62" s="477" t="str">
        <f t="shared" si="20"/>
        <v/>
      </c>
      <c r="AD62" s="478" t="str">
        <f t="shared" si="20"/>
        <v/>
      </c>
      <c r="AE62" s="201"/>
    </row>
    <row r="63" ht="15.75" customHeight="1">
      <c r="A63" s="479"/>
      <c r="B63" s="480"/>
      <c r="C63" s="181"/>
      <c r="D63" s="181"/>
      <c r="E63" s="181"/>
      <c r="F63" s="181"/>
      <c r="G63" s="181"/>
      <c r="H63" s="56"/>
      <c r="I63" s="56"/>
      <c r="J63" s="56"/>
      <c r="K63" s="56"/>
      <c r="L63" s="56"/>
      <c r="M63" s="181"/>
      <c r="N63" s="181"/>
      <c r="O63" s="56"/>
      <c r="P63" s="181"/>
      <c r="Q63" s="181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1"/>
    </row>
    <row r="64" ht="15.75" customHeight="1">
      <c r="A64" s="479"/>
      <c r="B64" s="480"/>
      <c r="C64" s="181"/>
      <c r="D64" s="181"/>
      <c r="E64" s="181"/>
      <c r="F64" s="181"/>
      <c r="G64" s="181"/>
      <c r="H64" s="56"/>
      <c r="I64" s="56"/>
      <c r="J64" s="56"/>
      <c r="K64" s="56"/>
      <c r="L64" s="56"/>
      <c r="M64" s="181"/>
      <c r="N64" s="181"/>
      <c r="O64" s="56"/>
      <c r="P64" s="181"/>
      <c r="Q64" s="181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1"/>
    </row>
    <row r="65" ht="15.75" customHeight="1">
      <c r="A65" s="479"/>
      <c r="B65" s="481" t="s">
        <v>113</v>
      </c>
      <c r="C65" s="482">
        <f>SUM(C66:C70)</f>
        <v>12</v>
      </c>
      <c r="D65" s="181"/>
      <c r="E65" s="483" t="s">
        <v>112</v>
      </c>
      <c r="F65" s="484">
        <f>F66+F67+F68+F69+F71</f>
        <v>21</v>
      </c>
      <c r="G65" s="181"/>
      <c r="H65" s="485" t="s">
        <v>114</v>
      </c>
      <c r="I65" s="486">
        <f>SUM(I66:I72)</f>
        <v>2</v>
      </c>
      <c r="J65" s="56"/>
      <c r="K65" s="487" t="s">
        <v>201</v>
      </c>
      <c r="L65" s="188"/>
      <c r="M65" s="488">
        <f>COUNTIF(15:15,"POSITIVO")</f>
        <v>5</v>
      </c>
      <c r="N65" s="181"/>
      <c r="O65" s="489" t="s">
        <v>202</v>
      </c>
      <c r="P65" s="482" t="str">
        <f>IF(P66&gt;0,"SI","NO")</f>
        <v>NO</v>
      </c>
      <c r="Q65" s="181"/>
      <c r="R65" s="56"/>
      <c r="S65" s="490" t="s">
        <v>203</v>
      </c>
      <c r="T65" s="491">
        <f>COUNTIF(28:28,"&lt;200")</f>
        <v>7</v>
      </c>
      <c r="U65" s="56"/>
      <c r="V65" s="56"/>
      <c r="W65" s="56"/>
      <c r="X65" s="56"/>
      <c r="Y65" s="56"/>
      <c r="Z65" s="56"/>
      <c r="AB65" s="183"/>
      <c r="AC65" s="183"/>
      <c r="AD65" s="183"/>
      <c r="AE65" s="201"/>
    </row>
    <row r="66" ht="15.75" customHeight="1">
      <c r="A66" s="56"/>
      <c r="B66" s="492" t="s">
        <v>204</v>
      </c>
      <c r="C66" s="493">
        <f>COUNTIF(14:14,"MDZ")</f>
        <v>3</v>
      </c>
      <c r="D66" s="181"/>
      <c r="E66" s="494" t="s">
        <v>205</v>
      </c>
      <c r="F66" s="495">
        <f>COUNTIF(12:12,"FNT")</f>
        <v>21</v>
      </c>
      <c r="G66" s="181"/>
      <c r="H66" s="492" t="s">
        <v>206</v>
      </c>
      <c r="I66" s="496">
        <f>COUNTIF(19:19,"NORA")</f>
        <v>0</v>
      </c>
      <c r="J66" s="177"/>
      <c r="K66" s="497" t="s">
        <v>207</v>
      </c>
      <c r="L66" s="188"/>
      <c r="M66" s="498">
        <f>COUNTIF(15:15,"NEGATIVO")</f>
        <v>0</v>
      </c>
      <c r="N66" s="499"/>
      <c r="O66" s="500" t="s">
        <v>208</v>
      </c>
      <c r="P66" s="495">
        <f>COUNTIFS(17:17,"&gt;=0",17:17,"&lt;48")</f>
        <v>0</v>
      </c>
      <c r="Q66" s="501" t="s">
        <v>209</v>
      </c>
      <c r="AB66" s="183"/>
      <c r="AC66" s="183"/>
      <c r="AD66" s="183"/>
      <c r="AE66" s="183"/>
    </row>
    <row r="67" ht="15.75" customHeight="1">
      <c r="A67" s="502"/>
      <c r="B67" s="503" t="s">
        <v>210</v>
      </c>
      <c r="C67" s="504">
        <f>COUNTIF(14:14,"PROPO")</f>
        <v>9</v>
      </c>
      <c r="D67" s="505"/>
      <c r="E67" s="506" t="s">
        <v>211</v>
      </c>
      <c r="F67" s="507">
        <f>COUNTIF(12:12,"MORF")</f>
        <v>0</v>
      </c>
      <c r="G67" s="505"/>
      <c r="H67" s="508" t="s">
        <v>212</v>
      </c>
      <c r="I67" s="509">
        <f>COUNTIF(19:19,"VASO")</f>
        <v>0</v>
      </c>
      <c r="J67" s="177"/>
      <c r="K67" s="497" t="s">
        <v>213</v>
      </c>
      <c r="L67" s="188"/>
      <c r="M67" s="498">
        <f>COUNTIF(15:15,"N/E")</f>
        <v>11</v>
      </c>
      <c r="N67" s="499"/>
      <c r="O67" s="510" t="s">
        <v>214</v>
      </c>
      <c r="P67" s="511">
        <f>COUNTIF(17:17,"&gt;=48")</f>
        <v>0</v>
      </c>
      <c r="Q67" s="512" t="s">
        <v>209</v>
      </c>
      <c r="AB67" s="183"/>
      <c r="AC67" s="183"/>
      <c r="AD67" s="183"/>
      <c r="AE67" s="183"/>
    </row>
    <row r="68" ht="15.75" customHeight="1">
      <c r="A68" s="502"/>
      <c r="B68" s="503" t="s">
        <v>215</v>
      </c>
      <c r="C68" s="504">
        <f>COUNTIF(14:14,"DEXMEDETO")</f>
        <v>0</v>
      </c>
      <c r="D68" s="505"/>
      <c r="E68" s="506" t="s">
        <v>216</v>
      </c>
      <c r="F68" s="507">
        <f>COUNTIF(12:12,"REMI")</f>
        <v>0</v>
      </c>
      <c r="G68" s="505"/>
      <c r="H68" s="508" t="s">
        <v>217</v>
      </c>
      <c r="I68" s="509">
        <f>COUNTIF(19:19,"DOPA")</f>
        <v>0</v>
      </c>
      <c r="J68" s="177"/>
      <c r="K68" s="177"/>
      <c r="L68" s="177"/>
      <c r="M68" s="499"/>
      <c r="N68" s="499"/>
      <c r="O68" s="177"/>
      <c r="P68" s="499"/>
      <c r="Q68" s="499"/>
      <c r="AB68" s="183"/>
      <c r="AC68" s="183"/>
      <c r="AD68" s="183"/>
      <c r="AE68" s="183"/>
    </row>
    <row r="69" ht="15.75" customHeight="1">
      <c r="A69" s="502"/>
      <c r="B69" s="503" t="s">
        <v>218</v>
      </c>
      <c r="C69" s="513">
        <f>COUNTIF(14:14,"MDZ/PROPO")</f>
        <v>0</v>
      </c>
      <c r="D69" s="499"/>
      <c r="E69" s="506" t="s">
        <v>219</v>
      </c>
      <c r="F69" s="509">
        <f>COUNTIF(12:12,"DOLOFRIX")</f>
        <v>0</v>
      </c>
      <c r="G69" s="499"/>
      <c r="H69" s="514" t="s">
        <v>220</v>
      </c>
      <c r="I69" s="509">
        <f>COUNTIF(19:19,"NORA/VASO")</f>
        <v>0</v>
      </c>
      <c r="J69" s="177"/>
      <c r="K69" s="515" t="s">
        <v>221</v>
      </c>
      <c r="L69" s="188"/>
      <c r="M69" s="516">
        <f>SUM(M70:M72)</f>
        <v>0</v>
      </c>
      <c r="N69" s="499"/>
      <c r="O69" s="517" t="s">
        <v>115</v>
      </c>
      <c r="P69" s="518">
        <f>SUM(P70:P73)</f>
        <v>4</v>
      </c>
      <c r="Q69" s="499"/>
      <c r="AB69" s="183"/>
      <c r="AC69" s="183"/>
      <c r="AD69" s="183"/>
      <c r="AE69" s="183"/>
    </row>
    <row r="70" ht="15.75" customHeight="1">
      <c r="A70" s="502"/>
      <c r="B70" s="503" t="s">
        <v>222</v>
      </c>
      <c r="C70" s="513">
        <f>COUNTIF(14:14,"KETA")</f>
        <v>0</v>
      </c>
      <c r="D70" s="499"/>
      <c r="E70" s="506" t="s">
        <v>223</v>
      </c>
      <c r="F70" s="509">
        <f>COUNTIF(12:12,"AINES")</f>
        <v>0</v>
      </c>
      <c r="G70" s="499"/>
      <c r="H70" s="514" t="s">
        <v>224</v>
      </c>
      <c r="I70" s="509">
        <f>COUNTIF(19:19,"DOBUTA")</f>
        <v>0</v>
      </c>
      <c r="J70" s="177"/>
      <c r="K70" s="519" t="s">
        <v>225</v>
      </c>
      <c r="L70" s="137"/>
      <c r="M70" s="520">
        <f>COUNTIF(16:16,"QTP")</f>
        <v>0</v>
      </c>
      <c r="N70" s="499"/>
      <c r="O70" s="521" t="s">
        <v>226</v>
      </c>
      <c r="P70" s="522">
        <f>COUNTIF(18:18,"ATRA")</f>
        <v>4</v>
      </c>
      <c r="Q70" s="499"/>
      <c r="AB70" s="183"/>
      <c r="AC70" s="183"/>
      <c r="AD70" s="183"/>
      <c r="AE70" s="183"/>
    </row>
    <row r="71" ht="15.75" customHeight="1">
      <c r="A71" s="502"/>
      <c r="B71" s="523" t="s">
        <v>227</v>
      </c>
      <c r="C71" s="524">
        <f>COUNTIF(14:14,"OTROS")</f>
        <v>0</v>
      </c>
      <c r="D71" s="499"/>
      <c r="E71" s="525" t="s">
        <v>227</v>
      </c>
      <c r="F71" s="511">
        <f>COUNTIF(12:12,"OTROS")</f>
        <v>0</v>
      </c>
      <c r="G71" s="499"/>
      <c r="H71" s="514" t="s">
        <v>228</v>
      </c>
      <c r="I71" s="509">
        <f>COUNTIF(19:19,"MILRI")</f>
        <v>0</v>
      </c>
      <c r="J71" s="177"/>
      <c r="K71" s="519" t="s">
        <v>229</v>
      </c>
      <c r="L71" s="137"/>
      <c r="M71" s="520">
        <f>COUNTIF(16:16,"HLP")</f>
        <v>0</v>
      </c>
      <c r="N71" s="499"/>
      <c r="O71" s="526" t="s">
        <v>230</v>
      </c>
      <c r="P71" s="524">
        <f>COUNTIF(18:18,"ROCU")</f>
        <v>0</v>
      </c>
      <c r="Q71" s="499"/>
      <c r="AB71" s="183"/>
      <c r="AC71" s="183"/>
      <c r="AD71" s="183"/>
      <c r="AE71" s="183"/>
    </row>
    <row r="72" ht="15.75" customHeight="1">
      <c r="B72" s="177"/>
      <c r="C72" s="499"/>
      <c r="D72" s="499"/>
      <c r="E72" s="499"/>
      <c r="F72" s="499"/>
      <c r="G72" s="499"/>
      <c r="H72" s="526" t="s">
        <v>227</v>
      </c>
      <c r="I72" s="511">
        <f>COUNTIF(19:19,"OTROS")</f>
        <v>2</v>
      </c>
      <c r="J72" s="177"/>
      <c r="K72" s="510" t="s">
        <v>231</v>
      </c>
      <c r="L72" s="58"/>
      <c r="M72" s="527">
        <f>COUNTIF(16:16,"QTP/HLP")</f>
        <v>0</v>
      </c>
      <c r="N72" s="499"/>
      <c r="O72" s="528"/>
      <c r="P72" s="499"/>
      <c r="Q72" s="499"/>
      <c r="AB72" s="183"/>
      <c r="AC72" s="183"/>
      <c r="AD72" s="183"/>
      <c r="AE72" s="183"/>
    </row>
    <row r="73" ht="15.75" customHeight="1">
      <c r="B73" s="177"/>
      <c r="C73" s="499"/>
      <c r="D73" s="499"/>
      <c r="E73" s="499"/>
      <c r="F73" s="499"/>
      <c r="G73" s="499"/>
      <c r="H73" s="177"/>
      <c r="I73" s="177"/>
      <c r="J73" s="177"/>
      <c r="K73" s="177"/>
      <c r="L73" s="177"/>
      <c r="M73" s="499"/>
      <c r="N73" s="499"/>
      <c r="O73" s="528"/>
      <c r="P73" s="499"/>
      <c r="Q73" s="499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M74" s="182"/>
      <c r="N74" s="182"/>
      <c r="P74" s="182"/>
      <c r="Q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M75" s="182"/>
      <c r="N75" s="182"/>
      <c r="P75" s="182"/>
      <c r="Q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M76" s="182"/>
      <c r="N76" s="182"/>
      <c r="P76" s="182"/>
      <c r="Q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M77" s="182"/>
      <c r="N77" s="182"/>
      <c r="P77" s="182"/>
      <c r="Q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M78" s="182"/>
      <c r="N78" s="182"/>
      <c r="P78" s="182"/>
      <c r="Q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M79" s="182"/>
      <c r="N79" s="182"/>
      <c r="P79" s="182"/>
      <c r="Q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M80" s="182"/>
      <c r="N80" s="182"/>
      <c r="P80" s="182"/>
      <c r="Q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M81" s="182"/>
      <c r="N81" s="182"/>
      <c r="P81" s="182"/>
      <c r="Q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M82" s="182"/>
      <c r="N82" s="182"/>
      <c r="P82" s="182"/>
      <c r="Q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M83" s="182"/>
      <c r="N83" s="182"/>
      <c r="P83" s="182"/>
      <c r="Q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M84" s="182"/>
      <c r="N84" s="182"/>
      <c r="P84" s="182"/>
      <c r="Q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M85" s="182"/>
      <c r="N85" s="182"/>
      <c r="P85" s="182"/>
      <c r="Q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M86" s="182"/>
      <c r="N86" s="182"/>
      <c r="P86" s="182"/>
      <c r="Q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M87" s="182"/>
      <c r="N87" s="182"/>
      <c r="P87" s="182"/>
      <c r="Q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M88" s="182"/>
      <c r="N88" s="182"/>
      <c r="P88" s="182"/>
      <c r="Q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M89" s="182"/>
      <c r="N89" s="182"/>
      <c r="P89" s="182"/>
      <c r="Q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M90" s="182"/>
      <c r="N90" s="182"/>
      <c r="P90" s="182"/>
      <c r="Q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M91" s="182"/>
      <c r="N91" s="182"/>
      <c r="P91" s="182"/>
      <c r="Q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M92" s="182"/>
      <c r="N92" s="182"/>
      <c r="P92" s="182"/>
      <c r="Q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M93" s="182"/>
      <c r="N93" s="182"/>
      <c r="P93" s="182"/>
      <c r="Q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M94" s="182"/>
      <c r="N94" s="182"/>
      <c r="P94" s="182"/>
      <c r="Q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M95" s="182"/>
      <c r="N95" s="182"/>
      <c r="P95" s="182"/>
      <c r="Q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M96" s="182"/>
      <c r="N96" s="182"/>
      <c r="P96" s="182"/>
      <c r="Q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M97" s="182"/>
      <c r="N97" s="182"/>
      <c r="P97" s="182"/>
      <c r="Q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M98" s="182"/>
      <c r="N98" s="182"/>
      <c r="P98" s="182"/>
      <c r="Q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M99" s="182"/>
      <c r="N99" s="182"/>
      <c r="P99" s="182"/>
      <c r="Q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M100" s="182"/>
      <c r="N100" s="182"/>
      <c r="P100" s="182"/>
      <c r="Q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M101" s="182"/>
      <c r="N101" s="182"/>
      <c r="P101" s="182"/>
      <c r="Q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M102" s="182"/>
      <c r="N102" s="182"/>
      <c r="P102" s="182"/>
      <c r="Q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M103" s="182"/>
      <c r="N103" s="182"/>
      <c r="P103" s="182"/>
      <c r="Q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M104" s="182"/>
      <c r="N104" s="182"/>
      <c r="P104" s="182"/>
      <c r="Q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M105" s="182"/>
      <c r="N105" s="182"/>
      <c r="P105" s="182"/>
      <c r="Q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M106" s="182"/>
      <c r="N106" s="182"/>
      <c r="P106" s="182"/>
      <c r="Q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M107" s="182"/>
      <c r="N107" s="182"/>
      <c r="P107" s="182"/>
      <c r="Q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M108" s="182"/>
      <c r="N108" s="182"/>
      <c r="P108" s="182"/>
      <c r="Q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M109" s="182"/>
      <c r="N109" s="182"/>
      <c r="P109" s="182"/>
      <c r="Q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M110" s="182"/>
      <c r="N110" s="182"/>
      <c r="P110" s="182"/>
      <c r="Q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M111" s="182"/>
      <c r="N111" s="182"/>
      <c r="P111" s="182"/>
      <c r="Q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M112" s="182"/>
      <c r="N112" s="182"/>
      <c r="P112" s="182"/>
      <c r="Q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M113" s="182"/>
      <c r="N113" s="182"/>
      <c r="P113" s="182"/>
      <c r="Q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M114" s="182"/>
      <c r="N114" s="182"/>
      <c r="P114" s="182"/>
      <c r="Q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M115" s="182"/>
      <c r="N115" s="182"/>
      <c r="P115" s="182"/>
      <c r="Q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M116" s="182"/>
      <c r="N116" s="182"/>
      <c r="P116" s="182"/>
      <c r="Q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M117" s="182"/>
      <c r="N117" s="182"/>
      <c r="P117" s="182"/>
      <c r="Q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M118" s="182"/>
      <c r="N118" s="182"/>
      <c r="P118" s="182"/>
      <c r="Q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M119" s="182"/>
      <c r="N119" s="182"/>
      <c r="P119" s="182"/>
      <c r="Q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M120" s="182"/>
      <c r="N120" s="182"/>
      <c r="P120" s="182"/>
      <c r="Q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M121" s="182"/>
      <c r="N121" s="182"/>
      <c r="P121" s="182"/>
      <c r="Q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M122" s="182"/>
      <c r="N122" s="182"/>
      <c r="P122" s="182"/>
      <c r="Q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M123" s="182"/>
      <c r="N123" s="182"/>
      <c r="P123" s="182"/>
      <c r="Q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M124" s="182"/>
      <c r="N124" s="182"/>
      <c r="P124" s="182"/>
      <c r="Q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M125" s="182"/>
      <c r="N125" s="182"/>
      <c r="P125" s="182"/>
      <c r="Q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M126" s="182"/>
      <c r="N126" s="182"/>
      <c r="P126" s="182"/>
      <c r="Q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M127" s="182"/>
      <c r="N127" s="182"/>
      <c r="P127" s="182"/>
      <c r="Q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M128" s="182"/>
      <c r="N128" s="182"/>
      <c r="P128" s="182"/>
      <c r="Q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M129" s="182"/>
      <c r="N129" s="182"/>
      <c r="P129" s="182"/>
      <c r="Q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M130" s="182"/>
      <c r="N130" s="182"/>
      <c r="P130" s="182"/>
      <c r="Q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M131" s="182"/>
      <c r="N131" s="182"/>
      <c r="P131" s="182"/>
      <c r="Q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M132" s="182"/>
      <c r="N132" s="182"/>
      <c r="P132" s="182"/>
      <c r="Q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M133" s="182"/>
      <c r="N133" s="182"/>
      <c r="P133" s="182"/>
      <c r="Q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M134" s="182"/>
      <c r="N134" s="182"/>
      <c r="P134" s="182"/>
      <c r="Q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M135" s="182"/>
      <c r="N135" s="182"/>
      <c r="P135" s="182"/>
      <c r="Q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M136" s="182"/>
      <c r="N136" s="182"/>
      <c r="P136" s="182"/>
      <c r="Q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M137" s="182"/>
      <c r="N137" s="182"/>
      <c r="P137" s="182"/>
      <c r="Q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M138" s="182"/>
      <c r="N138" s="182"/>
      <c r="P138" s="182"/>
      <c r="Q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M139" s="182"/>
      <c r="N139" s="182"/>
      <c r="P139" s="182"/>
      <c r="Q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M140" s="182"/>
      <c r="N140" s="182"/>
      <c r="P140" s="182"/>
      <c r="Q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M141" s="182"/>
      <c r="N141" s="182"/>
      <c r="P141" s="182"/>
      <c r="Q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M142" s="182"/>
      <c r="N142" s="182"/>
      <c r="P142" s="182"/>
      <c r="Q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M143" s="182"/>
      <c r="N143" s="182"/>
      <c r="P143" s="182"/>
      <c r="Q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M144" s="182"/>
      <c r="N144" s="182"/>
      <c r="P144" s="182"/>
      <c r="Q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M145" s="182"/>
      <c r="N145" s="182"/>
      <c r="P145" s="182"/>
      <c r="Q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M146" s="182"/>
      <c r="N146" s="182"/>
      <c r="P146" s="182"/>
      <c r="Q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M147" s="182"/>
      <c r="N147" s="182"/>
      <c r="P147" s="182"/>
      <c r="Q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M148" s="182"/>
      <c r="N148" s="182"/>
      <c r="P148" s="182"/>
      <c r="Q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M149" s="182"/>
      <c r="N149" s="182"/>
      <c r="P149" s="182"/>
      <c r="Q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M150" s="182"/>
      <c r="N150" s="182"/>
      <c r="P150" s="182"/>
      <c r="Q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M151" s="182"/>
      <c r="N151" s="182"/>
      <c r="P151" s="182"/>
      <c r="Q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M152" s="182"/>
      <c r="N152" s="182"/>
      <c r="P152" s="182"/>
      <c r="Q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M153" s="182"/>
      <c r="N153" s="182"/>
      <c r="P153" s="182"/>
      <c r="Q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M154" s="182"/>
      <c r="N154" s="182"/>
      <c r="P154" s="182"/>
      <c r="Q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M155" s="182"/>
      <c r="N155" s="182"/>
      <c r="P155" s="182"/>
      <c r="Q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M156" s="182"/>
      <c r="N156" s="182"/>
      <c r="P156" s="182"/>
      <c r="Q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M157" s="182"/>
      <c r="N157" s="182"/>
      <c r="P157" s="182"/>
      <c r="Q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M158" s="182"/>
      <c r="N158" s="182"/>
      <c r="P158" s="182"/>
      <c r="Q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M159" s="182"/>
      <c r="N159" s="182"/>
      <c r="P159" s="182"/>
      <c r="Q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M160" s="182"/>
      <c r="N160" s="182"/>
      <c r="P160" s="182"/>
      <c r="Q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M161" s="182"/>
      <c r="N161" s="182"/>
      <c r="P161" s="182"/>
      <c r="Q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M162" s="182"/>
      <c r="N162" s="182"/>
      <c r="P162" s="182"/>
      <c r="Q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M163" s="182"/>
      <c r="N163" s="182"/>
      <c r="P163" s="182"/>
      <c r="Q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M164" s="182"/>
      <c r="N164" s="182"/>
      <c r="P164" s="182"/>
      <c r="Q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M165" s="182"/>
      <c r="N165" s="182"/>
      <c r="P165" s="182"/>
      <c r="Q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M166" s="182"/>
      <c r="N166" s="182"/>
      <c r="P166" s="182"/>
      <c r="Q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M167" s="182"/>
      <c r="N167" s="182"/>
      <c r="P167" s="182"/>
      <c r="Q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M168" s="182"/>
      <c r="N168" s="182"/>
      <c r="P168" s="182"/>
      <c r="Q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M169" s="182"/>
      <c r="N169" s="182"/>
      <c r="P169" s="182"/>
      <c r="Q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M170" s="182"/>
      <c r="N170" s="182"/>
      <c r="P170" s="182"/>
      <c r="Q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M171" s="182"/>
      <c r="N171" s="182"/>
      <c r="P171" s="182"/>
      <c r="Q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M172" s="182"/>
      <c r="N172" s="182"/>
      <c r="P172" s="182"/>
      <c r="Q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M173" s="182"/>
      <c r="N173" s="182"/>
      <c r="P173" s="182"/>
      <c r="Q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M174" s="182"/>
      <c r="N174" s="182"/>
      <c r="P174" s="182"/>
      <c r="Q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M175" s="182"/>
      <c r="N175" s="182"/>
      <c r="P175" s="182"/>
      <c r="Q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M176" s="182"/>
      <c r="N176" s="182"/>
      <c r="P176" s="182"/>
      <c r="Q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M177" s="182"/>
      <c r="N177" s="182"/>
      <c r="P177" s="182"/>
      <c r="Q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M178" s="182"/>
      <c r="N178" s="182"/>
      <c r="P178" s="182"/>
      <c r="Q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M179" s="182"/>
      <c r="N179" s="182"/>
      <c r="P179" s="182"/>
      <c r="Q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M180" s="182"/>
      <c r="N180" s="182"/>
      <c r="P180" s="182"/>
      <c r="Q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M181" s="182"/>
      <c r="N181" s="182"/>
      <c r="P181" s="182"/>
      <c r="Q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M182" s="182"/>
      <c r="N182" s="182"/>
      <c r="P182" s="182"/>
      <c r="Q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M183" s="182"/>
      <c r="N183" s="182"/>
      <c r="P183" s="182"/>
      <c r="Q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M184" s="182"/>
      <c r="N184" s="182"/>
      <c r="P184" s="182"/>
      <c r="Q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M185" s="182"/>
      <c r="N185" s="182"/>
      <c r="P185" s="182"/>
      <c r="Q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M186" s="182"/>
      <c r="N186" s="182"/>
      <c r="P186" s="182"/>
      <c r="Q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M187" s="182"/>
      <c r="N187" s="182"/>
      <c r="P187" s="182"/>
      <c r="Q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M188" s="182"/>
      <c r="N188" s="182"/>
      <c r="P188" s="182"/>
      <c r="Q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M189" s="182"/>
      <c r="N189" s="182"/>
      <c r="P189" s="182"/>
      <c r="Q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M190" s="182"/>
      <c r="N190" s="182"/>
      <c r="P190" s="182"/>
      <c r="Q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M191" s="182"/>
      <c r="N191" s="182"/>
      <c r="P191" s="182"/>
      <c r="Q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M192" s="182"/>
      <c r="N192" s="182"/>
      <c r="P192" s="182"/>
      <c r="Q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M193" s="182"/>
      <c r="N193" s="182"/>
      <c r="P193" s="182"/>
      <c r="Q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M194" s="182"/>
      <c r="N194" s="182"/>
      <c r="P194" s="182"/>
      <c r="Q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M195" s="182"/>
      <c r="N195" s="182"/>
      <c r="P195" s="182"/>
      <c r="Q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M196" s="182"/>
      <c r="N196" s="182"/>
      <c r="P196" s="182"/>
      <c r="Q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M197" s="182"/>
      <c r="N197" s="182"/>
      <c r="P197" s="182"/>
      <c r="Q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M198" s="182"/>
      <c r="N198" s="182"/>
      <c r="P198" s="182"/>
      <c r="Q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M199" s="182"/>
      <c r="N199" s="182"/>
      <c r="P199" s="182"/>
      <c r="Q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M200" s="182"/>
      <c r="N200" s="182"/>
      <c r="P200" s="182"/>
      <c r="Q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M201" s="182"/>
      <c r="N201" s="182"/>
      <c r="P201" s="182"/>
      <c r="Q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M202" s="182"/>
      <c r="N202" s="182"/>
      <c r="P202" s="182"/>
      <c r="Q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M203" s="182"/>
      <c r="N203" s="182"/>
      <c r="P203" s="182"/>
      <c r="Q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M204" s="182"/>
      <c r="N204" s="182"/>
      <c r="P204" s="182"/>
      <c r="Q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M205" s="182"/>
      <c r="N205" s="182"/>
      <c r="P205" s="182"/>
      <c r="Q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M206" s="182"/>
      <c r="N206" s="182"/>
      <c r="P206" s="182"/>
      <c r="Q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M207" s="182"/>
      <c r="N207" s="182"/>
      <c r="P207" s="182"/>
      <c r="Q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M208" s="182"/>
      <c r="N208" s="182"/>
      <c r="P208" s="182"/>
      <c r="Q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M209" s="182"/>
      <c r="N209" s="182"/>
      <c r="P209" s="182"/>
      <c r="Q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M210" s="182"/>
      <c r="N210" s="182"/>
      <c r="P210" s="182"/>
      <c r="Q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M211" s="182"/>
      <c r="N211" s="182"/>
      <c r="P211" s="182"/>
      <c r="Q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M212" s="182"/>
      <c r="N212" s="182"/>
      <c r="P212" s="182"/>
      <c r="Q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M213" s="182"/>
      <c r="N213" s="182"/>
      <c r="P213" s="182"/>
      <c r="Q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M214" s="182"/>
      <c r="N214" s="182"/>
      <c r="P214" s="182"/>
      <c r="Q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M215" s="182"/>
      <c r="N215" s="182"/>
      <c r="P215" s="182"/>
      <c r="Q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M216" s="182"/>
      <c r="N216" s="182"/>
      <c r="P216" s="182"/>
      <c r="Q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M217" s="182"/>
      <c r="N217" s="182"/>
      <c r="P217" s="182"/>
      <c r="Q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M218" s="182"/>
      <c r="N218" s="182"/>
      <c r="P218" s="182"/>
      <c r="Q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M219" s="182"/>
      <c r="N219" s="182"/>
      <c r="P219" s="182"/>
      <c r="Q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M220" s="182"/>
      <c r="N220" s="182"/>
      <c r="P220" s="182"/>
      <c r="Q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M221" s="182"/>
      <c r="N221" s="182"/>
      <c r="P221" s="182"/>
      <c r="Q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M222" s="182"/>
      <c r="N222" s="182"/>
      <c r="P222" s="182"/>
      <c r="Q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M223" s="182"/>
      <c r="N223" s="182"/>
      <c r="P223" s="182"/>
      <c r="Q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M224" s="182"/>
      <c r="N224" s="182"/>
      <c r="P224" s="182"/>
      <c r="Q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M225" s="182"/>
      <c r="N225" s="182"/>
      <c r="P225" s="182"/>
      <c r="Q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M226" s="182"/>
      <c r="N226" s="182"/>
      <c r="P226" s="182"/>
      <c r="Q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M227" s="182"/>
      <c r="N227" s="182"/>
      <c r="P227" s="182"/>
      <c r="Q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M228" s="182"/>
      <c r="N228" s="182"/>
      <c r="P228" s="182"/>
      <c r="Q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M229" s="182"/>
      <c r="N229" s="182"/>
      <c r="P229" s="182"/>
      <c r="Q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M230" s="182"/>
      <c r="N230" s="182"/>
      <c r="P230" s="182"/>
      <c r="Q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M231" s="182"/>
      <c r="N231" s="182"/>
      <c r="P231" s="182"/>
      <c r="Q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M232" s="182"/>
      <c r="N232" s="182"/>
      <c r="P232" s="182"/>
      <c r="Q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M233" s="182"/>
      <c r="N233" s="182"/>
      <c r="P233" s="182"/>
      <c r="Q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M234" s="182"/>
      <c r="N234" s="182"/>
      <c r="P234" s="182"/>
      <c r="Q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M235" s="182"/>
      <c r="N235" s="182"/>
      <c r="P235" s="182"/>
      <c r="Q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M236" s="182"/>
      <c r="N236" s="182"/>
      <c r="P236" s="182"/>
      <c r="Q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M237" s="182"/>
      <c r="N237" s="182"/>
      <c r="P237" s="182"/>
      <c r="Q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M238" s="182"/>
      <c r="N238" s="182"/>
      <c r="P238" s="182"/>
      <c r="Q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M239" s="182"/>
      <c r="N239" s="182"/>
      <c r="P239" s="182"/>
      <c r="Q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M240" s="182"/>
      <c r="N240" s="182"/>
      <c r="P240" s="182"/>
      <c r="Q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M241" s="182"/>
      <c r="N241" s="182"/>
      <c r="P241" s="182"/>
      <c r="Q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M242" s="182"/>
      <c r="N242" s="182"/>
      <c r="P242" s="182"/>
      <c r="Q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M243" s="182"/>
      <c r="N243" s="182"/>
      <c r="P243" s="182"/>
      <c r="Q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M244" s="182"/>
      <c r="N244" s="182"/>
      <c r="P244" s="182"/>
      <c r="Q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M245" s="182"/>
      <c r="N245" s="182"/>
      <c r="P245" s="182"/>
      <c r="Q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M246" s="182"/>
      <c r="N246" s="182"/>
      <c r="P246" s="182"/>
      <c r="Q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M247" s="182"/>
      <c r="N247" s="182"/>
      <c r="P247" s="182"/>
      <c r="Q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M248" s="182"/>
      <c r="N248" s="182"/>
      <c r="P248" s="182"/>
      <c r="Q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M249" s="182"/>
      <c r="N249" s="182"/>
      <c r="P249" s="182"/>
      <c r="Q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M250" s="182"/>
      <c r="N250" s="182"/>
      <c r="P250" s="182"/>
      <c r="Q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M251" s="182"/>
      <c r="N251" s="182"/>
      <c r="P251" s="182"/>
      <c r="Q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M252" s="182"/>
      <c r="N252" s="182"/>
      <c r="P252" s="182"/>
      <c r="Q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M253" s="182"/>
      <c r="N253" s="182"/>
      <c r="P253" s="182"/>
      <c r="Q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M254" s="182"/>
      <c r="N254" s="182"/>
      <c r="P254" s="182"/>
      <c r="Q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M255" s="182"/>
      <c r="N255" s="182"/>
      <c r="P255" s="182"/>
      <c r="Q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M256" s="182"/>
      <c r="N256" s="182"/>
      <c r="P256" s="182"/>
      <c r="Q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M257" s="182"/>
      <c r="N257" s="182"/>
      <c r="P257" s="182"/>
      <c r="Q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M258" s="182"/>
      <c r="N258" s="182"/>
      <c r="P258" s="182"/>
      <c r="Q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M259" s="182"/>
      <c r="N259" s="182"/>
      <c r="P259" s="182"/>
      <c r="Q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M260" s="182"/>
      <c r="N260" s="182"/>
      <c r="P260" s="182"/>
      <c r="Q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M261" s="182"/>
      <c r="N261" s="182"/>
      <c r="P261" s="182"/>
      <c r="Q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M262" s="182"/>
      <c r="N262" s="182"/>
      <c r="P262" s="182"/>
      <c r="Q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M263" s="182"/>
      <c r="N263" s="182"/>
      <c r="P263" s="182"/>
      <c r="Q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M264" s="182"/>
      <c r="N264" s="182"/>
      <c r="P264" s="182"/>
      <c r="Q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M265" s="182"/>
      <c r="N265" s="182"/>
      <c r="P265" s="182"/>
      <c r="Q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M266" s="182"/>
      <c r="N266" s="182"/>
      <c r="P266" s="182"/>
      <c r="Q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M267" s="182"/>
      <c r="N267" s="182"/>
      <c r="P267" s="182"/>
      <c r="Q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M268" s="182"/>
      <c r="N268" s="182"/>
      <c r="P268" s="182"/>
      <c r="Q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M269" s="182"/>
      <c r="N269" s="182"/>
      <c r="P269" s="182"/>
      <c r="Q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M270" s="182"/>
      <c r="N270" s="182"/>
      <c r="P270" s="182"/>
      <c r="Q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M271" s="182"/>
      <c r="N271" s="182"/>
      <c r="P271" s="182"/>
      <c r="Q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M272" s="182"/>
      <c r="N272" s="182"/>
      <c r="P272" s="182"/>
      <c r="Q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M273" s="182"/>
      <c r="N273" s="182"/>
      <c r="P273" s="182"/>
      <c r="Q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M274" s="182"/>
      <c r="N274" s="182"/>
      <c r="P274" s="182"/>
      <c r="Q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M275" s="182"/>
      <c r="N275" s="182"/>
      <c r="P275" s="182"/>
      <c r="Q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M276" s="182"/>
      <c r="N276" s="182"/>
      <c r="P276" s="182"/>
      <c r="Q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M277" s="182"/>
      <c r="N277" s="182"/>
      <c r="P277" s="182"/>
      <c r="Q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M278" s="182"/>
      <c r="N278" s="182"/>
      <c r="P278" s="182"/>
      <c r="Q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M279" s="182"/>
      <c r="N279" s="182"/>
      <c r="P279" s="182"/>
      <c r="Q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M280" s="182"/>
      <c r="N280" s="182"/>
      <c r="P280" s="182"/>
      <c r="Q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M281" s="182"/>
      <c r="N281" s="182"/>
      <c r="P281" s="182"/>
      <c r="Q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M282" s="182"/>
      <c r="N282" s="182"/>
      <c r="P282" s="182"/>
      <c r="Q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M283" s="182"/>
      <c r="N283" s="182"/>
      <c r="P283" s="182"/>
      <c r="Q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M284" s="182"/>
      <c r="N284" s="182"/>
      <c r="P284" s="182"/>
      <c r="Q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M285" s="182"/>
      <c r="N285" s="182"/>
      <c r="P285" s="182"/>
      <c r="Q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M286" s="182"/>
      <c r="N286" s="182"/>
      <c r="P286" s="182"/>
      <c r="Q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M287" s="182"/>
      <c r="N287" s="182"/>
      <c r="P287" s="182"/>
      <c r="Q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M288" s="182"/>
      <c r="N288" s="182"/>
      <c r="P288" s="182"/>
      <c r="Q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M289" s="182"/>
      <c r="N289" s="182"/>
      <c r="P289" s="182"/>
      <c r="Q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M290" s="182"/>
      <c r="N290" s="182"/>
      <c r="P290" s="182"/>
      <c r="Q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M291" s="182"/>
      <c r="N291" s="182"/>
      <c r="P291" s="182"/>
      <c r="Q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M292" s="182"/>
      <c r="N292" s="182"/>
      <c r="P292" s="182"/>
      <c r="Q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M293" s="182"/>
      <c r="N293" s="182"/>
      <c r="P293" s="182"/>
      <c r="Q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M294" s="182"/>
      <c r="N294" s="182"/>
      <c r="P294" s="182"/>
      <c r="Q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M295" s="182"/>
      <c r="N295" s="182"/>
      <c r="P295" s="182"/>
      <c r="Q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M296" s="182"/>
      <c r="N296" s="182"/>
      <c r="P296" s="182"/>
      <c r="Q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M297" s="182"/>
      <c r="N297" s="182"/>
      <c r="P297" s="182"/>
      <c r="Q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M298" s="182"/>
      <c r="N298" s="182"/>
      <c r="P298" s="182"/>
      <c r="Q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M299" s="182"/>
      <c r="N299" s="182"/>
      <c r="P299" s="182"/>
      <c r="Q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M300" s="182"/>
      <c r="N300" s="182"/>
      <c r="P300" s="182"/>
      <c r="Q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M301" s="182"/>
      <c r="N301" s="182"/>
      <c r="P301" s="182"/>
      <c r="Q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M302" s="182"/>
      <c r="N302" s="182"/>
      <c r="P302" s="182"/>
      <c r="Q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M303" s="182"/>
      <c r="N303" s="182"/>
      <c r="P303" s="182"/>
      <c r="Q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M304" s="182"/>
      <c r="N304" s="182"/>
      <c r="P304" s="182"/>
      <c r="Q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M305" s="182"/>
      <c r="N305" s="182"/>
      <c r="P305" s="182"/>
      <c r="Q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M306" s="182"/>
      <c r="N306" s="182"/>
      <c r="P306" s="182"/>
      <c r="Q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M307" s="182"/>
      <c r="N307" s="182"/>
      <c r="P307" s="182"/>
      <c r="Q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M308" s="182"/>
      <c r="N308" s="182"/>
      <c r="P308" s="182"/>
      <c r="Q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M309" s="182"/>
      <c r="N309" s="182"/>
      <c r="P309" s="182"/>
      <c r="Q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M310" s="182"/>
      <c r="N310" s="182"/>
      <c r="P310" s="182"/>
      <c r="Q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M311" s="182"/>
      <c r="N311" s="182"/>
      <c r="P311" s="182"/>
      <c r="Q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M312" s="182"/>
      <c r="N312" s="182"/>
      <c r="P312" s="182"/>
      <c r="Q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M313" s="182"/>
      <c r="N313" s="182"/>
      <c r="P313" s="182"/>
      <c r="Q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M314" s="182"/>
      <c r="N314" s="182"/>
      <c r="P314" s="182"/>
      <c r="Q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M315" s="182"/>
      <c r="N315" s="182"/>
      <c r="P315" s="182"/>
      <c r="Q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M316" s="182"/>
      <c r="N316" s="182"/>
      <c r="P316" s="182"/>
      <c r="Q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M317" s="182"/>
      <c r="N317" s="182"/>
      <c r="P317" s="182"/>
      <c r="Q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M318" s="182"/>
      <c r="N318" s="182"/>
      <c r="P318" s="182"/>
      <c r="Q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M319" s="182"/>
      <c r="N319" s="182"/>
      <c r="P319" s="182"/>
      <c r="Q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M320" s="182"/>
      <c r="N320" s="182"/>
      <c r="P320" s="182"/>
      <c r="Q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M321" s="182"/>
      <c r="N321" s="182"/>
      <c r="P321" s="182"/>
      <c r="Q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M322" s="182"/>
      <c r="N322" s="182"/>
      <c r="P322" s="182"/>
      <c r="Q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M323" s="182"/>
      <c r="N323" s="182"/>
      <c r="P323" s="182"/>
      <c r="Q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M324" s="182"/>
      <c r="N324" s="182"/>
      <c r="P324" s="182"/>
      <c r="Q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M325" s="182"/>
      <c r="N325" s="182"/>
      <c r="P325" s="182"/>
      <c r="Q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M326" s="182"/>
      <c r="N326" s="182"/>
      <c r="P326" s="182"/>
      <c r="Q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M327" s="182"/>
      <c r="N327" s="182"/>
      <c r="P327" s="182"/>
      <c r="Q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M328" s="182"/>
      <c r="N328" s="182"/>
      <c r="P328" s="182"/>
      <c r="Q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M329" s="182"/>
      <c r="N329" s="182"/>
      <c r="P329" s="182"/>
      <c r="Q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M330" s="182"/>
      <c r="N330" s="182"/>
      <c r="P330" s="182"/>
      <c r="Q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M331" s="182"/>
      <c r="N331" s="182"/>
      <c r="P331" s="182"/>
      <c r="Q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M332" s="182"/>
      <c r="N332" s="182"/>
      <c r="P332" s="182"/>
      <c r="Q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M333" s="182"/>
      <c r="N333" s="182"/>
      <c r="P333" s="182"/>
      <c r="Q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M334" s="182"/>
      <c r="N334" s="182"/>
      <c r="P334" s="182"/>
      <c r="Q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M335" s="182"/>
      <c r="N335" s="182"/>
      <c r="P335" s="182"/>
      <c r="Q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M336" s="182"/>
      <c r="N336" s="182"/>
      <c r="P336" s="182"/>
      <c r="Q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M337" s="182"/>
      <c r="N337" s="182"/>
      <c r="P337" s="182"/>
      <c r="Q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M338" s="182"/>
      <c r="N338" s="182"/>
      <c r="P338" s="182"/>
      <c r="Q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M339" s="182"/>
      <c r="N339" s="182"/>
      <c r="P339" s="182"/>
      <c r="Q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M340" s="182"/>
      <c r="N340" s="182"/>
      <c r="P340" s="182"/>
      <c r="Q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M341" s="182"/>
      <c r="N341" s="182"/>
      <c r="P341" s="182"/>
      <c r="Q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M342" s="182"/>
      <c r="N342" s="182"/>
      <c r="P342" s="182"/>
      <c r="Q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M343" s="182"/>
      <c r="N343" s="182"/>
      <c r="P343" s="182"/>
      <c r="Q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M344" s="182"/>
      <c r="N344" s="182"/>
      <c r="P344" s="182"/>
      <c r="Q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M345" s="182"/>
      <c r="N345" s="182"/>
      <c r="P345" s="182"/>
      <c r="Q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M346" s="182"/>
      <c r="N346" s="182"/>
      <c r="P346" s="182"/>
      <c r="Q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M347" s="182"/>
      <c r="N347" s="182"/>
      <c r="P347" s="182"/>
      <c r="Q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M348" s="182"/>
      <c r="N348" s="182"/>
      <c r="P348" s="182"/>
      <c r="Q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M349" s="182"/>
      <c r="N349" s="182"/>
      <c r="P349" s="182"/>
      <c r="Q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M350" s="182"/>
      <c r="N350" s="182"/>
      <c r="P350" s="182"/>
      <c r="Q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M351" s="182"/>
      <c r="N351" s="182"/>
      <c r="P351" s="182"/>
      <c r="Q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M352" s="182"/>
      <c r="N352" s="182"/>
      <c r="P352" s="182"/>
      <c r="Q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M353" s="182"/>
      <c r="N353" s="182"/>
      <c r="P353" s="182"/>
      <c r="Q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M354" s="182"/>
      <c r="N354" s="182"/>
      <c r="P354" s="182"/>
      <c r="Q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M355" s="182"/>
      <c r="N355" s="182"/>
      <c r="P355" s="182"/>
      <c r="Q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M356" s="182"/>
      <c r="N356" s="182"/>
      <c r="P356" s="182"/>
      <c r="Q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M357" s="182"/>
      <c r="N357" s="182"/>
      <c r="P357" s="182"/>
      <c r="Q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M358" s="182"/>
      <c r="N358" s="182"/>
      <c r="P358" s="182"/>
      <c r="Q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M359" s="182"/>
      <c r="N359" s="182"/>
      <c r="P359" s="182"/>
      <c r="Q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M360" s="182"/>
      <c r="N360" s="182"/>
      <c r="P360" s="182"/>
      <c r="Q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M361" s="182"/>
      <c r="N361" s="182"/>
      <c r="P361" s="182"/>
      <c r="Q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M362" s="182"/>
      <c r="N362" s="182"/>
      <c r="P362" s="182"/>
      <c r="Q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M363" s="182"/>
      <c r="N363" s="182"/>
      <c r="P363" s="182"/>
      <c r="Q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M364" s="182"/>
      <c r="N364" s="182"/>
      <c r="P364" s="182"/>
      <c r="Q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M365" s="182"/>
      <c r="N365" s="182"/>
      <c r="P365" s="182"/>
      <c r="Q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M366" s="182"/>
      <c r="N366" s="182"/>
      <c r="P366" s="182"/>
      <c r="Q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M367" s="182"/>
      <c r="N367" s="182"/>
      <c r="P367" s="182"/>
      <c r="Q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M368" s="182"/>
      <c r="N368" s="182"/>
      <c r="P368" s="182"/>
      <c r="Q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M369" s="182"/>
      <c r="N369" s="182"/>
      <c r="P369" s="182"/>
      <c r="Q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M370" s="182"/>
      <c r="N370" s="182"/>
      <c r="P370" s="182"/>
      <c r="Q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M371" s="182"/>
      <c r="N371" s="182"/>
      <c r="P371" s="182"/>
      <c r="Q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M372" s="182"/>
      <c r="N372" s="182"/>
      <c r="P372" s="182"/>
      <c r="Q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M373" s="182"/>
      <c r="N373" s="182"/>
      <c r="P373" s="182"/>
      <c r="Q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M374" s="182"/>
      <c r="N374" s="182"/>
      <c r="P374" s="182"/>
      <c r="Q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M375" s="182"/>
      <c r="N375" s="182"/>
      <c r="P375" s="182"/>
      <c r="Q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M376" s="182"/>
      <c r="N376" s="182"/>
      <c r="P376" s="182"/>
      <c r="Q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M377" s="182"/>
      <c r="N377" s="182"/>
      <c r="P377" s="182"/>
      <c r="Q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M378" s="182"/>
      <c r="N378" s="182"/>
      <c r="P378" s="182"/>
      <c r="Q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M379" s="182"/>
      <c r="N379" s="182"/>
      <c r="P379" s="182"/>
      <c r="Q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M380" s="182"/>
      <c r="N380" s="182"/>
      <c r="P380" s="182"/>
      <c r="Q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M381" s="182"/>
      <c r="N381" s="182"/>
      <c r="P381" s="182"/>
      <c r="Q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M382" s="182"/>
      <c r="N382" s="182"/>
      <c r="P382" s="182"/>
      <c r="Q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M383" s="182"/>
      <c r="N383" s="182"/>
      <c r="P383" s="182"/>
      <c r="Q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M384" s="182"/>
      <c r="N384" s="182"/>
      <c r="P384" s="182"/>
      <c r="Q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M385" s="182"/>
      <c r="N385" s="182"/>
      <c r="P385" s="182"/>
      <c r="Q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M386" s="182"/>
      <c r="N386" s="182"/>
      <c r="P386" s="182"/>
      <c r="Q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M387" s="182"/>
      <c r="N387" s="182"/>
      <c r="P387" s="182"/>
      <c r="Q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M388" s="182"/>
      <c r="N388" s="182"/>
      <c r="P388" s="182"/>
      <c r="Q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M389" s="182"/>
      <c r="N389" s="182"/>
      <c r="P389" s="182"/>
      <c r="Q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M390" s="182"/>
      <c r="N390" s="182"/>
      <c r="P390" s="182"/>
      <c r="Q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M391" s="182"/>
      <c r="N391" s="182"/>
      <c r="P391" s="182"/>
      <c r="Q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M392" s="182"/>
      <c r="N392" s="182"/>
      <c r="P392" s="182"/>
      <c r="Q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M393" s="182"/>
      <c r="N393" s="182"/>
      <c r="P393" s="182"/>
      <c r="Q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M394" s="182"/>
      <c r="N394" s="182"/>
      <c r="P394" s="182"/>
      <c r="Q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M395" s="182"/>
      <c r="N395" s="182"/>
      <c r="P395" s="182"/>
      <c r="Q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M396" s="182"/>
      <c r="N396" s="182"/>
      <c r="P396" s="182"/>
      <c r="Q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M397" s="182"/>
      <c r="N397" s="182"/>
      <c r="P397" s="182"/>
      <c r="Q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M398" s="182"/>
      <c r="N398" s="182"/>
      <c r="P398" s="182"/>
      <c r="Q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M399" s="182"/>
      <c r="N399" s="182"/>
      <c r="P399" s="182"/>
      <c r="Q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M400" s="182"/>
      <c r="N400" s="182"/>
      <c r="P400" s="182"/>
      <c r="Q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M401" s="182"/>
      <c r="N401" s="182"/>
      <c r="P401" s="182"/>
      <c r="Q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M402" s="182"/>
      <c r="N402" s="182"/>
      <c r="P402" s="182"/>
      <c r="Q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M403" s="182"/>
      <c r="N403" s="182"/>
      <c r="P403" s="182"/>
      <c r="Q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M404" s="182"/>
      <c r="N404" s="182"/>
      <c r="P404" s="182"/>
      <c r="Q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M405" s="182"/>
      <c r="N405" s="182"/>
      <c r="P405" s="182"/>
      <c r="Q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M406" s="182"/>
      <c r="N406" s="182"/>
      <c r="P406" s="182"/>
      <c r="Q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M407" s="182"/>
      <c r="N407" s="182"/>
      <c r="P407" s="182"/>
      <c r="Q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M408" s="182"/>
      <c r="N408" s="182"/>
      <c r="P408" s="182"/>
      <c r="Q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M409" s="182"/>
      <c r="N409" s="182"/>
      <c r="P409" s="182"/>
      <c r="Q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M410" s="182"/>
      <c r="N410" s="182"/>
      <c r="P410" s="182"/>
      <c r="Q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M411" s="182"/>
      <c r="N411" s="182"/>
      <c r="P411" s="182"/>
      <c r="Q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M412" s="182"/>
      <c r="N412" s="182"/>
      <c r="P412" s="182"/>
      <c r="Q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M413" s="182"/>
      <c r="N413" s="182"/>
      <c r="P413" s="182"/>
      <c r="Q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M414" s="182"/>
      <c r="N414" s="182"/>
      <c r="P414" s="182"/>
      <c r="Q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M415" s="182"/>
      <c r="N415" s="182"/>
      <c r="P415" s="182"/>
      <c r="Q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M416" s="182"/>
      <c r="N416" s="182"/>
      <c r="P416" s="182"/>
      <c r="Q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M417" s="182"/>
      <c r="N417" s="182"/>
      <c r="P417" s="182"/>
      <c r="Q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M418" s="182"/>
      <c r="N418" s="182"/>
      <c r="P418" s="182"/>
      <c r="Q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M419" s="182"/>
      <c r="N419" s="182"/>
      <c r="P419" s="182"/>
      <c r="Q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M420" s="182"/>
      <c r="N420" s="182"/>
      <c r="P420" s="182"/>
      <c r="Q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M421" s="182"/>
      <c r="N421" s="182"/>
      <c r="P421" s="182"/>
      <c r="Q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M422" s="182"/>
      <c r="N422" s="182"/>
      <c r="P422" s="182"/>
      <c r="Q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M423" s="182"/>
      <c r="N423" s="182"/>
      <c r="P423" s="182"/>
      <c r="Q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M424" s="182"/>
      <c r="N424" s="182"/>
      <c r="P424" s="182"/>
      <c r="Q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M425" s="182"/>
      <c r="N425" s="182"/>
      <c r="P425" s="182"/>
      <c r="Q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M426" s="182"/>
      <c r="N426" s="182"/>
      <c r="P426" s="182"/>
      <c r="Q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M427" s="182"/>
      <c r="N427" s="182"/>
      <c r="P427" s="182"/>
      <c r="Q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M428" s="182"/>
      <c r="N428" s="182"/>
      <c r="P428" s="182"/>
      <c r="Q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M429" s="182"/>
      <c r="N429" s="182"/>
      <c r="P429" s="182"/>
      <c r="Q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M430" s="182"/>
      <c r="N430" s="182"/>
      <c r="P430" s="182"/>
      <c r="Q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M431" s="182"/>
      <c r="N431" s="182"/>
      <c r="P431" s="182"/>
      <c r="Q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M432" s="182"/>
      <c r="N432" s="182"/>
      <c r="P432" s="182"/>
      <c r="Q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M433" s="182"/>
      <c r="N433" s="182"/>
      <c r="P433" s="182"/>
      <c r="Q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M434" s="182"/>
      <c r="N434" s="182"/>
      <c r="P434" s="182"/>
      <c r="Q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M435" s="182"/>
      <c r="N435" s="182"/>
      <c r="P435" s="182"/>
      <c r="Q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M436" s="182"/>
      <c r="N436" s="182"/>
      <c r="P436" s="182"/>
      <c r="Q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M437" s="182"/>
      <c r="N437" s="182"/>
      <c r="P437" s="182"/>
      <c r="Q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M438" s="182"/>
      <c r="N438" s="182"/>
      <c r="P438" s="182"/>
      <c r="Q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M439" s="182"/>
      <c r="N439" s="182"/>
      <c r="P439" s="182"/>
      <c r="Q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M440" s="182"/>
      <c r="N440" s="182"/>
      <c r="P440" s="182"/>
      <c r="Q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M441" s="182"/>
      <c r="N441" s="182"/>
      <c r="P441" s="182"/>
      <c r="Q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M442" s="182"/>
      <c r="N442" s="182"/>
      <c r="P442" s="182"/>
      <c r="Q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M443" s="182"/>
      <c r="N443" s="182"/>
      <c r="P443" s="182"/>
      <c r="Q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M444" s="182"/>
      <c r="N444" s="182"/>
      <c r="P444" s="182"/>
      <c r="Q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M445" s="182"/>
      <c r="N445" s="182"/>
      <c r="P445" s="182"/>
      <c r="Q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M446" s="182"/>
      <c r="N446" s="182"/>
      <c r="P446" s="182"/>
      <c r="Q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M447" s="182"/>
      <c r="N447" s="182"/>
      <c r="P447" s="182"/>
      <c r="Q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M448" s="182"/>
      <c r="N448" s="182"/>
      <c r="P448" s="182"/>
      <c r="Q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M449" s="182"/>
      <c r="N449" s="182"/>
      <c r="P449" s="182"/>
      <c r="Q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M450" s="182"/>
      <c r="N450" s="182"/>
      <c r="P450" s="182"/>
      <c r="Q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M451" s="182"/>
      <c r="N451" s="182"/>
      <c r="P451" s="182"/>
      <c r="Q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M452" s="182"/>
      <c r="N452" s="182"/>
      <c r="P452" s="182"/>
      <c r="Q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M453" s="182"/>
      <c r="N453" s="182"/>
      <c r="P453" s="182"/>
      <c r="Q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M454" s="182"/>
      <c r="N454" s="182"/>
      <c r="P454" s="182"/>
      <c r="Q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M455" s="182"/>
      <c r="N455" s="182"/>
      <c r="P455" s="182"/>
      <c r="Q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M456" s="182"/>
      <c r="N456" s="182"/>
      <c r="P456" s="182"/>
      <c r="Q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M457" s="182"/>
      <c r="N457" s="182"/>
      <c r="P457" s="182"/>
      <c r="Q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M458" s="182"/>
      <c r="N458" s="182"/>
      <c r="P458" s="182"/>
      <c r="Q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M459" s="182"/>
      <c r="N459" s="182"/>
      <c r="P459" s="182"/>
      <c r="Q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M460" s="182"/>
      <c r="N460" s="182"/>
      <c r="P460" s="182"/>
      <c r="Q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M461" s="182"/>
      <c r="N461" s="182"/>
      <c r="P461" s="182"/>
      <c r="Q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M462" s="182"/>
      <c r="N462" s="182"/>
      <c r="P462" s="182"/>
      <c r="Q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M463" s="182"/>
      <c r="N463" s="182"/>
      <c r="P463" s="182"/>
      <c r="Q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M464" s="182"/>
      <c r="N464" s="182"/>
      <c r="P464" s="182"/>
      <c r="Q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M465" s="182"/>
      <c r="N465" s="182"/>
      <c r="P465" s="182"/>
      <c r="Q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M466" s="182"/>
      <c r="N466" s="182"/>
      <c r="P466" s="182"/>
      <c r="Q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M467" s="182"/>
      <c r="N467" s="182"/>
      <c r="P467" s="182"/>
      <c r="Q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M468" s="182"/>
      <c r="N468" s="182"/>
      <c r="P468" s="182"/>
      <c r="Q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M469" s="182"/>
      <c r="N469" s="182"/>
      <c r="P469" s="182"/>
      <c r="Q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M470" s="182"/>
      <c r="N470" s="182"/>
      <c r="P470" s="182"/>
      <c r="Q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M471" s="182"/>
      <c r="N471" s="182"/>
      <c r="P471" s="182"/>
      <c r="Q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M472" s="182"/>
      <c r="N472" s="182"/>
      <c r="P472" s="182"/>
      <c r="Q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M473" s="182"/>
      <c r="N473" s="182"/>
      <c r="P473" s="182"/>
      <c r="Q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M474" s="182"/>
      <c r="N474" s="182"/>
      <c r="P474" s="182"/>
      <c r="Q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M475" s="182"/>
      <c r="N475" s="182"/>
      <c r="P475" s="182"/>
      <c r="Q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M476" s="182"/>
      <c r="N476" s="182"/>
      <c r="P476" s="182"/>
      <c r="Q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M477" s="182"/>
      <c r="N477" s="182"/>
      <c r="P477" s="182"/>
      <c r="Q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M478" s="182"/>
      <c r="N478" s="182"/>
      <c r="P478" s="182"/>
      <c r="Q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M479" s="182"/>
      <c r="N479" s="182"/>
      <c r="P479" s="182"/>
      <c r="Q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M480" s="182"/>
      <c r="N480" s="182"/>
      <c r="P480" s="182"/>
      <c r="Q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M481" s="182"/>
      <c r="N481" s="182"/>
      <c r="P481" s="182"/>
      <c r="Q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M482" s="182"/>
      <c r="N482" s="182"/>
      <c r="P482" s="182"/>
      <c r="Q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M483" s="182"/>
      <c r="N483" s="182"/>
      <c r="P483" s="182"/>
      <c r="Q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M484" s="182"/>
      <c r="N484" s="182"/>
      <c r="P484" s="182"/>
      <c r="Q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M485" s="182"/>
      <c r="N485" s="182"/>
      <c r="P485" s="182"/>
      <c r="Q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M486" s="182"/>
      <c r="N486" s="182"/>
      <c r="P486" s="182"/>
      <c r="Q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M487" s="182"/>
      <c r="N487" s="182"/>
      <c r="P487" s="182"/>
      <c r="Q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M488" s="182"/>
      <c r="N488" s="182"/>
      <c r="P488" s="182"/>
      <c r="Q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M489" s="182"/>
      <c r="N489" s="182"/>
      <c r="P489" s="182"/>
      <c r="Q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M490" s="182"/>
      <c r="N490" s="182"/>
      <c r="P490" s="182"/>
      <c r="Q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M491" s="182"/>
      <c r="N491" s="182"/>
      <c r="P491" s="182"/>
      <c r="Q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M492" s="182"/>
      <c r="N492" s="182"/>
      <c r="P492" s="182"/>
      <c r="Q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M493" s="182"/>
      <c r="N493" s="182"/>
      <c r="P493" s="182"/>
      <c r="Q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M494" s="182"/>
      <c r="N494" s="182"/>
      <c r="P494" s="182"/>
      <c r="Q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M495" s="182"/>
      <c r="N495" s="182"/>
      <c r="P495" s="182"/>
      <c r="Q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M496" s="182"/>
      <c r="N496" s="182"/>
      <c r="P496" s="182"/>
      <c r="Q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M497" s="182"/>
      <c r="N497" s="182"/>
      <c r="P497" s="182"/>
      <c r="Q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M498" s="182"/>
      <c r="N498" s="182"/>
      <c r="P498" s="182"/>
      <c r="Q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M499" s="182"/>
      <c r="N499" s="182"/>
      <c r="P499" s="182"/>
      <c r="Q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M500" s="182"/>
      <c r="N500" s="182"/>
      <c r="P500" s="182"/>
      <c r="Q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M501" s="182"/>
      <c r="N501" s="182"/>
      <c r="P501" s="182"/>
      <c r="Q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M502" s="182"/>
      <c r="N502" s="182"/>
      <c r="P502" s="182"/>
      <c r="Q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M503" s="182"/>
      <c r="N503" s="182"/>
      <c r="P503" s="182"/>
      <c r="Q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M504" s="182"/>
      <c r="N504" s="182"/>
      <c r="P504" s="182"/>
      <c r="Q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M505" s="182"/>
      <c r="N505" s="182"/>
      <c r="P505" s="182"/>
      <c r="Q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M506" s="182"/>
      <c r="N506" s="182"/>
      <c r="P506" s="182"/>
      <c r="Q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M507" s="182"/>
      <c r="N507" s="182"/>
      <c r="P507" s="182"/>
      <c r="Q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M508" s="182"/>
      <c r="N508" s="182"/>
      <c r="P508" s="182"/>
      <c r="Q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M509" s="182"/>
      <c r="N509" s="182"/>
      <c r="P509" s="182"/>
      <c r="Q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M510" s="182"/>
      <c r="N510" s="182"/>
      <c r="P510" s="182"/>
      <c r="Q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M511" s="182"/>
      <c r="N511" s="182"/>
      <c r="P511" s="182"/>
      <c r="Q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M512" s="182"/>
      <c r="N512" s="182"/>
      <c r="P512" s="182"/>
      <c r="Q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M513" s="182"/>
      <c r="N513" s="182"/>
      <c r="P513" s="182"/>
      <c r="Q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M514" s="182"/>
      <c r="N514" s="182"/>
      <c r="P514" s="182"/>
      <c r="Q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M515" s="182"/>
      <c r="N515" s="182"/>
      <c r="P515" s="182"/>
      <c r="Q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M516" s="182"/>
      <c r="N516" s="182"/>
      <c r="P516" s="182"/>
      <c r="Q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M517" s="182"/>
      <c r="N517" s="182"/>
      <c r="P517" s="182"/>
      <c r="Q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M518" s="182"/>
      <c r="N518" s="182"/>
      <c r="P518" s="182"/>
      <c r="Q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M519" s="182"/>
      <c r="N519" s="182"/>
      <c r="P519" s="182"/>
      <c r="Q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M520" s="182"/>
      <c r="N520" s="182"/>
      <c r="P520" s="182"/>
      <c r="Q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M521" s="182"/>
      <c r="N521" s="182"/>
      <c r="P521" s="182"/>
      <c r="Q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M522" s="182"/>
      <c r="N522" s="182"/>
      <c r="P522" s="182"/>
      <c r="Q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M523" s="182"/>
      <c r="N523" s="182"/>
      <c r="P523" s="182"/>
      <c r="Q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M524" s="182"/>
      <c r="N524" s="182"/>
      <c r="P524" s="182"/>
      <c r="Q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M525" s="182"/>
      <c r="N525" s="182"/>
      <c r="P525" s="182"/>
      <c r="Q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M526" s="182"/>
      <c r="N526" s="182"/>
      <c r="P526" s="182"/>
      <c r="Q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M527" s="182"/>
      <c r="N527" s="182"/>
      <c r="P527" s="182"/>
      <c r="Q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M528" s="182"/>
      <c r="N528" s="182"/>
      <c r="P528" s="182"/>
      <c r="Q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M529" s="182"/>
      <c r="N529" s="182"/>
      <c r="P529" s="182"/>
      <c r="Q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M530" s="182"/>
      <c r="N530" s="182"/>
      <c r="P530" s="182"/>
      <c r="Q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M531" s="182"/>
      <c r="N531" s="182"/>
      <c r="P531" s="182"/>
      <c r="Q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M532" s="182"/>
      <c r="N532" s="182"/>
      <c r="P532" s="182"/>
      <c r="Q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M533" s="182"/>
      <c r="N533" s="182"/>
      <c r="P533" s="182"/>
      <c r="Q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M534" s="182"/>
      <c r="N534" s="182"/>
      <c r="P534" s="182"/>
      <c r="Q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M535" s="182"/>
      <c r="N535" s="182"/>
      <c r="P535" s="182"/>
      <c r="Q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M536" s="182"/>
      <c r="N536" s="182"/>
      <c r="P536" s="182"/>
      <c r="Q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M537" s="182"/>
      <c r="N537" s="182"/>
      <c r="P537" s="182"/>
      <c r="Q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M538" s="182"/>
      <c r="N538" s="182"/>
      <c r="P538" s="182"/>
      <c r="Q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M539" s="182"/>
      <c r="N539" s="182"/>
      <c r="P539" s="182"/>
      <c r="Q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M540" s="182"/>
      <c r="N540" s="182"/>
      <c r="P540" s="182"/>
      <c r="Q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M541" s="182"/>
      <c r="N541" s="182"/>
      <c r="P541" s="182"/>
      <c r="Q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M542" s="182"/>
      <c r="N542" s="182"/>
      <c r="P542" s="182"/>
      <c r="Q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M543" s="182"/>
      <c r="N543" s="182"/>
      <c r="P543" s="182"/>
      <c r="Q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M544" s="182"/>
      <c r="N544" s="182"/>
      <c r="P544" s="182"/>
      <c r="Q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M545" s="182"/>
      <c r="N545" s="182"/>
      <c r="P545" s="182"/>
      <c r="Q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M546" s="182"/>
      <c r="N546" s="182"/>
      <c r="P546" s="182"/>
      <c r="Q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M547" s="182"/>
      <c r="N547" s="182"/>
      <c r="P547" s="182"/>
      <c r="Q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M548" s="182"/>
      <c r="N548" s="182"/>
      <c r="P548" s="182"/>
      <c r="Q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M549" s="182"/>
      <c r="N549" s="182"/>
      <c r="P549" s="182"/>
      <c r="Q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M550" s="182"/>
      <c r="N550" s="182"/>
      <c r="P550" s="182"/>
      <c r="Q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M551" s="182"/>
      <c r="N551" s="182"/>
      <c r="P551" s="182"/>
      <c r="Q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M552" s="182"/>
      <c r="N552" s="182"/>
      <c r="P552" s="182"/>
      <c r="Q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M553" s="182"/>
      <c r="N553" s="182"/>
      <c r="P553" s="182"/>
      <c r="Q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M554" s="182"/>
      <c r="N554" s="182"/>
      <c r="P554" s="182"/>
      <c r="Q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M555" s="182"/>
      <c r="N555" s="182"/>
      <c r="P555" s="182"/>
      <c r="Q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M556" s="182"/>
      <c r="N556" s="182"/>
      <c r="P556" s="182"/>
      <c r="Q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M557" s="182"/>
      <c r="N557" s="182"/>
      <c r="P557" s="182"/>
      <c r="Q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M558" s="182"/>
      <c r="N558" s="182"/>
      <c r="P558" s="182"/>
      <c r="Q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M559" s="182"/>
      <c r="N559" s="182"/>
      <c r="P559" s="182"/>
      <c r="Q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M560" s="182"/>
      <c r="N560" s="182"/>
      <c r="P560" s="182"/>
      <c r="Q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M561" s="182"/>
      <c r="N561" s="182"/>
      <c r="P561" s="182"/>
      <c r="Q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M562" s="182"/>
      <c r="N562" s="182"/>
      <c r="P562" s="182"/>
      <c r="Q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M563" s="182"/>
      <c r="N563" s="182"/>
      <c r="P563" s="182"/>
      <c r="Q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M564" s="182"/>
      <c r="N564" s="182"/>
      <c r="P564" s="182"/>
      <c r="Q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M565" s="182"/>
      <c r="N565" s="182"/>
      <c r="P565" s="182"/>
      <c r="Q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M566" s="182"/>
      <c r="N566" s="182"/>
      <c r="P566" s="182"/>
      <c r="Q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M567" s="182"/>
      <c r="N567" s="182"/>
      <c r="P567" s="182"/>
      <c r="Q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M568" s="182"/>
      <c r="N568" s="182"/>
      <c r="P568" s="182"/>
      <c r="Q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M569" s="182"/>
      <c r="N569" s="182"/>
      <c r="P569" s="182"/>
      <c r="Q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M570" s="182"/>
      <c r="N570" s="182"/>
      <c r="P570" s="182"/>
      <c r="Q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M571" s="182"/>
      <c r="N571" s="182"/>
      <c r="P571" s="182"/>
      <c r="Q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M572" s="182"/>
      <c r="N572" s="182"/>
      <c r="P572" s="182"/>
      <c r="Q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M573" s="182"/>
      <c r="N573" s="182"/>
      <c r="P573" s="182"/>
      <c r="Q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M574" s="182"/>
      <c r="N574" s="182"/>
      <c r="P574" s="182"/>
      <c r="Q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M575" s="182"/>
      <c r="N575" s="182"/>
      <c r="P575" s="182"/>
      <c r="Q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M576" s="182"/>
      <c r="N576" s="182"/>
      <c r="P576" s="182"/>
      <c r="Q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M577" s="182"/>
      <c r="N577" s="182"/>
      <c r="P577" s="182"/>
      <c r="Q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M578" s="182"/>
      <c r="N578" s="182"/>
      <c r="P578" s="182"/>
      <c r="Q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M579" s="182"/>
      <c r="N579" s="182"/>
      <c r="P579" s="182"/>
      <c r="Q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M580" s="182"/>
      <c r="N580" s="182"/>
      <c r="P580" s="182"/>
      <c r="Q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M581" s="182"/>
      <c r="N581" s="182"/>
      <c r="P581" s="182"/>
      <c r="Q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M582" s="182"/>
      <c r="N582" s="182"/>
      <c r="P582" s="182"/>
      <c r="Q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M583" s="182"/>
      <c r="N583" s="182"/>
      <c r="P583" s="182"/>
      <c r="Q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M584" s="182"/>
      <c r="N584" s="182"/>
      <c r="P584" s="182"/>
      <c r="Q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M585" s="182"/>
      <c r="N585" s="182"/>
      <c r="P585" s="182"/>
      <c r="Q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M586" s="182"/>
      <c r="N586" s="182"/>
      <c r="P586" s="182"/>
      <c r="Q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M587" s="182"/>
      <c r="N587" s="182"/>
      <c r="P587" s="182"/>
      <c r="Q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M588" s="182"/>
      <c r="N588" s="182"/>
      <c r="P588" s="182"/>
      <c r="Q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M589" s="182"/>
      <c r="N589" s="182"/>
      <c r="P589" s="182"/>
      <c r="Q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M590" s="182"/>
      <c r="N590" s="182"/>
      <c r="P590" s="182"/>
      <c r="Q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M591" s="182"/>
      <c r="N591" s="182"/>
      <c r="P591" s="182"/>
      <c r="Q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M592" s="182"/>
      <c r="N592" s="182"/>
      <c r="P592" s="182"/>
      <c r="Q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M593" s="182"/>
      <c r="N593" s="182"/>
      <c r="P593" s="182"/>
      <c r="Q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M594" s="182"/>
      <c r="N594" s="182"/>
      <c r="P594" s="182"/>
      <c r="Q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M595" s="182"/>
      <c r="N595" s="182"/>
      <c r="P595" s="182"/>
      <c r="Q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M596" s="182"/>
      <c r="N596" s="182"/>
      <c r="P596" s="182"/>
      <c r="Q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M597" s="182"/>
      <c r="N597" s="182"/>
      <c r="P597" s="182"/>
      <c r="Q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M598" s="182"/>
      <c r="N598" s="182"/>
      <c r="P598" s="182"/>
      <c r="Q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M599" s="182"/>
      <c r="N599" s="182"/>
      <c r="P599" s="182"/>
      <c r="Q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M600" s="182"/>
      <c r="N600" s="182"/>
      <c r="P600" s="182"/>
      <c r="Q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M601" s="182"/>
      <c r="N601" s="182"/>
      <c r="P601" s="182"/>
      <c r="Q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M602" s="182"/>
      <c r="N602" s="182"/>
      <c r="P602" s="182"/>
      <c r="Q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M603" s="182"/>
      <c r="N603" s="182"/>
      <c r="P603" s="182"/>
      <c r="Q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M604" s="182"/>
      <c r="N604" s="182"/>
      <c r="P604" s="182"/>
      <c r="Q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M605" s="182"/>
      <c r="N605" s="182"/>
      <c r="P605" s="182"/>
      <c r="Q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M606" s="182"/>
      <c r="N606" s="182"/>
      <c r="P606" s="182"/>
      <c r="Q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M607" s="182"/>
      <c r="N607" s="182"/>
      <c r="P607" s="182"/>
      <c r="Q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M608" s="182"/>
      <c r="N608" s="182"/>
      <c r="P608" s="182"/>
      <c r="Q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M609" s="182"/>
      <c r="N609" s="182"/>
      <c r="P609" s="182"/>
      <c r="Q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M610" s="182"/>
      <c r="N610" s="182"/>
      <c r="P610" s="182"/>
      <c r="Q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M611" s="182"/>
      <c r="N611" s="182"/>
      <c r="P611" s="182"/>
      <c r="Q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M612" s="182"/>
      <c r="N612" s="182"/>
      <c r="P612" s="182"/>
      <c r="Q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M613" s="182"/>
      <c r="N613" s="182"/>
      <c r="P613" s="182"/>
      <c r="Q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M614" s="182"/>
      <c r="N614" s="182"/>
      <c r="P614" s="182"/>
      <c r="Q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M615" s="182"/>
      <c r="N615" s="182"/>
      <c r="P615" s="182"/>
      <c r="Q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M616" s="182"/>
      <c r="N616" s="182"/>
      <c r="P616" s="182"/>
      <c r="Q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M617" s="182"/>
      <c r="N617" s="182"/>
      <c r="P617" s="182"/>
      <c r="Q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M618" s="182"/>
      <c r="N618" s="182"/>
      <c r="P618" s="182"/>
      <c r="Q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M619" s="182"/>
      <c r="N619" s="182"/>
      <c r="P619" s="182"/>
      <c r="Q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M620" s="182"/>
      <c r="N620" s="182"/>
      <c r="P620" s="182"/>
      <c r="Q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M621" s="182"/>
      <c r="N621" s="182"/>
      <c r="P621" s="182"/>
      <c r="Q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M622" s="182"/>
      <c r="N622" s="182"/>
      <c r="P622" s="182"/>
      <c r="Q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M623" s="182"/>
      <c r="N623" s="182"/>
      <c r="P623" s="182"/>
      <c r="Q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M624" s="182"/>
      <c r="N624" s="182"/>
      <c r="P624" s="182"/>
      <c r="Q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M625" s="182"/>
      <c r="N625" s="182"/>
      <c r="P625" s="182"/>
      <c r="Q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M626" s="182"/>
      <c r="N626" s="182"/>
      <c r="P626" s="182"/>
      <c r="Q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M627" s="182"/>
      <c r="N627" s="182"/>
      <c r="P627" s="182"/>
      <c r="Q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M628" s="182"/>
      <c r="N628" s="182"/>
      <c r="P628" s="182"/>
      <c r="Q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M629" s="182"/>
      <c r="N629" s="182"/>
      <c r="P629" s="182"/>
      <c r="Q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M630" s="182"/>
      <c r="N630" s="182"/>
      <c r="P630" s="182"/>
      <c r="Q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M631" s="182"/>
      <c r="N631" s="182"/>
      <c r="P631" s="182"/>
      <c r="Q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M632" s="182"/>
      <c r="N632" s="182"/>
      <c r="P632" s="182"/>
      <c r="Q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M633" s="182"/>
      <c r="N633" s="182"/>
      <c r="P633" s="182"/>
      <c r="Q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M634" s="182"/>
      <c r="N634" s="182"/>
      <c r="P634" s="182"/>
      <c r="Q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M635" s="182"/>
      <c r="N635" s="182"/>
      <c r="P635" s="182"/>
      <c r="Q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M636" s="182"/>
      <c r="N636" s="182"/>
      <c r="P636" s="182"/>
      <c r="Q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M637" s="182"/>
      <c r="N637" s="182"/>
      <c r="P637" s="182"/>
      <c r="Q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M638" s="182"/>
      <c r="N638" s="182"/>
      <c r="P638" s="182"/>
      <c r="Q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M639" s="182"/>
      <c r="N639" s="182"/>
      <c r="P639" s="182"/>
      <c r="Q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M640" s="182"/>
      <c r="N640" s="182"/>
      <c r="P640" s="182"/>
      <c r="Q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M641" s="182"/>
      <c r="N641" s="182"/>
      <c r="P641" s="182"/>
      <c r="Q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M642" s="182"/>
      <c r="N642" s="182"/>
      <c r="P642" s="182"/>
      <c r="Q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M643" s="182"/>
      <c r="N643" s="182"/>
      <c r="P643" s="182"/>
      <c r="Q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M644" s="182"/>
      <c r="N644" s="182"/>
      <c r="P644" s="182"/>
      <c r="Q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M645" s="182"/>
      <c r="N645" s="182"/>
      <c r="P645" s="182"/>
      <c r="Q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M646" s="182"/>
      <c r="N646" s="182"/>
      <c r="P646" s="182"/>
      <c r="Q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M647" s="182"/>
      <c r="N647" s="182"/>
      <c r="P647" s="182"/>
      <c r="Q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M648" s="182"/>
      <c r="N648" s="182"/>
      <c r="P648" s="182"/>
      <c r="Q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M649" s="182"/>
      <c r="N649" s="182"/>
      <c r="P649" s="182"/>
      <c r="Q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M650" s="182"/>
      <c r="N650" s="182"/>
      <c r="P650" s="182"/>
      <c r="Q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M651" s="182"/>
      <c r="N651" s="182"/>
      <c r="P651" s="182"/>
      <c r="Q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M652" s="182"/>
      <c r="N652" s="182"/>
      <c r="P652" s="182"/>
      <c r="Q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M653" s="182"/>
      <c r="N653" s="182"/>
      <c r="P653" s="182"/>
      <c r="Q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M654" s="182"/>
      <c r="N654" s="182"/>
      <c r="P654" s="182"/>
      <c r="Q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M655" s="182"/>
      <c r="N655" s="182"/>
      <c r="P655" s="182"/>
      <c r="Q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M656" s="182"/>
      <c r="N656" s="182"/>
      <c r="P656" s="182"/>
      <c r="Q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M657" s="182"/>
      <c r="N657" s="182"/>
      <c r="P657" s="182"/>
      <c r="Q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M658" s="182"/>
      <c r="N658" s="182"/>
      <c r="P658" s="182"/>
      <c r="Q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M659" s="182"/>
      <c r="N659" s="182"/>
      <c r="P659" s="182"/>
      <c r="Q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M660" s="182"/>
      <c r="N660" s="182"/>
      <c r="P660" s="182"/>
      <c r="Q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M661" s="182"/>
      <c r="N661" s="182"/>
      <c r="P661" s="182"/>
      <c r="Q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M662" s="182"/>
      <c r="N662" s="182"/>
      <c r="P662" s="182"/>
      <c r="Q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M663" s="182"/>
      <c r="N663" s="182"/>
      <c r="P663" s="182"/>
      <c r="Q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M664" s="182"/>
      <c r="N664" s="182"/>
      <c r="P664" s="182"/>
      <c r="Q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M665" s="182"/>
      <c r="N665" s="182"/>
      <c r="P665" s="182"/>
      <c r="Q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M666" s="182"/>
      <c r="N666" s="182"/>
      <c r="P666" s="182"/>
      <c r="Q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M667" s="182"/>
      <c r="N667" s="182"/>
      <c r="P667" s="182"/>
      <c r="Q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M668" s="182"/>
      <c r="N668" s="182"/>
      <c r="P668" s="182"/>
      <c r="Q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M669" s="182"/>
      <c r="N669" s="182"/>
      <c r="P669" s="182"/>
      <c r="Q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M670" s="182"/>
      <c r="N670" s="182"/>
      <c r="P670" s="182"/>
      <c r="Q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M671" s="182"/>
      <c r="N671" s="182"/>
      <c r="P671" s="182"/>
      <c r="Q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M672" s="182"/>
      <c r="N672" s="182"/>
      <c r="P672" s="182"/>
      <c r="Q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M673" s="182"/>
      <c r="N673" s="182"/>
      <c r="P673" s="182"/>
      <c r="Q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M674" s="182"/>
      <c r="N674" s="182"/>
      <c r="P674" s="182"/>
      <c r="Q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M675" s="182"/>
      <c r="N675" s="182"/>
      <c r="P675" s="182"/>
      <c r="Q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M676" s="182"/>
      <c r="N676" s="182"/>
      <c r="P676" s="182"/>
      <c r="Q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M677" s="182"/>
      <c r="N677" s="182"/>
      <c r="P677" s="182"/>
      <c r="Q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M678" s="182"/>
      <c r="N678" s="182"/>
      <c r="P678" s="182"/>
      <c r="Q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M679" s="182"/>
      <c r="N679" s="182"/>
      <c r="P679" s="182"/>
      <c r="Q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M680" s="182"/>
      <c r="N680" s="182"/>
      <c r="P680" s="182"/>
      <c r="Q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M681" s="182"/>
      <c r="N681" s="182"/>
      <c r="P681" s="182"/>
      <c r="Q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M682" s="182"/>
      <c r="N682" s="182"/>
      <c r="P682" s="182"/>
      <c r="Q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M683" s="182"/>
      <c r="N683" s="182"/>
      <c r="P683" s="182"/>
      <c r="Q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M684" s="182"/>
      <c r="N684" s="182"/>
      <c r="P684" s="182"/>
      <c r="Q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M685" s="182"/>
      <c r="N685" s="182"/>
      <c r="P685" s="182"/>
      <c r="Q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M686" s="182"/>
      <c r="N686" s="182"/>
      <c r="P686" s="182"/>
      <c r="Q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M687" s="182"/>
      <c r="N687" s="182"/>
      <c r="P687" s="182"/>
      <c r="Q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M688" s="182"/>
      <c r="N688" s="182"/>
      <c r="P688" s="182"/>
      <c r="Q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M689" s="182"/>
      <c r="N689" s="182"/>
      <c r="P689" s="182"/>
      <c r="Q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M690" s="182"/>
      <c r="N690" s="182"/>
      <c r="P690" s="182"/>
      <c r="Q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M691" s="182"/>
      <c r="N691" s="182"/>
      <c r="P691" s="182"/>
      <c r="Q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M692" s="182"/>
      <c r="N692" s="182"/>
      <c r="P692" s="182"/>
      <c r="Q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M693" s="182"/>
      <c r="N693" s="182"/>
      <c r="P693" s="182"/>
      <c r="Q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M694" s="182"/>
      <c r="N694" s="182"/>
      <c r="P694" s="182"/>
      <c r="Q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M695" s="182"/>
      <c r="N695" s="182"/>
      <c r="P695" s="182"/>
      <c r="Q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M696" s="182"/>
      <c r="N696" s="182"/>
      <c r="P696" s="182"/>
      <c r="Q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M697" s="182"/>
      <c r="N697" s="182"/>
      <c r="P697" s="182"/>
      <c r="Q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M698" s="182"/>
      <c r="N698" s="182"/>
      <c r="P698" s="182"/>
      <c r="Q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M699" s="182"/>
      <c r="N699" s="182"/>
      <c r="P699" s="182"/>
      <c r="Q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M700" s="182"/>
      <c r="N700" s="182"/>
      <c r="P700" s="182"/>
      <c r="Q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M701" s="182"/>
      <c r="N701" s="182"/>
      <c r="P701" s="182"/>
      <c r="Q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M702" s="182"/>
      <c r="N702" s="182"/>
      <c r="P702" s="182"/>
      <c r="Q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M703" s="182"/>
      <c r="N703" s="182"/>
      <c r="P703" s="182"/>
      <c r="Q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M704" s="182"/>
      <c r="N704" s="182"/>
      <c r="P704" s="182"/>
      <c r="Q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M705" s="182"/>
      <c r="N705" s="182"/>
      <c r="P705" s="182"/>
      <c r="Q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M706" s="182"/>
      <c r="N706" s="182"/>
      <c r="P706" s="182"/>
      <c r="Q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M707" s="182"/>
      <c r="N707" s="182"/>
      <c r="P707" s="182"/>
      <c r="Q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M708" s="182"/>
      <c r="N708" s="182"/>
      <c r="P708" s="182"/>
      <c r="Q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M709" s="182"/>
      <c r="N709" s="182"/>
      <c r="P709" s="182"/>
      <c r="Q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M710" s="182"/>
      <c r="N710" s="182"/>
      <c r="P710" s="182"/>
      <c r="Q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M711" s="182"/>
      <c r="N711" s="182"/>
      <c r="P711" s="182"/>
      <c r="Q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M712" s="182"/>
      <c r="N712" s="182"/>
      <c r="P712" s="182"/>
      <c r="Q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M713" s="182"/>
      <c r="N713" s="182"/>
      <c r="P713" s="182"/>
      <c r="Q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M714" s="182"/>
      <c r="N714" s="182"/>
      <c r="P714" s="182"/>
      <c r="Q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M715" s="182"/>
      <c r="N715" s="182"/>
      <c r="P715" s="182"/>
      <c r="Q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M716" s="182"/>
      <c r="N716" s="182"/>
      <c r="P716" s="182"/>
      <c r="Q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M717" s="182"/>
      <c r="N717" s="182"/>
      <c r="P717" s="182"/>
      <c r="Q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M718" s="182"/>
      <c r="N718" s="182"/>
      <c r="P718" s="182"/>
      <c r="Q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M719" s="182"/>
      <c r="N719" s="182"/>
      <c r="P719" s="182"/>
      <c r="Q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M720" s="182"/>
      <c r="N720" s="182"/>
      <c r="P720" s="182"/>
      <c r="Q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M721" s="182"/>
      <c r="N721" s="182"/>
      <c r="P721" s="182"/>
      <c r="Q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M722" s="182"/>
      <c r="N722" s="182"/>
      <c r="P722" s="182"/>
      <c r="Q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M723" s="182"/>
      <c r="N723" s="182"/>
      <c r="P723" s="182"/>
      <c r="Q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M724" s="182"/>
      <c r="N724" s="182"/>
      <c r="P724" s="182"/>
      <c r="Q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M725" s="182"/>
      <c r="N725" s="182"/>
      <c r="P725" s="182"/>
      <c r="Q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M726" s="182"/>
      <c r="N726" s="182"/>
      <c r="P726" s="182"/>
      <c r="Q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M727" s="182"/>
      <c r="N727" s="182"/>
      <c r="P727" s="182"/>
      <c r="Q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M728" s="182"/>
      <c r="N728" s="182"/>
      <c r="P728" s="182"/>
      <c r="Q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M729" s="182"/>
      <c r="N729" s="182"/>
      <c r="P729" s="182"/>
      <c r="Q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M730" s="182"/>
      <c r="N730" s="182"/>
      <c r="P730" s="182"/>
      <c r="Q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M731" s="182"/>
      <c r="N731" s="182"/>
      <c r="P731" s="182"/>
      <c r="Q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M732" s="182"/>
      <c r="N732" s="182"/>
      <c r="P732" s="182"/>
      <c r="Q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M733" s="182"/>
      <c r="N733" s="182"/>
      <c r="P733" s="182"/>
      <c r="Q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M734" s="182"/>
      <c r="N734" s="182"/>
      <c r="P734" s="182"/>
      <c r="Q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M735" s="182"/>
      <c r="N735" s="182"/>
      <c r="P735" s="182"/>
      <c r="Q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M736" s="182"/>
      <c r="N736" s="182"/>
      <c r="P736" s="182"/>
      <c r="Q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M737" s="182"/>
      <c r="N737" s="182"/>
      <c r="P737" s="182"/>
      <c r="Q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M738" s="182"/>
      <c r="N738" s="182"/>
      <c r="P738" s="182"/>
      <c r="Q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M739" s="182"/>
      <c r="N739" s="182"/>
      <c r="P739" s="182"/>
      <c r="Q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M740" s="182"/>
      <c r="N740" s="182"/>
      <c r="P740" s="182"/>
      <c r="Q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M741" s="182"/>
      <c r="N741" s="182"/>
      <c r="P741" s="182"/>
      <c r="Q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M742" s="182"/>
      <c r="N742" s="182"/>
      <c r="P742" s="182"/>
      <c r="Q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M743" s="182"/>
      <c r="N743" s="182"/>
      <c r="P743" s="182"/>
      <c r="Q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M744" s="182"/>
      <c r="N744" s="182"/>
      <c r="P744" s="182"/>
      <c r="Q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M745" s="182"/>
      <c r="N745" s="182"/>
      <c r="P745" s="182"/>
      <c r="Q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M746" s="182"/>
      <c r="N746" s="182"/>
      <c r="P746" s="182"/>
      <c r="Q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M747" s="182"/>
      <c r="N747" s="182"/>
      <c r="P747" s="182"/>
      <c r="Q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M748" s="182"/>
      <c r="N748" s="182"/>
      <c r="P748" s="182"/>
      <c r="Q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M749" s="182"/>
      <c r="N749" s="182"/>
      <c r="P749" s="182"/>
      <c r="Q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M750" s="182"/>
      <c r="N750" s="182"/>
      <c r="P750" s="182"/>
      <c r="Q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M751" s="182"/>
      <c r="N751" s="182"/>
      <c r="P751" s="182"/>
      <c r="Q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M752" s="182"/>
      <c r="N752" s="182"/>
      <c r="P752" s="182"/>
      <c r="Q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M753" s="182"/>
      <c r="N753" s="182"/>
      <c r="P753" s="182"/>
      <c r="Q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M754" s="182"/>
      <c r="N754" s="182"/>
      <c r="P754" s="182"/>
      <c r="Q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M755" s="182"/>
      <c r="N755" s="182"/>
      <c r="P755" s="182"/>
      <c r="Q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M756" s="182"/>
      <c r="N756" s="182"/>
      <c r="P756" s="182"/>
      <c r="Q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M757" s="182"/>
      <c r="N757" s="182"/>
      <c r="P757" s="182"/>
      <c r="Q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M758" s="182"/>
      <c r="N758" s="182"/>
      <c r="P758" s="182"/>
      <c r="Q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M759" s="182"/>
      <c r="N759" s="182"/>
      <c r="P759" s="182"/>
      <c r="Q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M760" s="182"/>
      <c r="N760" s="182"/>
      <c r="P760" s="182"/>
      <c r="Q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M761" s="182"/>
      <c r="N761" s="182"/>
      <c r="P761" s="182"/>
      <c r="Q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M762" s="182"/>
      <c r="N762" s="182"/>
      <c r="P762" s="182"/>
      <c r="Q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M763" s="182"/>
      <c r="N763" s="182"/>
      <c r="P763" s="182"/>
      <c r="Q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M764" s="182"/>
      <c r="N764" s="182"/>
      <c r="P764" s="182"/>
      <c r="Q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M765" s="182"/>
      <c r="N765" s="182"/>
      <c r="P765" s="182"/>
      <c r="Q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M766" s="182"/>
      <c r="N766" s="182"/>
      <c r="P766" s="182"/>
      <c r="Q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M767" s="182"/>
      <c r="N767" s="182"/>
      <c r="P767" s="182"/>
      <c r="Q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M768" s="182"/>
      <c r="N768" s="182"/>
      <c r="P768" s="182"/>
      <c r="Q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M769" s="182"/>
      <c r="N769" s="182"/>
      <c r="P769" s="182"/>
      <c r="Q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M770" s="182"/>
      <c r="N770" s="182"/>
      <c r="P770" s="182"/>
      <c r="Q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M771" s="182"/>
      <c r="N771" s="182"/>
      <c r="P771" s="182"/>
      <c r="Q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M772" s="182"/>
      <c r="N772" s="182"/>
      <c r="P772" s="182"/>
      <c r="Q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M773" s="182"/>
      <c r="N773" s="182"/>
      <c r="P773" s="182"/>
      <c r="Q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M774" s="182"/>
      <c r="N774" s="182"/>
      <c r="P774" s="182"/>
      <c r="Q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M775" s="182"/>
      <c r="N775" s="182"/>
      <c r="P775" s="182"/>
      <c r="Q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M776" s="182"/>
      <c r="N776" s="182"/>
      <c r="P776" s="182"/>
      <c r="Q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M777" s="182"/>
      <c r="N777" s="182"/>
      <c r="P777" s="182"/>
      <c r="Q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M778" s="182"/>
      <c r="N778" s="182"/>
      <c r="P778" s="182"/>
      <c r="Q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M779" s="182"/>
      <c r="N779" s="182"/>
      <c r="P779" s="182"/>
      <c r="Q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M780" s="182"/>
      <c r="N780" s="182"/>
      <c r="P780" s="182"/>
      <c r="Q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M781" s="182"/>
      <c r="N781" s="182"/>
      <c r="P781" s="182"/>
      <c r="Q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M782" s="182"/>
      <c r="N782" s="182"/>
      <c r="P782" s="182"/>
      <c r="Q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M783" s="182"/>
      <c r="N783" s="182"/>
      <c r="P783" s="182"/>
      <c r="Q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M784" s="182"/>
      <c r="N784" s="182"/>
      <c r="P784" s="182"/>
      <c r="Q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M785" s="182"/>
      <c r="N785" s="182"/>
      <c r="P785" s="182"/>
      <c r="Q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M786" s="182"/>
      <c r="N786" s="182"/>
      <c r="P786" s="182"/>
      <c r="Q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M787" s="182"/>
      <c r="N787" s="182"/>
      <c r="P787" s="182"/>
      <c r="Q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M788" s="182"/>
      <c r="N788" s="182"/>
      <c r="P788" s="182"/>
      <c r="Q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M789" s="182"/>
      <c r="N789" s="182"/>
      <c r="P789" s="182"/>
      <c r="Q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M790" s="182"/>
      <c r="N790" s="182"/>
      <c r="P790" s="182"/>
      <c r="Q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M791" s="182"/>
      <c r="N791" s="182"/>
      <c r="P791" s="182"/>
      <c r="Q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M792" s="182"/>
      <c r="N792" s="182"/>
      <c r="P792" s="182"/>
      <c r="Q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M793" s="182"/>
      <c r="N793" s="182"/>
      <c r="P793" s="182"/>
      <c r="Q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M794" s="182"/>
      <c r="N794" s="182"/>
      <c r="P794" s="182"/>
      <c r="Q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M795" s="182"/>
      <c r="N795" s="182"/>
      <c r="P795" s="182"/>
      <c r="Q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M796" s="182"/>
      <c r="N796" s="182"/>
      <c r="P796" s="182"/>
      <c r="Q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M797" s="182"/>
      <c r="N797" s="182"/>
      <c r="P797" s="182"/>
      <c r="Q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M798" s="182"/>
      <c r="N798" s="182"/>
      <c r="P798" s="182"/>
      <c r="Q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M799" s="182"/>
      <c r="N799" s="182"/>
      <c r="P799" s="182"/>
      <c r="Q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M800" s="182"/>
      <c r="N800" s="182"/>
      <c r="P800" s="182"/>
      <c r="Q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M801" s="182"/>
      <c r="N801" s="182"/>
      <c r="P801" s="182"/>
      <c r="Q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M802" s="182"/>
      <c r="N802" s="182"/>
      <c r="P802" s="182"/>
      <c r="Q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M803" s="182"/>
      <c r="N803" s="182"/>
      <c r="P803" s="182"/>
      <c r="Q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M804" s="182"/>
      <c r="N804" s="182"/>
      <c r="P804" s="182"/>
      <c r="Q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M805" s="182"/>
      <c r="N805" s="182"/>
      <c r="P805" s="182"/>
      <c r="Q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M806" s="182"/>
      <c r="N806" s="182"/>
      <c r="P806" s="182"/>
      <c r="Q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M807" s="182"/>
      <c r="N807" s="182"/>
      <c r="P807" s="182"/>
      <c r="Q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M808" s="182"/>
      <c r="N808" s="182"/>
      <c r="P808" s="182"/>
      <c r="Q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M809" s="182"/>
      <c r="N809" s="182"/>
      <c r="P809" s="182"/>
      <c r="Q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M810" s="182"/>
      <c r="N810" s="182"/>
      <c r="P810" s="182"/>
      <c r="Q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M811" s="182"/>
      <c r="N811" s="182"/>
      <c r="P811" s="182"/>
      <c r="Q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M812" s="182"/>
      <c r="N812" s="182"/>
      <c r="P812" s="182"/>
      <c r="Q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M813" s="182"/>
      <c r="N813" s="182"/>
      <c r="P813" s="182"/>
      <c r="Q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M814" s="182"/>
      <c r="N814" s="182"/>
      <c r="P814" s="182"/>
      <c r="Q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M815" s="182"/>
      <c r="N815" s="182"/>
      <c r="P815" s="182"/>
      <c r="Q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M816" s="182"/>
      <c r="N816" s="182"/>
      <c r="P816" s="182"/>
      <c r="Q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M817" s="182"/>
      <c r="N817" s="182"/>
      <c r="P817" s="182"/>
      <c r="Q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M818" s="182"/>
      <c r="N818" s="182"/>
      <c r="P818" s="182"/>
      <c r="Q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M819" s="182"/>
      <c r="N819" s="182"/>
      <c r="P819" s="182"/>
      <c r="Q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M820" s="182"/>
      <c r="N820" s="182"/>
      <c r="P820" s="182"/>
      <c r="Q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M821" s="182"/>
      <c r="N821" s="182"/>
      <c r="P821" s="182"/>
      <c r="Q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M822" s="182"/>
      <c r="N822" s="182"/>
      <c r="P822" s="182"/>
      <c r="Q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M823" s="182"/>
      <c r="N823" s="182"/>
      <c r="P823" s="182"/>
      <c r="Q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M824" s="182"/>
      <c r="N824" s="182"/>
      <c r="P824" s="182"/>
      <c r="Q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M825" s="182"/>
      <c r="N825" s="182"/>
      <c r="P825" s="182"/>
      <c r="Q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M826" s="182"/>
      <c r="N826" s="182"/>
      <c r="P826" s="182"/>
      <c r="Q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M827" s="182"/>
      <c r="N827" s="182"/>
      <c r="P827" s="182"/>
      <c r="Q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M828" s="182"/>
      <c r="N828" s="182"/>
      <c r="P828" s="182"/>
      <c r="Q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M829" s="182"/>
      <c r="N829" s="182"/>
      <c r="P829" s="182"/>
      <c r="Q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M830" s="182"/>
      <c r="N830" s="182"/>
      <c r="P830" s="182"/>
      <c r="Q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M831" s="182"/>
      <c r="N831" s="182"/>
      <c r="P831" s="182"/>
      <c r="Q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M832" s="182"/>
      <c r="N832" s="182"/>
      <c r="P832" s="182"/>
      <c r="Q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M833" s="182"/>
      <c r="N833" s="182"/>
      <c r="P833" s="182"/>
      <c r="Q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M834" s="182"/>
      <c r="N834" s="182"/>
      <c r="P834" s="182"/>
      <c r="Q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M835" s="182"/>
      <c r="N835" s="182"/>
      <c r="P835" s="182"/>
      <c r="Q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M836" s="182"/>
      <c r="N836" s="182"/>
      <c r="P836" s="182"/>
      <c r="Q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M837" s="182"/>
      <c r="N837" s="182"/>
      <c r="P837" s="182"/>
      <c r="Q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M838" s="182"/>
      <c r="N838" s="182"/>
      <c r="P838" s="182"/>
      <c r="Q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M839" s="182"/>
      <c r="N839" s="182"/>
      <c r="P839" s="182"/>
      <c r="Q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M840" s="182"/>
      <c r="N840" s="182"/>
      <c r="P840" s="182"/>
      <c r="Q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M841" s="182"/>
      <c r="N841" s="182"/>
      <c r="P841" s="182"/>
      <c r="Q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M842" s="182"/>
      <c r="N842" s="182"/>
      <c r="P842" s="182"/>
      <c r="Q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M843" s="182"/>
      <c r="N843" s="182"/>
      <c r="P843" s="182"/>
      <c r="Q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M844" s="182"/>
      <c r="N844" s="182"/>
      <c r="P844" s="182"/>
      <c r="Q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M845" s="182"/>
      <c r="N845" s="182"/>
      <c r="P845" s="182"/>
      <c r="Q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M846" s="182"/>
      <c r="N846" s="182"/>
      <c r="P846" s="182"/>
      <c r="Q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M847" s="182"/>
      <c r="N847" s="182"/>
      <c r="P847" s="182"/>
      <c r="Q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M848" s="182"/>
      <c r="N848" s="182"/>
      <c r="P848" s="182"/>
      <c r="Q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M849" s="182"/>
      <c r="N849" s="182"/>
      <c r="P849" s="182"/>
      <c r="Q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M850" s="182"/>
      <c r="N850" s="182"/>
      <c r="P850" s="182"/>
      <c r="Q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M851" s="182"/>
      <c r="N851" s="182"/>
      <c r="P851" s="182"/>
      <c r="Q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M852" s="182"/>
      <c r="N852" s="182"/>
      <c r="P852" s="182"/>
      <c r="Q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M853" s="182"/>
      <c r="N853" s="182"/>
      <c r="P853" s="182"/>
      <c r="Q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M854" s="182"/>
      <c r="N854" s="182"/>
      <c r="P854" s="182"/>
      <c r="Q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M855" s="182"/>
      <c r="N855" s="182"/>
      <c r="P855" s="182"/>
      <c r="Q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M856" s="182"/>
      <c r="N856" s="182"/>
      <c r="P856" s="182"/>
      <c r="Q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M857" s="182"/>
      <c r="N857" s="182"/>
      <c r="P857" s="182"/>
      <c r="Q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M858" s="182"/>
      <c r="N858" s="182"/>
      <c r="P858" s="182"/>
      <c r="Q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M859" s="182"/>
      <c r="N859" s="182"/>
      <c r="P859" s="182"/>
      <c r="Q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M860" s="182"/>
      <c r="N860" s="182"/>
      <c r="P860" s="182"/>
      <c r="Q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M861" s="182"/>
      <c r="N861" s="182"/>
      <c r="P861" s="182"/>
      <c r="Q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M862" s="182"/>
      <c r="N862" s="182"/>
      <c r="P862" s="182"/>
      <c r="Q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M863" s="182"/>
      <c r="N863" s="182"/>
      <c r="P863" s="182"/>
      <c r="Q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M864" s="182"/>
      <c r="N864" s="182"/>
      <c r="P864" s="182"/>
      <c r="Q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M865" s="182"/>
      <c r="N865" s="182"/>
      <c r="P865" s="182"/>
      <c r="Q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M866" s="182"/>
      <c r="N866" s="182"/>
      <c r="P866" s="182"/>
      <c r="Q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M867" s="182"/>
      <c r="N867" s="182"/>
      <c r="P867" s="182"/>
      <c r="Q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M868" s="182"/>
      <c r="N868" s="182"/>
      <c r="P868" s="182"/>
      <c r="Q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M869" s="182"/>
      <c r="N869" s="182"/>
      <c r="P869" s="182"/>
      <c r="Q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M870" s="182"/>
      <c r="N870" s="182"/>
      <c r="P870" s="182"/>
      <c r="Q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M871" s="182"/>
      <c r="N871" s="182"/>
      <c r="P871" s="182"/>
      <c r="Q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M872" s="182"/>
      <c r="N872" s="182"/>
      <c r="P872" s="182"/>
      <c r="Q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M873" s="182"/>
      <c r="N873" s="182"/>
      <c r="P873" s="182"/>
      <c r="Q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M874" s="182"/>
      <c r="N874" s="182"/>
      <c r="P874" s="182"/>
      <c r="Q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M875" s="182"/>
      <c r="N875" s="182"/>
      <c r="P875" s="182"/>
      <c r="Q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M876" s="182"/>
      <c r="N876" s="182"/>
      <c r="P876" s="182"/>
      <c r="Q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M877" s="182"/>
      <c r="N877" s="182"/>
      <c r="P877" s="182"/>
      <c r="Q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M878" s="182"/>
      <c r="N878" s="182"/>
      <c r="P878" s="182"/>
      <c r="Q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M879" s="182"/>
      <c r="N879" s="182"/>
      <c r="P879" s="182"/>
      <c r="Q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M880" s="182"/>
      <c r="N880" s="182"/>
      <c r="P880" s="182"/>
      <c r="Q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M881" s="182"/>
      <c r="N881" s="182"/>
      <c r="P881" s="182"/>
      <c r="Q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M882" s="182"/>
      <c r="N882" s="182"/>
      <c r="P882" s="182"/>
      <c r="Q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M883" s="182"/>
      <c r="N883" s="182"/>
      <c r="P883" s="182"/>
      <c r="Q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M884" s="182"/>
      <c r="N884" s="182"/>
      <c r="P884" s="182"/>
      <c r="Q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M885" s="182"/>
      <c r="N885" s="182"/>
      <c r="P885" s="182"/>
      <c r="Q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M886" s="182"/>
      <c r="N886" s="182"/>
      <c r="P886" s="182"/>
      <c r="Q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M887" s="182"/>
      <c r="N887" s="182"/>
      <c r="P887" s="182"/>
      <c r="Q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M888" s="182"/>
      <c r="N888" s="182"/>
      <c r="P888" s="182"/>
      <c r="Q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M889" s="182"/>
      <c r="N889" s="182"/>
      <c r="P889" s="182"/>
      <c r="Q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M890" s="182"/>
      <c r="N890" s="182"/>
      <c r="P890" s="182"/>
      <c r="Q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M891" s="182"/>
      <c r="N891" s="182"/>
      <c r="P891" s="182"/>
      <c r="Q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M892" s="182"/>
      <c r="N892" s="182"/>
      <c r="P892" s="182"/>
      <c r="Q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M893" s="182"/>
      <c r="N893" s="182"/>
      <c r="P893" s="182"/>
      <c r="Q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M894" s="182"/>
      <c r="N894" s="182"/>
      <c r="P894" s="182"/>
      <c r="Q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M895" s="182"/>
      <c r="N895" s="182"/>
      <c r="P895" s="182"/>
      <c r="Q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M896" s="182"/>
      <c r="N896" s="182"/>
      <c r="P896" s="182"/>
      <c r="Q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M897" s="182"/>
      <c r="N897" s="182"/>
      <c r="P897" s="182"/>
      <c r="Q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M898" s="182"/>
      <c r="N898" s="182"/>
      <c r="P898" s="182"/>
      <c r="Q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M899" s="182"/>
      <c r="N899" s="182"/>
      <c r="P899" s="182"/>
      <c r="Q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M900" s="182"/>
      <c r="N900" s="182"/>
      <c r="P900" s="182"/>
      <c r="Q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M901" s="182"/>
      <c r="N901" s="182"/>
      <c r="P901" s="182"/>
      <c r="Q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M902" s="182"/>
      <c r="N902" s="182"/>
      <c r="P902" s="182"/>
      <c r="Q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M903" s="182"/>
      <c r="N903" s="182"/>
      <c r="P903" s="182"/>
      <c r="Q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M904" s="182"/>
      <c r="N904" s="182"/>
      <c r="P904" s="182"/>
      <c r="Q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M905" s="182"/>
      <c r="N905" s="182"/>
      <c r="P905" s="182"/>
      <c r="Q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M906" s="182"/>
      <c r="N906" s="182"/>
      <c r="P906" s="182"/>
      <c r="Q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M907" s="182"/>
      <c r="N907" s="182"/>
      <c r="P907" s="182"/>
      <c r="Q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M908" s="182"/>
      <c r="N908" s="182"/>
      <c r="P908" s="182"/>
      <c r="Q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M909" s="182"/>
      <c r="N909" s="182"/>
      <c r="P909" s="182"/>
      <c r="Q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M910" s="182"/>
      <c r="N910" s="182"/>
      <c r="P910" s="182"/>
      <c r="Q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M911" s="182"/>
      <c r="N911" s="182"/>
      <c r="P911" s="182"/>
      <c r="Q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M912" s="182"/>
      <c r="N912" s="182"/>
      <c r="P912" s="182"/>
      <c r="Q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M913" s="182"/>
      <c r="N913" s="182"/>
      <c r="P913" s="182"/>
      <c r="Q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M914" s="182"/>
      <c r="N914" s="182"/>
      <c r="P914" s="182"/>
      <c r="Q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M915" s="182"/>
      <c r="N915" s="182"/>
      <c r="P915" s="182"/>
      <c r="Q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M916" s="182"/>
      <c r="N916" s="182"/>
      <c r="P916" s="182"/>
      <c r="Q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M917" s="182"/>
      <c r="N917" s="182"/>
      <c r="P917" s="182"/>
      <c r="Q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M918" s="182"/>
      <c r="N918" s="182"/>
      <c r="P918" s="182"/>
      <c r="Q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M919" s="182"/>
      <c r="N919" s="182"/>
      <c r="P919" s="182"/>
      <c r="Q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M920" s="182"/>
      <c r="N920" s="182"/>
      <c r="P920" s="182"/>
      <c r="Q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M921" s="182"/>
      <c r="N921" s="182"/>
      <c r="P921" s="182"/>
      <c r="Q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M922" s="182"/>
      <c r="N922" s="182"/>
      <c r="P922" s="182"/>
      <c r="Q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M923" s="182"/>
      <c r="N923" s="182"/>
      <c r="P923" s="182"/>
      <c r="Q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M924" s="182"/>
      <c r="N924" s="182"/>
      <c r="P924" s="182"/>
      <c r="Q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M925" s="182"/>
      <c r="N925" s="182"/>
      <c r="P925" s="182"/>
      <c r="Q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M926" s="182"/>
      <c r="N926" s="182"/>
      <c r="P926" s="182"/>
      <c r="Q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M927" s="182"/>
      <c r="N927" s="182"/>
      <c r="P927" s="182"/>
      <c r="Q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M928" s="182"/>
      <c r="N928" s="182"/>
      <c r="P928" s="182"/>
      <c r="Q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M929" s="182"/>
      <c r="N929" s="182"/>
      <c r="P929" s="182"/>
      <c r="Q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M930" s="182"/>
      <c r="N930" s="182"/>
      <c r="P930" s="182"/>
      <c r="Q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M931" s="182"/>
      <c r="N931" s="182"/>
      <c r="P931" s="182"/>
      <c r="Q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M932" s="182"/>
      <c r="N932" s="182"/>
      <c r="P932" s="182"/>
      <c r="Q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M933" s="182"/>
      <c r="N933" s="182"/>
      <c r="P933" s="182"/>
      <c r="Q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M934" s="182"/>
      <c r="N934" s="182"/>
      <c r="P934" s="182"/>
      <c r="Q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M935" s="182"/>
      <c r="N935" s="182"/>
      <c r="P935" s="182"/>
      <c r="Q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M936" s="182"/>
      <c r="N936" s="182"/>
      <c r="P936" s="182"/>
      <c r="Q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M937" s="182"/>
      <c r="N937" s="182"/>
      <c r="P937" s="182"/>
      <c r="Q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M938" s="182"/>
      <c r="N938" s="182"/>
      <c r="P938" s="182"/>
      <c r="Q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M939" s="182"/>
      <c r="N939" s="182"/>
      <c r="P939" s="182"/>
      <c r="Q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M940" s="182"/>
      <c r="N940" s="182"/>
      <c r="P940" s="182"/>
      <c r="Q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M941" s="182"/>
      <c r="N941" s="182"/>
      <c r="P941" s="182"/>
      <c r="Q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M942" s="182"/>
      <c r="N942" s="182"/>
      <c r="P942" s="182"/>
      <c r="Q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M943" s="182"/>
      <c r="N943" s="182"/>
      <c r="P943" s="182"/>
      <c r="Q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M944" s="182"/>
      <c r="N944" s="182"/>
      <c r="P944" s="182"/>
      <c r="Q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M945" s="182"/>
      <c r="N945" s="182"/>
      <c r="P945" s="182"/>
      <c r="Q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M946" s="182"/>
      <c r="N946" s="182"/>
      <c r="P946" s="182"/>
      <c r="Q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M947" s="182"/>
      <c r="N947" s="182"/>
      <c r="P947" s="182"/>
      <c r="Q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M948" s="182"/>
      <c r="N948" s="182"/>
      <c r="P948" s="182"/>
      <c r="Q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M949" s="182"/>
      <c r="N949" s="182"/>
      <c r="P949" s="182"/>
      <c r="Q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M950" s="182"/>
      <c r="N950" s="182"/>
      <c r="P950" s="182"/>
      <c r="Q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M951" s="182"/>
      <c r="N951" s="182"/>
      <c r="P951" s="182"/>
      <c r="Q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M952" s="182"/>
      <c r="N952" s="182"/>
      <c r="P952" s="182"/>
      <c r="Q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M953" s="182"/>
      <c r="N953" s="182"/>
      <c r="P953" s="182"/>
      <c r="Q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M954" s="182"/>
      <c r="N954" s="182"/>
      <c r="P954" s="182"/>
      <c r="Q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M955" s="182"/>
      <c r="N955" s="182"/>
      <c r="P955" s="182"/>
      <c r="Q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M956" s="182"/>
      <c r="N956" s="182"/>
      <c r="P956" s="182"/>
      <c r="Q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M957" s="182"/>
      <c r="N957" s="182"/>
      <c r="P957" s="182"/>
      <c r="Q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M958" s="182"/>
      <c r="N958" s="182"/>
      <c r="P958" s="182"/>
      <c r="Q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M959" s="182"/>
      <c r="N959" s="182"/>
      <c r="P959" s="182"/>
      <c r="Q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M960" s="182"/>
      <c r="N960" s="182"/>
      <c r="P960" s="182"/>
      <c r="Q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M961" s="182"/>
      <c r="N961" s="182"/>
      <c r="P961" s="182"/>
      <c r="Q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M962" s="182"/>
      <c r="N962" s="182"/>
      <c r="P962" s="182"/>
      <c r="Q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M963" s="182"/>
      <c r="N963" s="182"/>
      <c r="P963" s="182"/>
      <c r="Q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M964" s="182"/>
      <c r="N964" s="182"/>
      <c r="P964" s="182"/>
      <c r="Q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M965" s="182"/>
      <c r="N965" s="182"/>
      <c r="P965" s="182"/>
      <c r="Q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M966" s="182"/>
      <c r="N966" s="182"/>
      <c r="P966" s="182"/>
      <c r="Q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M967" s="182"/>
      <c r="N967" s="182"/>
      <c r="P967" s="182"/>
      <c r="Q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M968" s="182"/>
      <c r="N968" s="182"/>
      <c r="P968" s="182"/>
      <c r="Q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M969" s="182"/>
      <c r="N969" s="182"/>
      <c r="P969" s="182"/>
      <c r="Q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M970" s="182"/>
      <c r="N970" s="182"/>
      <c r="P970" s="182"/>
      <c r="Q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M971" s="182"/>
      <c r="N971" s="182"/>
      <c r="P971" s="182"/>
      <c r="Q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M972" s="182"/>
      <c r="N972" s="182"/>
      <c r="P972" s="182"/>
      <c r="Q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M973" s="182"/>
      <c r="N973" s="182"/>
      <c r="P973" s="182"/>
      <c r="Q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M974" s="182"/>
      <c r="N974" s="182"/>
      <c r="P974" s="182"/>
      <c r="Q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M975" s="182"/>
      <c r="N975" s="182"/>
      <c r="P975" s="182"/>
      <c r="Q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M976" s="182"/>
      <c r="N976" s="182"/>
      <c r="P976" s="182"/>
      <c r="Q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M977" s="182"/>
      <c r="N977" s="182"/>
      <c r="P977" s="182"/>
      <c r="Q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M978" s="182"/>
      <c r="N978" s="182"/>
      <c r="P978" s="182"/>
      <c r="Q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M979" s="182"/>
      <c r="N979" s="182"/>
      <c r="P979" s="182"/>
      <c r="Q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M980" s="182"/>
      <c r="N980" s="182"/>
      <c r="P980" s="182"/>
      <c r="Q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M981" s="182"/>
      <c r="N981" s="182"/>
      <c r="P981" s="182"/>
      <c r="Q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M982" s="182"/>
      <c r="N982" s="182"/>
      <c r="P982" s="182"/>
      <c r="Q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M983" s="182"/>
      <c r="N983" s="182"/>
      <c r="P983" s="182"/>
      <c r="Q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M984" s="182"/>
      <c r="N984" s="182"/>
      <c r="P984" s="182"/>
      <c r="Q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M985" s="182"/>
      <c r="N985" s="182"/>
      <c r="P985" s="182"/>
      <c r="Q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M986" s="182"/>
      <c r="N986" s="182"/>
      <c r="P986" s="182"/>
      <c r="Q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M987" s="182"/>
      <c r="N987" s="182"/>
      <c r="P987" s="182"/>
      <c r="Q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M988" s="182"/>
      <c r="N988" s="182"/>
      <c r="P988" s="182"/>
      <c r="Q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M989" s="182"/>
      <c r="N989" s="182"/>
      <c r="P989" s="182"/>
      <c r="Q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M990" s="182"/>
      <c r="N990" s="182"/>
      <c r="P990" s="182"/>
      <c r="Q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M991" s="182"/>
      <c r="N991" s="182"/>
      <c r="P991" s="182"/>
      <c r="Q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M992" s="182"/>
      <c r="N992" s="182"/>
      <c r="P992" s="182"/>
      <c r="Q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M993" s="182"/>
      <c r="N993" s="182"/>
      <c r="P993" s="182"/>
      <c r="Q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M994" s="182"/>
      <c r="N994" s="182"/>
      <c r="P994" s="182"/>
      <c r="Q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M995" s="182"/>
      <c r="N995" s="182"/>
      <c r="P995" s="182"/>
      <c r="Q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M996" s="182"/>
      <c r="N996" s="182"/>
      <c r="P996" s="182"/>
      <c r="Q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M997" s="182"/>
      <c r="N997" s="182"/>
      <c r="P997" s="182"/>
      <c r="Q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M998" s="182"/>
      <c r="N998" s="182"/>
      <c r="P998" s="182"/>
      <c r="Q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M999" s="182"/>
      <c r="N999" s="182"/>
      <c r="P999" s="182"/>
      <c r="Q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M1000" s="182"/>
      <c r="N1000" s="182"/>
      <c r="P1000" s="182"/>
      <c r="Q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M1001" s="182"/>
      <c r="N1001" s="182"/>
      <c r="P1001" s="182"/>
      <c r="Q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M1002" s="182"/>
      <c r="N1002" s="182"/>
      <c r="P1002" s="182"/>
      <c r="Q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M1003" s="182"/>
      <c r="N1003" s="182"/>
      <c r="P1003" s="182"/>
      <c r="Q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M1004" s="182"/>
      <c r="N1004" s="182"/>
      <c r="P1004" s="182"/>
      <c r="Q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M1005" s="182"/>
      <c r="N1005" s="182"/>
      <c r="P1005" s="182"/>
      <c r="Q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M1006" s="182"/>
      <c r="N1006" s="182"/>
      <c r="P1006" s="182"/>
      <c r="Q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M1007" s="182"/>
      <c r="N1007" s="182"/>
      <c r="P1007" s="182"/>
      <c r="Q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M1008" s="182"/>
      <c r="N1008" s="182"/>
      <c r="P1008" s="182"/>
      <c r="Q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M1009" s="182"/>
      <c r="N1009" s="182"/>
      <c r="P1009" s="182"/>
      <c r="Q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M1010" s="182"/>
      <c r="N1010" s="182"/>
      <c r="P1010" s="182"/>
      <c r="Q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M1011" s="182"/>
      <c r="N1011" s="182"/>
      <c r="P1011" s="182"/>
      <c r="Q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M1012" s="182"/>
      <c r="N1012" s="182"/>
      <c r="P1012" s="182"/>
      <c r="Q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M1013" s="182"/>
      <c r="N1013" s="182"/>
      <c r="P1013" s="182"/>
      <c r="Q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M1014" s="182"/>
      <c r="N1014" s="182"/>
      <c r="P1014" s="182"/>
      <c r="Q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M1015" s="182"/>
      <c r="N1015" s="182"/>
      <c r="P1015" s="182"/>
      <c r="Q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M1016" s="182"/>
      <c r="N1016" s="182"/>
      <c r="P1016" s="182"/>
      <c r="Q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29"/>
      <c r="EH2" s="529"/>
      <c r="EI2" s="529"/>
      <c r="EJ2" s="529"/>
      <c r="EK2" s="529"/>
      <c r="EL2" s="529"/>
      <c r="EM2" s="529"/>
      <c r="EN2" s="529"/>
      <c r="EO2" s="529"/>
      <c r="EP2" s="529"/>
      <c r="EQ2" s="529"/>
      <c r="ER2" s="529"/>
      <c r="ES2" s="529"/>
      <c r="ET2" s="529"/>
      <c r="EU2" s="529"/>
      <c r="EV2" s="529"/>
      <c r="EW2" s="529"/>
      <c r="EX2" s="529"/>
      <c r="EY2" s="529"/>
      <c r="EZ2" s="529"/>
      <c r="FA2" s="529"/>
      <c r="FB2" s="529"/>
      <c r="FC2" s="529"/>
      <c r="FD2" s="529"/>
      <c r="FE2" s="529"/>
      <c r="FF2" s="529"/>
      <c r="FG2" s="529"/>
      <c r="FH2" s="529"/>
      <c r="FI2" s="529"/>
      <c r="FJ2" s="529"/>
      <c r="FK2" s="529"/>
      <c r="FL2" s="529"/>
      <c r="FM2" s="530" t="s">
        <v>232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30" t="s">
        <v>232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31" t="s">
        <v>232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32" t="s">
        <v>233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29"/>
      <c r="EH3" s="529"/>
      <c r="EI3" s="529"/>
      <c r="EJ3" s="529"/>
      <c r="EK3" s="529"/>
      <c r="EL3" s="529"/>
      <c r="EM3" s="529"/>
      <c r="EN3" s="529"/>
      <c r="EO3" s="529"/>
      <c r="EP3" s="529"/>
      <c r="EQ3" s="529"/>
      <c r="ER3" s="529"/>
      <c r="ES3" s="529"/>
      <c r="ET3" s="529"/>
      <c r="EU3" s="529"/>
      <c r="EV3" s="529"/>
      <c r="EW3" s="529"/>
      <c r="EX3" s="529"/>
      <c r="EY3" s="529"/>
      <c r="EZ3" s="529"/>
      <c r="FA3" s="529"/>
      <c r="FB3" s="529"/>
      <c r="FC3" s="529"/>
      <c r="FD3" s="529"/>
      <c r="FE3" s="529"/>
      <c r="FF3" s="529"/>
      <c r="FG3" s="529"/>
      <c r="FH3" s="529"/>
      <c r="FI3" s="529"/>
      <c r="FJ3" s="529"/>
      <c r="FK3" s="529"/>
      <c r="FL3" s="529"/>
      <c r="FM3" s="31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33" t="s">
        <v>234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34" t="s">
        <v>235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35" t="s">
        <v>236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36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37" t="s">
        <v>88</v>
      </c>
      <c r="CE4" s="124"/>
      <c r="CF4" s="124"/>
      <c r="CG4" s="124"/>
      <c r="CH4" s="124"/>
      <c r="CI4" s="124"/>
      <c r="CJ4" s="124"/>
      <c r="CK4" s="124"/>
      <c r="CL4" s="125"/>
      <c r="CM4" s="538" t="s">
        <v>237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39" t="s">
        <v>238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40" t="s">
        <v>239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41" t="s">
        <v>240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42" t="s">
        <v>110</v>
      </c>
      <c r="FK4" s="124"/>
      <c r="FL4" s="125"/>
      <c r="FM4" s="539" t="s">
        <v>241</v>
      </c>
      <c r="FN4" s="124"/>
      <c r="FO4" s="124"/>
      <c r="FP4" s="124"/>
      <c r="FQ4" s="125"/>
      <c r="FR4" s="533" t="s">
        <v>242</v>
      </c>
      <c r="FS4" s="124"/>
      <c r="FT4" s="124"/>
      <c r="FU4" s="124"/>
      <c r="FV4" s="125"/>
      <c r="FW4" s="540" t="s">
        <v>243</v>
      </c>
      <c r="FX4" s="124"/>
      <c r="FY4" s="124"/>
      <c r="FZ4" s="124"/>
      <c r="GA4" s="125"/>
      <c r="GB4" s="534" t="s">
        <v>244</v>
      </c>
      <c r="GC4" s="124"/>
      <c r="GD4" s="124"/>
      <c r="GE4" s="124"/>
      <c r="GF4" s="125"/>
      <c r="GG4" s="543" t="s">
        <v>245</v>
      </c>
      <c r="GH4" s="124"/>
      <c r="GI4" s="124"/>
      <c r="GJ4" s="124"/>
      <c r="GK4" s="125"/>
      <c r="GL4" s="542" t="s">
        <v>246</v>
      </c>
      <c r="GM4" s="124"/>
      <c r="GN4" s="124"/>
      <c r="GO4" s="124"/>
      <c r="GP4" s="125"/>
      <c r="GQ4" s="544" t="s">
        <v>247</v>
      </c>
      <c r="GR4" s="124"/>
      <c r="GS4" s="124"/>
      <c r="GT4" s="124"/>
      <c r="GU4" s="125"/>
      <c r="GV4" s="545" t="s">
        <v>248</v>
      </c>
      <c r="GW4" s="124"/>
      <c r="GX4" s="124"/>
      <c r="GY4" s="124"/>
      <c r="GZ4" s="125"/>
      <c r="HA4" s="541" t="s">
        <v>249</v>
      </c>
      <c r="HB4" s="124"/>
      <c r="HC4" s="124"/>
      <c r="HD4" s="124"/>
      <c r="HE4" s="125"/>
      <c r="HF4" s="540" t="s">
        <v>250</v>
      </c>
      <c r="HG4" s="124"/>
      <c r="HH4" s="124"/>
      <c r="HI4" s="124"/>
      <c r="HJ4" s="125"/>
      <c r="HK4" s="545" t="s">
        <v>251</v>
      </c>
      <c r="HL4" s="124"/>
      <c r="HM4" s="124"/>
      <c r="HN4" s="124"/>
      <c r="HO4" s="125"/>
      <c r="HP4" s="542" t="s">
        <v>185</v>
      </c>
      <c r="HQ4" s="124"/>
      <c r="HR4" s="124"/>
      <c r="HS4" s="124"/>
      <c r="HT4" s="125"/>
      <c r="HU4" s="546" t="s">
        <v>252</v>
      </c>
      <c r="HV4" s="124"/>
      <c r="HW4" s="124"/>
      <c r="HX4" s="124"/>
      <c r="HY4" s="125"/>
      <c r="HZ4" s="547" t="s">
        <v>253</v>
      </c>
      <c r="IA4" s="124"/>
      <c r="IB4" s="124"/>
      <c r="IC4" s="124"/>
      <c r="ID4" s="125"/>
      <c r="IE4" s="537" t="s">
        <v>254</v>
      </c>
      <c r="IF4" s="124"/>
      <c r="IG4" s="124"/>
      <c r="IH4" s="124"/>
      <c r="II4" s="125"/>
      <c r="IJ4" s="548" t="s">
        <v>255</v>
      </c>
      <c r="IK4" s="124"/>
      <c r="IL4" s="124"/>
      <c r="IM4" s="124"/>
      <c r="IN4" s="125"/>
      <c r="IO4" s="549" t="s">
        <v>256</v>
      </c>
      <c r="IP4" s="124"/>
      <c r="IQ4" s="124"/>
      <c r="IR4" s="124"/>
      <c r="IS4" s="125"/>
      <c r="IT4" s="549" t="s">
        <v>257</v>
      </c>
      <c r="IU4" s="124"/>
      <c r="IV4" s="124"/>
      <c r="IW4" s="124"/>
      <c r="IX4" s="125"/>
      <c r="IY4" s="533" t="s">
        <v>199</v>
      </c>
      <c r="IZ4" s="124"/>
      <c r="JA4" s="124"/>
      <c r="JB4" s="124"/>
      <c r="JC4" s="125"/>
      <c r="JD4" s="546" t="s">
        <v>258</v>
      </c>
      <c r="JE4" s="124"/>
      <c r="JF4" s="124"/>
      <c r="JG4" s="124"/>
      <c r="JH4" s="125"/>
      <c r="JI4" s="542" t="s">
        <v>259</v>
      </c>
      <c r="JJ4" s="124"/>
      <c r="JK4" s="124"/>
      <c r="JL4" s="124"/>
      <c r="JM4" s="125"/>
      <c r="JN4" s="545" t="s">
        <v>181</v>
      </c>
      <c r="JO4" s="124"/>
      <c r="JP4" s="124"/>
      <c r="JQ4" s="124"/>
      <c r="JR4" s="125"/>
      <c r="JS4" s="543" t="s">
        <v>182</v>
      </c>
      <c r="JT4" s="124"/>
      <c r="JU4" s="124"/>
      <c r="JV4" s="124"/>
      <c r="JW4" s="125"/>
      <c r="JX4" s="541" t="s">
        <v>260</v>
      </c>
      <c r="JY4" s="124"/>
      <c r="JZ4" s="124"/>
      <c r="KA4" s="124"/>
      <c r="KB4" s="125"/>
      <c r="KC4" s="547" t="s">
        <v>261</v>
      </c>
      <c r="KD4" s="124"/>
      <c r="KE4" s="124"/>
      <c r="KF4" s="124"/>
      <c r="KG4" s="125"/>
      <c r="KH4" s="547" t="s">
        <v>150</v>
      </c>
      <c r="KI4" s="124"/>
      <c r="KJ4" s="124"/>
      <c r="KK4" s="124"/>
      <c r="KL4" s="125"/>
      <c r="KM4" s="547" t="s">
        <v>149</v>
      </c>
      <c r="KN4" s="124"/>
      <c r="KO4" s="124"/>
      <c r="KP4" s="124"/>
      <c r="KQ4" s="125"/>
      <c r="KR4" s="547" t="s">
        <v>153</v>
      </c>
      <c r="KS4" s="124"/>
      <c r="KT4" s="124"/>
      <c r="KU4" s="124"/>
      <c r="KV4" s="125"/>
      <c r="KW4" s="547" t="s">
        <v>132</v>
      </c>
      <c r="KX4" s="124"/>
      <c r="KY4" s="124"/>
      <c r="KZ4" s="124"/>
      <c r="LA4" s="125"/>
      <c r="LB4" s="547" t="s">
        <v>262</v>
      </c>
      <c r="LC4" s="124"/>
      <c r="LD4" s="124"/>
      <c r="LE4" s="124"/>
      <c r="LF4" s="125"/>
      <c r="LG4" s="550"/>
      <c r="LH4" s="550"/>
      <c r="LI4" s="550"/>
      <c r="LJ4" s="550"/>
      <c r="LK4" s="550"/>
      <c r="LL4" s="550"/>
      <c r="LM4" s="551"/>
    </row>
    <row r="5" ht="42.0" customHeight="1">
      <c r="A5" s="552" t="s">
        <v>263</v>
      </c>
      <c r="B5" s="553" t="s">
        <v>264</v>
      </c>
      <c r="C5" s="553" t="s">
        <v>265</v>
      </c>
      <c r="D5" s="553" t="s">
        <v>266</v>
      </c>
      <c r="E5" s="553" t="s">
        <v>267</v>
      </c>
      <c r="F5" s="553" t="s">
        <v>14</v>
      </c>
      <c r="G5" s="553" t="s">
        <v>268</v>
      </c>
      <c r="H5" s="553" t="s">
        <v>17</v>
      </c>
      <c r="I5" s="553" t="s">
        <v>9</v>
      </c>
      <c r="J5" s="553" t="s">
        <v>269</v>
      </c>
      <c r="K5" s="553" t="s">
        <v>270</v>
      </c>
      <c r="L5" s="553" t="s">
        <v>271</v>
      </c>
      <c r="M5" s="553" t="s">
        <v>272</v>
      </c>
      <c r="N5" s="553" t="s">
        <v>273</v>
      </c>
      <c r="O5" s="553" t="s">
        <v>274</v>
      </c>
      <c r="P5" s="553" t="s">
        <v>106</v>
      </c>
      <c r="Q5" s="553" t="s">
        <v>275</v>
      </c>
      <c r="R5" s="553" t="s">
        <v>276</v>
      </c>
      <c r="S5" s="553" t="s">
        <v>277</v>
      </c>
      <c r="T5" s="553" t="s">
        <v>278</v>
      </c>
      <c r="U5" s="553" t="s">
        <v>279</v>
      </c>
      <c r="V5" s="554" t="s">
        <v>18</v>
      </c>
      <c r="W5" s="555" t="s">
        <v>280</v>
      </c>
      <c r="X5" s="556" t="s">
        <v>22</v>
      </c>
      <c r="Y5" s="557" t="s">
        <v>281</v>
      </c>
      <c r="Z5" s="557" t="s">
        <v>282</v>
      </c>
      <c r="AA5" s="557" t="s">
        <v>283</v>
      </c>
      <c r="AB5" s="557" t="s">
        <v>284</v>
      </c>
      <c r="AC5" s="557" t="s">
        <v>285</v>
      </c>
      <c r="AD5" s="557" t="s">
        <v>286</v>
      </c>
      <c r="AE5" s="557" t="s">
        <v>287</v>
      </c>
      <c r="AF5" s="557" t="s">
        <v>288</v>
      </c>
      <c r="AG5" s="557" t="s">
        <v>50</v>
      </c>
      <c r="AH5" s="557" t="s">
        <v>289</v>
      </c>
      <c r="AI5" s="558" t="s">
        <v>290</v>
      </c>
      <c r="AJ5" s="558" t="s">
        <v>291</v>
      </c>
      <c r="AK5" s="558" t="s">
        <v>292</v>
      </c>
      <c r="AL5" s="558" t="s">
        <v>293</v>
      </c>
      <c r="AM5" s="558" t="s">
        <v>294</v>
      </c>
      <c r="AN5" s="558" t="s">
        <v>23</v>
      </c>
      <c r="AO5" s="558" t="s">
        <v>295</v>
      </c>
      <c r="AP5" s="558" t="s">
        <v>296</v>
      </c>
      <c r="AQ5" s="558" t="s">
        <v>297</v>
      </c>
      <c r="AR5" s="558" t="s">
        <v>298</v>
      </c>
      <c r="AS5" s="558" t="s">
        <v>24</v>
      </c>
      <c r="AT5" s="558" t="s">
        <v>299</v>
      </c>
      <c r="AU5" s="558" t="s">
        <v>300</v>
      </c>
      <c r="AV5" s="558" t="s">
        <v>301</v>
      </c>
      <c r="AW5" s="558" t="s">
        <v>302</v>
      </c>
      <c r="AX5" s="557" t="s">
        <v>303</v>
      </c>
      <c r="AY5" s="557" t="s">
        <v>304</v>
      </c>
      <c r="AZ5" s="557" t="s">
        <v>305</v>
      </c>
      <c r="BA5" s="557" t="s">
        <v>306</v>
      </c>
      <c r="BB5" s="559" t="s">
        <v>146</v>
      </c>
      <c r="BC5" s="560" t="s">
        <v>307</v>
      </c>
      <c r="BD5" s="561" t="s">
        <v>308</v>
      </c>
      <c r="BE5" s="561" t="s">
        <v>309</v>
      </c>
      <c r="BF5" s="561" t="s">
        <v>310</v>
      </c>
      <c r="BG5" s="561" t="s">
        <v>311</v>
      </c>
      <c r="BH5" s="561" t="s">
        <v>312</v>
      </c>
      <c r="BI5" s="561" t="s">
        <v>43</v>
      </c>
      <c r="BJ5" s="561" t="s">
        <v>44</v>
      </c>
      <c r="BK5" s="561" t="s">
        <v>313</v>
      </c>
      <c r="BL5" s="562" t="s">
        <v>314</v>
      </c>
      <c r="BM5" s="561" t="s">
        <v>57</v>
      </c>
      <c r="BN5" s="561" t="s">
        <v>315</v>
      </c>
      <c r="BO5" s="563" t="s">
        <v>316</v>
      </c>
      <c r="BP5" s="564" t="s">
        <v>317</v>
      </c>
      <c r="BQ5" s="565" t="s">
        <v>318</v>
      </c>
      <c r="BR5" s="565" t="s">
        <v>319</v>
      </c>
      <c r="BS5" s="565" t="s">
        <v>320</v>
      </c>
      <c r="BT5" s="565" t="s">
        <v>321</v>
      </c>
      <c r="BU5" s="565" t="s">
        <v>322</v>
      </c>
      <c r="BV5" s="565" t="s">
        <v>323</v>
      </c>
      <c r="BW5" s="565" t="s">
        <v>324</v>
      </c>
      <c r="BX5" s="566" t="s">
        <v>325</v>
      </c>
      <c r="BY5" s="566" t="s">
        <v>326</v>
      </c>
      <c r="BZ5" s="566" t="s">
        <v>87</v>
      </c>
      <c r="CA5" s="566" t="s">
        <v>69</v>
      </c>
      <c r="CB5" s="565" t="s">
        <v>327</v>
      </c>
      <c r="CC5" s="567" t="s">
        <v>328</v>
      </c>
      <c r="CD5" s="568" t="s">
        <v>42</v>
      </c>
      <c r="CE5" s="569" t="s">
        <v>329</v>
      </c>
      <c r="CF5" s="569" t="s">
        <v>330</v>
      </c>
      <c r="CG5" s="569" t="s">
        <v>331</v>
      </c>
      <c r="CH5" s="569" t="s">
        <v>332</v>
      </c>
      <c r="CI5" s="569" t="s">
        <v>333</v>
      </c>
      <c r="CJ5" s="569" t="s">
        <v>334</v>
      </c>
      <c r="CK5" s="570" t="s">
        <v>335</v>
      </c>
      <c r="CL5" s="571" t="s">
        <v>336</v>
      </c>
      <c r="CM5" s="572" t="s">
        <v>30</v>
      </c>
      <c r="CN5" s="573" t="s">
        <v>337</v>
      </c>
      <c r="CO5" s="573" t="s">
        <v>317</v>
      </c>
      <c r="CP5" s="573" t="s">
        <v>338</v>
      </c>
      <c r="CQ5" s="573" t="s">
        <v>33</v>
      </c>
      <c r="CR5" s="573" t="s">
        <v>339</v>
      </c>
      <c r="CS5" s="573" t="s">
        <v>340</v>
      </c>
      <c r="CT5" s="573" t="s">
        <v>35</v>
      </c>
      <c r="CU5" s="573" t="s">
        <v>341</v>
      </c>
      <c r="CV5" s="573" t="s">
        <v>317</v>
      </c>
      <c r="CW5" s="573" t="s">
        <v>338</v>
      </c>
      <c r="CX5" s="573" t="s">
        <v>33</v>
      </c>
      <c r="CY5" s="574" t="s">
        <v>339</v>
      </c>
      <c r="CZ5" s="575" t="s">
        <v>342</v>
      </c>
      <c r="DA5" s="576" t="s">
        <v>30</v>
      </c>
      <c r="DB5" s="577" t="s">
        <v>49</v>
      </c>
      <c r="DC5" s="577" t="s">
        <v>317</v>
      </c>
      <c r="DD5" s="577" t="s">
        <v>338</v>
      </c>
      <c r="DE5" s="577" t="s">
        <v>33</v>
      </c>
      <c r="DF5" s="577" t="s">
        <v>343</v>
      </c>
      <c r="DG5" s="577" t="s">
        <v>340</v>
      </c>
      <c r="DH5" s="577" t="s">
        <v>35</v>
      </c>
      <c r="DI5" s="577" t="s">
        <v>49</v>
      </c>
      <c r="DJ5" s="577" t="s">
        <v>317</v>
      </c>
      <c r="DK5" s="577" t="s">
        <v>338</v>
      </c>
      <c r="DL5" s="578" t="s">
        <v>33</v>
      </c>
      <c r="DM5" s="578" t="s">
        <v>344</v>
      </c>
      <c r="DN5" s="579" t="s">
        <v>342</v>
      </c>
      <c r="DO5" s="580" t="s">
        <v>345</v>
      </c>
      <c r="DP5" s="581" t="s">
        <v>281</v>
      </c>
      <c r="DQ5" s="581" t="s">
        <v>283</v>
      </c>
      <c r="DR5" s="581" t="s">
        <v>346</v>
      </c>
      <c r="DS5" s="581" t="s">
        <v>347</v>
      </c>
      <c r="DT5" s="581" t="s">
        <v>348</v>
      </c>
      <c r="DU5" s="582" t="s">
        <v>202</v>
      </c>
      <c r="DV5" s="581" t="s">
        <v>349</v>
      </c>
      <c r="DW5" s="581" t="s">
        <v>350</v>
      </c>
      <c r="DX5" s="582" t="s">
        <v>351</v>
      </c>
      <c r="DY5" s="582" t="s">
        <v>110</v>
      </c>
      <c r="DZ5" s="581" t="s">
        <v>352</v>
      </c>
      <c r="EA5" s="581" t="s">
        <v>109</v>
      </c>
      <c r="EB5" s="581" t="s">
        <v>353</v>
      </c>
      <c r="EC5" s="581" t="s">
        <v>354</v>
      </c>
      <c r="ED5" s="581" t="s">
        <v>355</v>
      </c>
      <c r="EE5" s="581" t="s">
        <v>356</v>
      </c>
      <c r="EF5" s="583" t="s">
        <v>357</v>
      </c>
      <c r="EG5" s="584" t="s">
        <v>358</v>
      </c>
      <c r="EH5" s="584" t="s">
        <v>140</v>
      </c>
      <c r="EI5" s="584" t="s">
        <v>139</v>
      </c>
      <c r="EJ5" s="584" t="s">
        <v>359</v>
      </c>
      <c r="EK5" s="584" t="s">
        <v>218</v>
      </c>
      <c r="EL5" s="584" t="s">
        <v>360</v>
      </c>
      <c r="EM5" s="584" t="s">
        <v>361</v>
      </c>
      <c r="EN5" s="585" t="s">
        <v>362</v>
      </c>
      <c r="EO5" s="585" t="s">
        <v>137</v>
      </c>
      <c r="EP5" s="585" t="s">
        <v>363</v>
      </c>
      <c r="EQ5" s="585" t="s">
        <v>364</v>
      </c>
      <c r="ER5" s="585" t="s">
        <v>365</v>
      </c>
      <c r="ES5" s="585" t="s">
        <v>223</v>
      </c>
      <c r="ET5" s="585" t="s">
        <v>366</v>
      </c>
      <c r="EU5" s="586" t="s">
        <v>367</v>
      </c>
      <c r="EV5" s="586" t="s">
        <v>368</v>
      </c>
      <c r="EW5" s="586" t="s">
        <v>369</v>
      </c>
      <c r="EX5" s="586" t="s">
        <v>370</v>
      </c>
      <c r="EY5" s="586" t="s">
        <v>371</v>
      </c>
      <c r="EZ5" s="586" t="s">
        <v>372</v>
      </c>
      <c r="FA5" s="586" t="s">
        <v>373</v>
      </c>
      <c r="FB5" s="586" t="s">
        <v>374</v>
      </c>
      <c r="FC5" s="587" t="s">
        <v>221</v>
      </c>
      <c r="FD5" s="587" t="s">
        <v>375</v>
      </c>
      <c r="FE5" s="587" t="s">
        <v>376</v>
      </c>
      <c r="FF5" s="587" t="s">
        <v>231</v>
      </c>
      <c r="FG5" s="588" t="s">
        <v>115</v>
      </c>
      <c r="FH5" s="588" t="s">
        <v>145</v>
      </c>
      <c r="FI5" s="588" t="s">
        <v>377</v>
      </c>
      <c r="FJ5" s="589" t="s">
        <v>143</v>
      </c>
      <c r="FK5" s="589" t="s">
        <v>378</v>
      </c>
      <c r="FL5" s="590" t="s">
        <v>142</v>
      </c>
      <c r="FM5" s="591">
        <v>1.0</v>
      </c>
      <c r="FN5" s="577">
        <v>2.0</v>
      </c>
      <c r="FO5" s="577">
        <v>3.0</v>
      </c>
      <c r="FP5" s="577">
        <v>5.0</v>
      </c>
      <c r="FQ5" s="577">
        <v>7.0</v>
      </c>
      <c r="FR5" s="592">
        <v>1.0</v>
      </c>
      <c r="FS5" s="593">
        <v>2.0</v>
      </c>
      <c r="FT5" s="593">
        <v>3.0</v>
      </c>
      <c r="FU5" s="593">
        <v>5.0</v>
      </c>
      <c r="FV5" s="593">
        <v>7.0</v>
      </c>
      <c r="FW5" s="594">
        <v>1.0</v>
      </c>
      <c r="FX5" s="595">
        <v>2.0</v>
      </c>
      <c r="FY5" s="595">
        <v>3.0</v>
      </c>
      <c r="FZ5" s="595">
        <v>5.0</v>
      </c>
      <c r="GA5" s="595">
        <v>7.0</v>
      </c>
      <c r="GB5" s="596">
        <v>1.0</v>
      </c>
      <c r="GC5" s="597">
        <v>2.0</v>
      </c>
      <c r="GD5" s="597">
        <v>3.0</v>
      </c>
      <c r="GE5" s="597">
        <v>5.0</v>
      </c>
      <c r="GF5" s="597">
        <v>7.0</v>
      </c>
      <c r="GG5" s="598">
        <v>1.0</v>
      </c>
      <c r="GH5" s="599">
        <v>2.0</v>
      </c>
      <c r="GI5" s="599">
        <v>3.0</v>
      </c>
      <c r="GJ5" s="599">
        <v>5.0</v>
      </c>
      <c r="GK5" s="599">
        <v>7.0</v>
      </c>
      <c r="GL5" s="600">
        <v>1.0</v>
      </c>
      <c r="GM5" s="601">
        <v>2.0</v>
      </c>
      <c r="GN5" s="601">
        <v>3.0</v>
      </c>
      <c r="GO5" s="601">
        <v>5.0</v>
      </c>
      <c r="GP5" s="601">
        <v>7.0</v>
      </c>
      <c r="GQ5" s="602">
        <v>1.0</v>
      </c>
      <c r="GR5" s="603">
        <v>2.0</v>
      </c>
      <c r="GS5" s="603">
        <v>3.0</v>
      </c>
      <c r="GT5" s="603">
        <v>5.0</v>
      </c>
      <c r="GU5" s="603">
        <v>7.0</v>
      </c>
      <c r="GV5" s="572">
        <v>1.0</v>
      </c>
      <c r="GW5" s="573">
        <v>2.0</v>
      </c>
      <c r="GX5" s="573">
        <v>3.0</v>
      </c>
      <c r="GY5" s="573">
        <v>5.0</v>
      </c>
      <c r="GZ5" s="573">
        <v>7.0</v>
      </c>
      <c r="HA5" s="592">
        <v>1.0</v>
      </c>
      <c r="HB5" s="593">
        <v>2.0</v>
      </c>
      <c r="HC5" s="593">
        <v>3.0</v>
      </c>
      <c r="HD5" s="593">
        <v>5.0</v>
      </c>
      <c r="HE5" s="593">
        <v>7.0</v>
      </c>
      <c r="HF5" s="598">
        <v>1.0</v>
      </c>
      <c r="HG5" s="599">
        <v>2.0</v>
      </c>
      <c r="HH5" s="599">
        <v>3.0</v>
      </c>
      <c r="HI5" s="599">
        <v>5.0</v>
      </c>
      <c r="HJ5" s="599">
        <v>7.0</v>
      </c>
      <c r="HK5" s="604">
        <v>1.0</v>
      </c>
      <c r="HL5" s="573">
        <v>2.0</v>
      </c>
      <c r="HM5" s="573">
        <v>3.0</v>
      </c>
      <c r="HN5" s="573">
        <v>5.0</v>
      </c>
      <c r="HO5" s="573">
        <v>7.0</v>
      </c>
      <c r="HP5" s="605">
        <v>1.0</v>
      </c>
      <c r="HQ5" s="606">
        <v>2.0</v>
      </c>
      <c r="HR5" s="606">
        <v>3.0</v>
      </c>
      <c r="HS5" s="606">
        <v>5.0</v>
      </c>
      <c r="HT5" s="607">
        <v>7.0</v>
      </c>
      <c r="HU5" s="608">
        <v>1.0</v>
      </c>
      <c r="HV5" s="609">
        <v>2.0</v>
      </c>
      <c r="HW5" s="609">
        <v>3.0</v>
      </c>
      <c r="HX5" s="609">
        <v>5.0</v>
      </c>
      <c r="HY5" s="610">
        <v>7.0</v>
      </c>
      <c r="HZ5" s="611">
        <v>1.0</v>
      </c>
      <c r="IA5" s="612">
        <v>2.0</v>
      </c>
      <c r="IB5" s="612">
        <v>3.0</v>
      </c>
      <c r="IC5" s="612">
        <v>5.0</v>
      </c>
      <c r="ID5" s="613">
        <v>7.0</v>
      </c>
      <c r="IE5" s="576">
        <v>1.0</v>
      </c>
      <c r="IF5" s="577">
        <v>2.0</v>
      </c>
      <c r="IG5" s="577">
        <v>3.0</v>
      </c>
      <c r="IH5" s="577">
        <v>5.0</v>
      </c>
      <c r="II5" s="579">
        <v>7.0</v>
      </c>
      <c r="IJ5" s="605">
        <v>1.0</v>
      </c>
      <c r="IK5" s="606">
        <v>2.0</v>
      </c>
      <c r="IL5" s="606">
        <v>3.0</v>
      </c>
      <c r="IM5" s="606">
        <v>5.0</v>
      </c>
      <c r="IN5" s="606">
        <v>7.0</v>
      </c>
      <c r="IO5" s="605">
        <v>1.0</v>
      </c>
      <c r="IP5" s="606">
        <v>2.0</v>
      </c>
      <c r="IQ5" s="606">
        <v>3.0</v>
      </c>
      <c r="IR5" s="606">
        <v>5.0</v>
      </c>
      <c r="IS5" s="606">
        <v>7.0</v>
      </c>
      <c r="IT5" s="605">
        <v>1.0</v>
      </c>
      <c r="IU5" s="606">
        <v>2.0</v>
      </c>
      <c r="IV5" s="606">
        <v>3.0</v>
      </c>
      <c r="IW5" s="606">
        <v>5.0</v>
      </c>
      <c r="IX5" s="606">
        <v>7.0</v>
      </c>
      <c r="IY5" s="614">
        <v>1.0</v>
      </c>
      <c r="IZ5" s="593">
        <v>2.0</v>
      </c>
      <c r="JA5" s="593">
        <v>3.0</v>
      </c>
      <c r="JB5" s="593">
        <v>5.0</v>
      </c>
      <c r="JC5" s="593">
        <v>7.0</v>
      </c>
      <c r="JD5" s="615">
        <v>1.0</v>
      </c>
      <c r="JE5" s="609">
        <v>2.0</v>
      </c>
      <c r="JF5" s="609">
        <v>3.0</v>
      </c>
      <c r="JG5" s="609">
        <v>5.0</v>
      </c>
      <c r="JH5" s="609">
        <v>7.0</v>
      </c>
      <c r="JI5" s="616">
        <v>1.0</v>
      </c>
      <c r="JJ5" s="601">
        <v>2.0</v>
      </c>
      <c r="JK5" s="601">
        <v>3.0</v>
      </c>
      <c r="JL5" s="601">
        <v>5.0</v>
      </c>
      <c r="JM5" s="601">
        <v>7.0</v>
      </c>
      <c r="JN5" s="617">
        <v>1.0</v>
      </c>
      <c r="JO5" s="618">
        <v>2.0</v>
      </c>
      <c r="JP5" s="618">
        <v>3.0</v>
      </c>
      <c r="JQ5" s="618">
        <v>5.0</v>
      </c>
      <c r="JR5" s="618">
        <v>7.0</v>
      </c>
      <c r="JS5" s="619">
        <v>1.0</v>
      </c>
      <c r="JT5" s="599">
        <v>2.0</v>
      </c>
      <c r="JU5" s="599">
        <v>3.0</v>
      </c>
      <c r="JV5" s="599">
        <v>5.0</v>
      </c>
      <c r="JW5" s="620">
        <v>7.0</v>
      </c>
      <c r="JX5" s="592">
        <v>1.0</v>
      </c>
      <c r="JY5" s="593">
        <v>2.0</v>
      </c>
      <c r="JZ5" s="593">
        <v>3.0</v>
      </c>
      <c r="KA5" s="593">
        <v>5.0</v>
      </c>
      <c r="KB5" s="621">
        <v>7.0</v>
      </c>
      <c r="KC5" s="622">
        <v>1.0</v>
      </c>
      <c r="KD5" s="611">
        <v>2.0</v>
      </c>
      <c r="KE5" s="611">
        <v>3.0</v>
      </c>
      <c r="KF5" s="611">
        <v>5.0</v>
      </c>
      <c r="KG5" s="623">
        <v>7.0</v>
      </c>
      <c r="KH5" s="622">
        <v>1.0</v>
      </c>
      <c r="KI5" s="611">
        <v>2.0</v>
      </c>
      <c r="KJ5" s="611">
        <v>3.0</v>
      </c>
      <c r="KK5" s="611">
        <v>5.0</v>
      </c>
      <c r="KL5" s="624">
        <v>7.0</v>
      </c>
      <c r="KM5" s="611">
        <v>1.0</v>
      </c>
      <c r="KN5" s="611">
        <v>2.0</v>
      </c>
      <c r="KO5" s="611">
        <v>3.0</v>
      </c>
      <c r="KP5" s="611">
        <v>5.0</v>
      </c>
      <c r="KQ5" s="613">
        <v>7.0</v>
      </c>
      <c r="KR5" s="622">
        <v>1.0</v>
      </c>
      <c r="KS5" s="612">
        <v>2.0</v>
      </c>
      <c r="KT5" s="612">
        <v>3.0</v>
      </c>
      <c r="KU5" s="612">
        <v>5.0</v>
      </c>
      <c r="KV5" s="625">
        <v>7.0</v>
      </c>
      <c r="KW5" s="611">
        <v>1.0</v>
      </c>
      <c r="KX5" s="612">
        <v>2.0</v>
      </c>
      <c r="KY5" s="612">
        <v>3.0</v>
      </c>
      <c r="KZ5" s="612">
        <v>5.0</v>
      </c>
      <c r="LA5" s="613">
        <v>7.0</v>
      </c>
      <c r="LB5" s="622">
        <v>1.0</v>
      </c>
      <c r="LC5" s="612">
        <v>2.0</v>
      </c>
      <c r="LD5" s="612">
        <v>3.0</v>
      </c>
      <c r="LE5" s="612">
        <v>5.0</v>
      </c>
      <c r="LF5" s="625">
        <v>7.0</v>
      </c>
      <c r="LG5" s="626"/>
      <c r="LH5" s="627"/>
      <c r="LI5" s="627"/>
      <c r="LJ5" s="627"/>
      <c r="LK5" s="627"/>
      <c r="LL5" s="627"/>
      <c r="LM5" s="628"/>
    </row>
    <row r="6">
      <c r="A6" s="28">
        <f>+General!D3</f>
        <v>164138</v>
      </c>
      <c r="B6" s="28" t="str">
        <f>+General!B4</f>
        <v>Crabas Julio Cesar</v>
      </c>
      <c r="C6" s="28">
        <f>+General!B5</f>
        <v>72</v>
      </c>
      <c r="D6" s="28" t="str">
        <f>+General!D5</f>
        <v>Hombre</v>
      </c>
      <c r="E6" s="629">
        <f>+General!B6</f>
        <v>173.2791209</v>
      </c>
      <c r="F6" s="28">
        <f>+General!G5</f>
        <v>95</v>
      </c>
      <c r="H6" s="629">
        <f>+General!D6</f>
        <v>69</v>
      </c>
      <c r="I6" s="630">
        <f>+General!G4</f>
        <v>44192</v>
      </c>
      <c r="J6" s="631">
        <f>+General!D38</f>
        <v>44222</v>
      </c>
      <c r="K6" s="28" t="str">
        <f>+General!B38</f>
        <v>VIVO</v>
      </c>
      <c r="L6" s="28" t="str">
        <f>+General!J38</f>
        <v>3º NIVEL</v>
      </c>
      <c r="M6" s="630">
        <f>+General!G3</f>
        <v>44175</v>
      </c>
      <c r="P6" s="28" t="str">
        <f>+General!B39</f>
        <v>NO</v>
      </c>
      <c r="Q6" s="28">
        <f>+General!I5</f>
        <v>39</v>
      </c>
      <c r="R6" s="28">
        <f>+General!J5</f>
        <v>22.9</v>
      </c>
      <c r="S6" s="28">
        <f>+General!I4</f>
        <v>19</v>
      </c>
      <c r="T6" s="28">
        <f>+General!J4</f>
        <v>32</v>
      </c>
      <c r="U6" s="28">
        <f>+General!J6</f>
        <v>3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DBT</v>
      </c>
      <c r="Z6" s="28" t="str">
        <f>+General!D7</f>
        <v>POP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32">
        <f>+General!B22</f>
        <v>44192</v>
      </c>
      <c r="BD6" s="632">
        <f>+General!H22</f>
        <v>44192</v>
      </c>
      <c r="BE6" s="632">
        <f>+General!J22</f>
        <v>44222</v>
      </c>
      <c r="BF6" s="144">
        <f>IFS(OR(BD6="",BE6=""),"N/C",BE6-BD6=0,"1",AND(ISDATE(BD6),ISDATE(BE6)),BE6-BD6)</f>
        <v>30</v>
      </c>
      <c r="BG6" s="28">
        <f>+General!H43</f>
        <v>13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30" t="str">
        <f>+General!D27</f>
        <v/>
      </c>
      <c r="BO6" s="630" t="str">
        <f>+General!F27</f>
        <v/>
      </c>
      <c r="BP6" s="633">
        <f>+General!B29</f>
        <v>44205</v>
      </c>
      <c r="BQ6" s="28" t="str">
        <f>+General!D29</f>
        <v>CPAP</v>
      </c>
      <c r="BR6" s="28">
        <f>+General!F29</f>
        <v>60</v>
      </c>
      <c r="BS6" s="633">
        <f>+General!B30</f>
        <v>44205</v>
      </c>
      <c r="BT6" s="28" t="str">
        <f>+General!D30</f>
        <v>Deseada</v>
      </c>
      <c r="BU6" s="28" t="str">
        <f>+General!F30</f>
        <v>SI</v>
      </c>
      <c r="BV6" s="28">
        <f>+General!I30</f>
        <v>12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2</v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631">
        <f>+General!C35</f>
        <v>44211</v>
      </c>
      <c r="CF6" s="28" t="str">
        <f>+General!E35</f>
        <v>Percutánea</v>
      </c>
      <c r="CG6" s="28" t="str">
        <f>+General!H35</f>
        <v>SI</v>
      </c>
      <c r="CH6" s="28">
        <f>+General!J35</f>
        <v>1</v>
      </c>
      <c r="CI6" s="28" t="str">
        <f>+General!C36</f>
        <v>NO</v>
      </c>
      <c r="CJ6" s="630" t="str">
        <f>+General!E36</f>
        <v/>
      </c>
      <c r="CN6" s="28" t="str">
        <f>+General!B19</f>
        <v/>
      </c>
      <c r="CO6" s="630" t="str">
        <f>+General!D19</f>
        <v/>
      </c>
      <c r="CP6" s="63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30" t="str">
        <f>+General!D20</f>
        <v/>
      </c>
      <c r="CW6" s="630" t="str">
        <f>+General!F20</f>
        <v/>
      </c>
      <c r="CX6" s="28" t="str">
        <f>+General!H20</f>
        <v/>
      </c>
      <c r="CY6" s="634" t="str">
        <f>+General!J20</f>
        <v/>
      </c>
      <c r="DA6" s="18" t="str">
        <f>+General!B32</f>
        <v/>
      </c>
      <c r="DC6" s="633" t="str">
        <f>+General!D32</f>
        <v/>
      </c>
      <c r="DD6" s="63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30" t="str">
        <f>+General!D31</f>
        <v/>
      </c>
      <c r="DK6" s="63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DELIRIUM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35" t="str">
        <f>HLOOKUP("TEP",$DO$6:$EF$6,1,0)</f>
        <v>#N/A</v>
      </c>
      <c r="DP8" s="635" t="str">
        <f>HLOOKUP("IAM",$DO$6:$EF$6,1,0)</f>
        <v>#N/A</v>
      </c>
      <c r="DQ8" s="635" t="str">
        <f>HLOOKUP("PCR",$DO$6:$EF$6,1,0)</f>
        <v>#N/A</v>
      </c>
      <c r="DR8" s="635" t="str">
        <f>HLOOKUP("SDRA",$DO$6:$EF$6,1,0)</f>
        <v>#N/A</v>
      </c>
      <c r="DS8" s="635" t="str">
        <f>HLOOKUP("BNM",$DO$6:$EF$6,1,0)</f>
        <v>#N/A</v>
      </c>
      <c r="DT8" s="635" t="str">
        <f>HLOOKUP("PRONO",$DO$6:$EF$6,1,0)</f>
        <v>#N/A</v>
      </c>
      <c r="DU8" s="635" t="str">
        <f>HLOOKUP("DAUCI",$DO$6:$EF$6,1,0)</f>
        <v>#N/A</v>
      </c>
      <c r="DV8" s="635" t="str">
        <f>HLOOKUP("BAROTRAUMA",$DO$6:$EF$6,1,0)</f>
        <v>#N/A</v>
      </c>
      <c r="DW8" s="635" t="str">
        <f>HLOOKUP("FMO",$DO$6:$EF$6,1,0)</f>
        <v>#N/A</v>
      </c>
      <c r="DX8" s="635" t="str">
        <f>HLOOKUP("EOT NO PROGRAMADA",$DO$6:$EF$6,1,0)</f>
        <v>#N/A</v>
      </c>
      <c r="DY8" s="635" t="str">
        <f>HLOOKUP("DELIRIUM",$DO$6:$EF$6,1,0)</f>
        <v>DELIRIUM</v>
      </c>
      <c r="DZ8" s="635" t="str">
        <f>HLOOKUP("PAFI&lt;200",$DO$6:$EF$6,1,0)</f>
        <v>#N/A</v>
      </c>
      <c r="EA8" s="635" t="str">
        <f>HLOOKUP("SHOCK/SEPSIS",$DO$6:$EF$6,1,0)</f>
        <v>SHOCK/SEPSIS</v>
      </c>
      <c r="EB8" s="635" t="str">
        <f>HLOOKUP("I RENAL",$DO$6:$EF$6,1,0)</f>
        <v>#N/A</v>
      </c>
      <c r="EC8" s="635" t="str">
        <f>HLOOKUP("NAVM",$DO$6:$EF$6,1,0)</f>
        <v>#N/A</v>
      </c>
      <c r="ED8" s="635" t="str">
        <f>HLOOKUP("LESIONES FACIALES",$DO$6:$EF$6,1,0)</f>
        <v>#N/A</v>
      </c>
      <c r="EE8" s="635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POP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35" t="str">
        <f>HLOOKUP("TEP",$DO$7:$EF$7,1,0)</f>
        <v>#N/A</v>
      </c>
      <c r="DP9" s="635" t="str">
        <f>HLOOKUP("IAM",$DO$7:$EF$7,1,0)</f>
        <v>#N/A</v>
      </c>
      <c r="DQ9" s="635" t="str">
        <f>HLOOKUP("PCR",$DO$7:$EF$7,1,0)</f>
        <v>#N/A</v>
      </c>
      <c r="DR9" s="635" t="str">
        <f>HLOOKUP("SDRA",$DO$7:$EF$7,1,0)</f>
        <v>#N/A</v>
      </c>
      <c r="DS9" s="635" t="str">
        <f>HLOOKUP("BNM",$DO$7:$EF$7,1,0)</f>
        <v>BNM</v>
      </c>
      <c r="DT9" s="635" t="str">
        <f>HLOOKUP("PRONO",$DO$7:$EF$7,1,0)</f>
        <v>PRONO</v>
      </c>
      <c r="DU9" s="635" t="str">
        <f>HLOOKUP("DAUCI",$DO$7:$EF$7,1,0)</f>
        <v>#N/A</v>
      </c>
      <c r="DV9" s="635" t="str">
        <f>HLOOKUP("BAROTRAUMA",$DO$7:$EF$7,1,0)</f>
        <v>#N/A</v>
      </c>
      <c r="DW9" s="635" t="str">
        <f>HLOOKUP("FMO",$DO$7:$EF$7,1,0)</f>
        <v>#N/A</v>
      </c>
      <c r="DX9" s="635" t="str">
        <f>HLOOKUP("EOT NO PROGRAMADA",$DO$7:$EF$7,1,0)</f>
        <v>#N/A</v>
      </c>
      <c r="DY9" s="635" t="str">
        <f>HLOOKUP("DELIRIUM",$DO$7:$EF$7,1,0)</f>
        <v>DELIRIUM</v>
      </c>
      <c r="DZ9" s="635" t="str">
        <f>HLOOKUP("PAFI&lt;200",$DO$7:$EF$7,1,0)</f>
        <v>PAFI&lt;200</v>
      </c>
      <c r="EA9" s="635" t="str">
        <f>HLOOKUP("SHOCK/SEPSIS",$DO$7:$EF$7,1,0)</f>
        <v>#N/A</v>
      </c>
      <c r="EB9" s="635" t="str">
        <f>HLOOKUP("I RENAL",$DO$7:$EF$7,1,0)</f>
        <v>#N/A</v>
      </c>
      <c r="EC9" s="635" t="str">
        <f>HLOOKUP("NAVM",$DO$7:$EF$7,1,0)</f>
        <v>#N/A</v>
      </c>
      <c r="ED9" s="635" t="str">
        <f>HLOOKUP("LESIONES FACIALES",$DO$7:$EF$7,1,0)</f>
        <v>#N/A</v>
      </c>
      <c r="EE9" s="635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POP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36">
        <f>+General!D3</f>
        <v>164138</v>
      </c>
      <c r="B12" s="636" t="str">
        <f>+General!B4</f>
        <v>Crabas Julio Cesar</v>
      </c>
      <c r="C12" s="636">
        <f>+General!B5</f>
        <v>72</v>
      </c>
      <c r="D12" s="636" t="str">
        <f>+General!D5</f>
        <v>Hombre</v>
      </c>
      <c r="E12" s="637">
        <f>+General!B6</f>
        <v>173.2791209</v>
      </c>
      <c r="F12" s="636">
        <f>+General!G5</f>
        <v>95</v>
      </c>
      <c r="G12" s="638">
        <f>IF(AND(E12&lt;&gt;"",F12&lt;&gt;""),F12/(E12/100)^2,"")</f>
        <v>31.63961086</v>
      </c>
      <c r="H12" s="637">
        <f>+General!D6</f>
        <v>69</v>
      </c>
      <c r="I12" s="639">
        <f>+General!G4</f>
        <v>44192</v>
      </c>
      <c r="J12" s="640">
        <f>+General!D38</f>
        <v>44222</v>
      </c>
      <c r="K12" s="636" t="str">
        <f>+General!B38</f>
        <v>VIVO</v>
      </c>
      <c r="L12" s="636" t="str">
        <f>IF(L6&lt;&gt;"",L6,"N/C")</f>
        <v>3º NIVEL</v>
      </c>
      <c r="M12" s="639">
        <f>+General!G3</f>
        <v>44175</v>
      </c>
      <c r="N12" s="636">
        <f>IFS(OR(M12="",I12=""),"",M12=I12,"1",AND(ISDATE(M12),ISDATE(I12)),I12-M12)</f>
        <v>17</v>
      </c>
      <c r="O12" s="636">
        <f>IFS(AND(I12="",J12=""),"",AND(ISDATE(I12),J12=""),"",J12=I12,"1",AND(ISDATE(I12),ISDATE(J12)),J12-I12)</f>
        <v>30</v>
      </c>
      <c r="P12" s="636" t="str">
        <f>IF(P6="SI","SI","NO")</f>
        <v>NO</v>
      </c>
      <c r="Q12" s="636">
        <f>+General!I5</f>
        <v>39</v>
      </c>
      <c r="R12" s="636">
        <f>+General!J5</f>
        <v>22.9</v>
      </c>
      <c r="S12" s="636">
        <f>+General!I4</f>
        <v>19</v>
      </c>
      <c r="T12" s="636">
        <f>+General!J4</f>
        <v>32</v>
      </c>
      <c r="U12" s="636">
        <f>+General!J6</f>
        <v>3</v>
      </c>
      <c r="V12" s="636" t="str">
        <f>+General!G6</f>
        <v>MÉDICO</v>
      </c>
      <c r="W12" s="636" t="str">
        <f>IFS(W6&lt;&gt;"",W6,W7&lt;&gt;"",W7,W8&lt;&gt;"",W8,W9&lt;&gt;"",W9,W10="","")</f>
        <v>COVID</v>
      </c>
      <c r="X12" s="636" t="str">
        <f>IF(X10="HTA","SI","NO")</f>
        <v>SI</v>
      </c>
      <c r="Y12" s="636" t="str">
        <f>IF(Y10="IAM","SI","NO")</f>
        <v>NO</v>
      </c>
      <c r="Z12" s="636" t="str">
        <f>IF(Z10="IC","SI","NO")</f>
        <v>NO</v>
      </c>
      <c r="AA12" s="636" t="str">
        <f>IF(AA10="PCR","SI","NO")</f>
        <v>NO</v>
      </c>
      <c r="AB12" s="636" t="str">
        <f>IF(AB10="EPOC","SI","NO")</f>
        <v>NO</v>
      </c>
      <c r="AC12" s="636" t="str">
        <f>IF(AC10="TBQ","SI","NO")</f>
        <v>NO</v>
      </c>
      <c r="AD12" s="636" t="str">
        <f>IF(AD10="ExTBQ","SI","NO")</f>
        <v>NO</v>
      </c>
      <c r="AE12" s="636" t="str">
        <f>IF(AE10="ASMA","SI","NO")</f>
        <v>NO</v>
      </c>
      <c r="AF12" s="636" t="str">
        <f>IF(AF10="OCD","SI","NO")</f>
        <v>NO</v>
      </c>
      <c r="AG12" s="636" t="str">
        <f>IF(AG10="NMN","SI","NO")</f>
        <v>NO</v>
      </c>
      <c r="AH12" s="636" t="str">
        <f>IF(AH10="VMI PREVIA","SI","NO")</f>
        <v>NO</v>
      </c>
      <c r="AI12" s="636" t="str">
        <f>IF(AI10="VNI DOMIC","SI","NO")</f>
        <v>NO</v>
      </c>
      <c r="AJ12" s="636" t="str">
        <f>IF(AJ10="ACV","SI","NO")</f>
        <v>NO</v>
      </c>
      <c r="AK12" s="636" t="str">
        <f>IF(AK10="TEC","SI","NO")</f>
        <v>NO</v>
      </c>
      <c r="AL12" s="636" t="str">
        <f>IF(AL10="ASMA","SI","NO")</f>
        <v>NO</v>
      </c>
      <c r="AM12" s="636" t="str">
        <f>IF(AM10="ENF NEUROM","SI","NO")</f>
        <v>NO</v>
      </c>
      <c r="AN12" s="636" t="str">
        <f>IF(AN10="DBT","SI","NO")</f>
        <v>SI</v>
      </c>
      <c r="AO12" s="636" t="str">
        <f>IF(AO10="OBESIDAD","SI","NO")</f>
        <v>NO</v>
      </c>
      <c r="AP12" s="636" t="str">
        <f>IF(AP10="HIPOTIR","SI","NO")</f>
        <v>NO</v>
      </c>
      <c r="AQ12" s="636" t="str">
        <f>IF(AQ10="HIPERTIR","SI","NO")</f>
        <v>NO</v>
      </c>
      <c r="AR12" s="636" t="str">
        <f>IF(AR10="INSUF RENAL","SI","NO")</f>
        <v>NO</v>
      </c>
      <c r="AS12" s="636" t="str">
        <f>IF(AS10="POP","SI","NO")</f>
        <v>SI</v>
      </c>
      <c r="AT12" s="636" t="str">
        <f>IF(AT10="TBC","SI","NO")</f>
        <v>NO</v>
      </c>
      <c r="AU12" s="636" t="str">
        <f>IF(AU10="HIV","SI","NO")</f>
        <v>NO</v>
      </c>
      <c r="AV12" s="636" t="str">
        <f>IF(AV10="HEPATITIS","SI","NO")</f>
        <v>NO</v>
      </c>
      <c r="AW12" s="636" t="str">
        <f>IF(AW10="CHAGAS","SI","NO")</f>
        <v>NO</v>
      </c>
      <c r="AX12" s="636" t="str">
        <f>IF(AX10="CONSUMO","SI","NO")</f>
        <v>NO</v>
      </c>
      <c r="AY12" s="636" t="str">
        <f>IF(AY10="REUMATOLOGICOS","SI","NO")</f>
        <v>NO</v>
      </c>
      <c r="AZ12" s="636" t="str">
        <f>IF(AZ10="PSIQUIATRICOS","SI","NO")</f>
        <v>NO</v>
      </c>
      <c r="BA12" s="636" t="str">
        <f>IF(BA10="ONCOLOGICOS","SI","NO")</f>
        <v>NO</v>
      </c>
      <c r="BB12" s="636" t="str">
        <f>IF(BB10="OTROS","SI","NO")</f>
        <v>NO</v>
      </c>
      <c r="BC12" s="641">
        <f>IF(ISDATE(BC6),BC6,"N/C")</f>
        <v>44192</v>
      </c>
      <c r="BD12" s="641">
        <f>IF(BD6&lt;&gt;"",BD6,"N/C")</f>
        <v>44192</v>
      </c>
      <c r="BE12" s="641">
        <f>IF(ISDATE(BE6),BE6,"N/C")</f>
        <v>44222</v>
      </c>
      <c r="BF12" s="642">
        <f>IFS(OR(BD6="",BE6=""),"N/C",BE6-BD6=0,"1",AND(ISDATE(BD6),ISDATE(BE6)),BE6-BD6)</f>
        <v>30</v>
      </c>
      <c r="BG12" s="636">
        <f t="shared" ref="BG12:BH12" si="4">IF(BG6&lt;&gt;"",BG6,"N/C")</f>
        <v>13</v>
      </c>
      <c r="BH12" s="636" t="str">
        <f t="shared" si="4"/>
        <v>NMN</v>
      </c>
      <c r="BI12" s="636" t="str">
        <f t="shared" ref="BI12:BJ12" si="5">IF(BI6="SI","SI","NO")</f>
        <v>NO</v>
      </c>
      <c r="BJ12" s="636" t="str">
        <f t="shared" si="5"/>
        <v>SI</v>
      </c>
      <c r="BK12" s="636">
        <f>IF(BK6&lt;&gt;"",BK6,"N/C")</f>
        <v>1</v>
      </c>
      <c r="BL12" s="636">
        <f>+BL6</f>
        <v>0</v>
      </c>
      <c r="BM12" s="636" t="str">
        <f>IF(BM6="SI","SI","NO")</f>
        <v>NO</v>
      </c>
      <c r="BN12" s="636" t="str">
        <f t="shared" ref="BN12:BP12" si="6">IF(ISDATE(BN6),BN6,"N/C")</f>
        <v>N/C</v>
      </c>
      <c r="BO12" s="636" t="str">
        <f t="shared" si="6"/>
        <v>N/C</v>
      </c>
      <c r="BP12" s="643">
        <f t="shared" si="6"/>
        <v>44205</v>
      </c>
      <c r="BQ12" s="636" t="str">
        <f>IF(BQ6&lt;&gt;"",BQ6,"N/C")</f>
        <v>CPAP</v>
      </c>
      <c r="BR12" s="636">
        <f>IF(BR6&gt;0,BR6,"N/C")</f>
        <v>60</v>
      </c>
      <c r="BS12" s="643">
        <f>IF(ISDATE(BS6),BS6,"N/C")</f>
        <v>44205</v>
      </c>
      <c r="BT12" s="636" t="str">
        <f>IF(BT6&lt;&gt;"",BT6,"N/C")</f>
        <v>Deseada</v>
      </c>
      <c r="BU12" s="636" t="str">
        <f>IFS(BU6="NO","NO",BU6="SI","SI",BU6="","N/C")</f>
        <v>SI</v>
      </c>
      <c r="BV12" s="636">
        <f t="shared" ref="BV12:CC12" si="7">IF(BV6&lt;&gt;"",BV6,"N/C")</f>
        <v>12</v>
      </c>
      <c r="BW12" s="636" t="str">
        <f t="shared" si="7"/>
        <v>SI</v>
      </c>
      <c r="BX12" s="636" t="str">
        <f t="shared" si="7"/>
        <v>Aumento del WOB</v>
      </c>
      <c r="BY12" s="636" t="str">
        <f t="shared" si="7"/>
        <v>Una falla</v>
      </c>
      <c r="BZ12" s="636">
        <f t="shared" si="7"/>
        <v>2</v>
      </c>
      <c r="CA12" s="636" t="str">
        <f t="shared" si="7"/>
        <v>Destete prolongado no exitoso</v>
      </c>
      <c r="CB12" s="636" t="str">
        <f t="shared" si="7"/>
        <v>Prolongado</v>
      </c>
      <c r="CC12" s="636" t="str">
        <f t="shared" si="7"/>
        <v>SI</v>
      </c>
      <c r="CD12" s="636" t="str">
        <f>IF(CD6="SI","SI","NO")</f>
        <v>NO</v>
      </c>
      <c r="CE12" s="640">
        <f>IF(AND(ISDATE(CE6),CD6=""),CE6,"N/C")</f>
        <v>44211</v>
      </c>
      <c r="CF12" s="636" t="str">
        <f>IFS(AND(CF6&lt;&gt;"",CE6=""),"N/C",AND(CF6&lt;&gt;"",ISDATE(CE6)),CF6,AND(CF6="",CE6=""),"N/C",AND(CE6&lt;&gt;"",CF6=""),"DATO PERDIDO")</f>
        <v>Percutánea</v>
      </c>
      <c r="CG12" s="636" t="str">
        <f>IFS(CG6="SI","SI",AND(ISDATE(CE6),CG6=""),"NO",AND(CD6="SI",CG6=""),"NO",CE6="","N/C")</f>
        <v>SI</v>
      </c>
      <c r="CH12" s="636">
        <f>IFS(AND(CG6="",CH6=""),"N/C", AND(CG6="SI",CH6&lt;&gt;""),CH6,AND(CG6="SI",CH6=""),"0")</f>
        <v>1</v>
      </c>
      <c r="CI12" s="636" t="str">
        <f>IFS(OR(CI6="SI",CJ6&lt;&gt;""),"SI",CI6="NO","NO",CI6="","N/C")</f>
        <v>NO</v>
      </c>
      <c r="CJ12" s="636" t="str">
        <f>IF(ISDATE(CJ6),CJ6,"N/C")</f>
        <v>N/C</v>
      </c>
      <c r="CK12" s="636">
        <f>IFS(AND(CD6="SI",ISDATE(CJ6)),CJ6-I6,AND(CD6="SI",CJ6=""),J6-I6,AND(ISDATE(CE6),ISDATE(CJ6)),CJ6-CE6,AND(ISDATE(CE6),CJ6=""),J6-CE6,AND(CD6="",AND(CE6="",CJ6="")),"N/C")</f>
        <v>11</v>
      </c>
      <c r="CL12" s="636">
        <f>IF(AND(ISDATE(CE6),ISDATE(BC6)),CE6-BC6,"N/C")</f>
        <v>19</v>
      </c>
      <c r="CM12" s="636" t="str">
        <f>IFS(OR(CN6&lt;&gt;"",ISDATE(CO6)),"SI",AND(CN6="",CO6=""),"NO")</f>
        <v>NO</v>
      </c>
      <c r="CN12" s="636" t="str">
        <f>IF(CN6&lt;&gt;"",CN6,"N/C")</f>
        <v>N/C</v>
      </c>
      <c r="CO12" s="636" t="str">
        <f>IF(ISDATE(CO6),CO6,"N/C")</f>
        <v>N/C</v>
      </c>
      <c r="CP12" s="636" t="str">
        <f>IF(CP6&lt;&gt;"",CP6,"N/C")</f>
        <v>N/C</v>
      </c>
      <c r="CQ12" s="636" t="str">
        <f>IFS(CQ6&lt;&gt;"",CQ6,CQ6="","N/C")</f>
        <v>N/C</v>
      </c>
      <c r="CR12" s="636" t="str">
        <f>IF(CR6&lt;&gt;"",CR6,"N/C")</f>
        <v>N/C</v>
      </c>
      <c r="CS12" s="636" t="str">
        <f>IFS(AND(CP6="",CO6=""),"N/C",CP6-CO6=0,"1",AND(ISDATE(CO6),ISDATE(CP6)),CP6-CO6)</f>
        <v>N/C</v>
      </c>
      <c r="CT12" s="636" t="str">
        <f>IFS(OR(CT6&lt;&gt;"",ISDATE(CV6)),"SI",AND(CT6="",CV6=""),"NO")</f>
        <v>NO</v>
      </c>
      <c r="CU12" s="636" t="str">
        <f>IF(CT6&lt;&gt;"",CT6,"N/C")</f>
        <v>N/C</v>
      </c>
      <c r="CV12" s="636" t="str">
        <f t="shared" ref="CV12:CW12" si="8">IF(ISDATE(CV6),CV6,"N/C")</f>
        <v>N/C</v>
      </c>
      <c r="CW12" s="636" t="str">
        <f t="shared" si="8"/>
        <v>N/C</v>
      </c>
      <c r="CX12" s="636" t="str">
        <f t="shared" ref="CX12:CY12" si="9">IF(CX6&lt;&gt;"",CX6,"N/C")</f>
        <v>N/C</v>
      </c>
      <c r="CY12" s="636" t="str">
        <f t="shared" si="9"/>
        <v>N/C</v>
      </c>
      <c r="CZ12" s="636" t="str">
        <f>IFS(AND(CV6="",CW6=""),"N/C",CW6-CV6=0,"1",AND(ISDATE(CV6),ISDATE(CW6)),CW6-CV6)</f>
        <v>N/C</v>
      </c>
      <c r="DA12" s="636" t="str">
        <f>IFS(OR(DA6&lt;&gt;"",ISDATE(DC6)),"SI",AND(DA6="",DC6=""),"NO")</f>
        <v>NO</v>
      </c>
      <c r="DB12" s="636" t="str">
        <f>IF(DA6&lt;&gt;"",DA6,"N/C")</f>
        <v>N/C</v>
      </c>
      <c r="DC12" s="636" t="str">
        <f t="shared" ref="DC12:DD12" si="10">IF(ISDATE(DC6),DC6,"N/C")</f>
        <v>N/C</v>
      </c>
      <c r="DD12" s="636" t="str">
        <f t="shared" si="10"/>
        <v>N/C</v>
      </c>
      <c r="DE12" s="636" t="str">
        <f>IFS(DE6&lt;&gt;"",DE6,AND(ISDATE(DD6),ISDATE(DC6)),"DATO PERDIDO",AND(DC6="",DD6=""),"N/C")</f>
        <v>N/C</v>
      </c>
      <c r="DF12" s="636" t="str">
        <f>IF(DF6&lt;&gt;"",DF6,"N/C")</f>
        <v>N/C</v>
      </c>
      <c r="DG12" s="636" t="str">
        <f>IFS(OR(DD6="",DC6=""),"N/C",DD6-DC6=0,"1",AND(ISDATE(DD6),ISDATE(DC6)),DD6-DC6)</f>
        <v>N/C</v>
      </c>
      <c r="DH12" s="636" t="str">
        <f>IFS(OR(DI6&lt;&gt;"",ISDATE(DJ6)),"SI",AND(DI6="",DJ6=""),"N/C")</f>
        <v>N/C</v>
      </c>
      <c r="DI12" s="636" t="str">
        <f>IF(DI6&lt;&gt;"",DI6,"N/C")</f>
        <v>N/C</v>
      </c>
      <c r="DJ12" s="636" t="str">
        <f t="shared" ref="DJ12:DK12" si="11">IF(ISDATE(DJ6),DJ6,"N/C")</f>
        <v>N/C</v>
      </c>
      <c r="DK12" s="636" t="str">
        <f t="shared" si="11"/>
        <v>N/C</v>
      </c>
      <c r="DL12" s="636" t="str">
        <f>IFS(DL6&lt;&gt;"",DL6,AND(ISDATE(DK6),ISDATE(DJ6)),"DATO PERDIDO",AND(DJ6="",DK6=""),"N/C")</f>
        <v>N/C</v>
      </c>
      <c r="DM12" s="636" t="str">
        <f>IF(DM6&lt;&gt;"",DM6,"N/C")</f>
        <v>N/C</v>
      </c>
      <c r="DN12" s="636" t="str">
        <f>IFS(AND(DJ6="",DK6=""),"N/C",DK6-DJ6=0,"1",AND(ISDATE(DJ6),ISDATE(DK6)),DK6-DJ6)</f>
        <v>N/C</v>
      </c>
      <c r="DO12" s="642" t="str">
        <f>IF(OR(DO10="TEP",DO11="TEP"),"SI","NO")</f>
        <v>NO</v>
      </c>
      <c r="DP12" s="642" t="str">
        <f>IF(OR(DP10="IAM",DP11="IAM"),"SI","NO")</f>
        <v>NO</v>
      </c>
      <c r="DQ12" s="642" t="str">
        <f>IF(OR(DQ10="PCR",DQ11="PCR"),"SI","NO")</f>
        <v>NO</v>
      </c>
      <c r="DR12" s="642" t="str">
        <f>IF(OR(DR10="TEP",DR11="TEP"),"SI","NO")</f>
        <v>NO</v>
      </c>
      <c r="DS12" s="642" t="str">
        <f>IF(OR(DS10="BNM",DS11="BNM"),"SI","NO")</f>
        <v>SI</v>
      </c>
      <c r="DT12" s="642" t="str">
        <f>IF(OR(DT10="PRONO",DT11="PRONO"),"SI","NO")</f>
        <v>SI</v>
      </c>
      <c r="DU12" s="642" t="str">
        <f>IF(OR(DU10="DAUCI",DU11="DAUCI"),"SI","NO")</f>
        <v>NO</v>
      </c>
      <c r="DV12" s="642" t="str">
        <f>IF(OR(DV10="BAROTRAUMA",DV11="BAROTRAUMA"),"SI","NO")</f>
        <v>NO</v>
      </c>
      <c r="DW12" s="642" t="str">
        <f>IF(OR(DW10="FMO",DW11="FMO"),"SI","NO")</f>
        <v>NO</v>
      </c>
      <c r="DX12" s="642" t="str">
        <f>IF(OR(DX10="EOT NO PROGRAMADA",DX11="EOT NO PROGRAMADA"),"SI","NO")</f>
        <v>NO</v>
      </c>
      <c r="DY12" s="642" t="str">
        <f>IF(OR(DY10="DELIRIUM",DY11="DELIRIUM"),"SI","NO")</f>
        <v>SI</v>
      </c>
      <c r="DZ12" s="642" t="str">
        <f>IF(OR(DZ10="PAFI&lt;200",DZ11="PAFI&lt;200"),"SI","NO")</f>
        <v>SI</v>
      </c>
      <c r="EA12" s="642" t="str">
        <f>IF(OR(EA10="SHOCK/SEPSIS",EA11="SHOCK/SEPSIS"),"SI","NO")</f>
        <v>SI</v>
      </c>
      <c r="EB12" s="642" t="str">
        <f t="shared" ref="EB12:EC12" si="12">IF(OR(EB10="I RENAL",EB11="I RENAL"),"SI","NO")</f>
        <v>NO</v>
      </c>
      <c r="EC12" s="642" t="str">
        <f t="shared" si="12"/>
        <v>NO</v>
      </c>
      <c r="ED12" s="642" t="str">
        <f>IF(OR(ED10="LESIONES FACIALES",ED11="LESIONES FACIALES"),"SI","NO")</f>
        <v>NO</v>
      </c>
      <c r="EE12" s="642" t="str">
        <f>IF(OR(EE10="CAMBIO DE INTERFAZ POR DISCOMFORT",EE11="CAMBIO DE INTERFAZ POR DISCOMFORT"),"SI","NO")</f>
        <v>NO</v>
      </c>
      <c r="EF12" s="636">
        <f>COUNTIF(DO12:EE12,"SI")</f>
        <v>5</v>
      </c>
      <c r="EG12" s="644">
        <f>+Monitoreo!C65</f>
        <v>12</v>
      </c>
      <c r="EH12" s="644">
        <f>+Monitoreo!C66</f>
        <v>3</v>
      </c>
      <c r="EI12" s="644">
        <f>+Monitoreo!C67</f>
        <v>9</v>
      </c>
      <c r="EJ12" s="644">
        <f>+Monitoreo!C68</f>
        <v>0</v>
      </c>
      <c r="EK12" s="644">
        <f>+Monitoreo!C69</f>
        <v>0</v>
      </c>
      <c r="EL12" s="644">
        <f>+Monitoreo!C70</f>
        <v>0</v>
      </c>
      <c r="EM12" s="644">
        <f>+Monitoreo!C71</f>
        <v>0</v>
      </c>
      <c r="EN12" s="644">
        <f>+Monitoreo!F65</f>
        <v>21</v>
      </c>
      <c r="EO12" s="644">
        <f>+Monitoreo!F66</f>
        <v>21</v>
      </c>
      <c r="EP12" s="644">
        <f>+Monitoreo!F67</f>
        <v>0</v>
      </c>
      <c r="EQ12" s="644">
        <f>+Monitoreo!F68</f>
        <v>0</v>
      </c>
      <c r="ER12" s="644">
        <f>+Monitoreo!F69</f>
        <v>0</v>
      </c>
      <c r="ES12" s="644">
        <f>+Monitoreo!F70</f>
        <v>0</v>
      </c>
      <c r="ET12" s="644">
        <f>+Monitoreo!F71</f>
        <v>0</v>
      </c>
      <c r="EU12" s="644">
        <f>+Monitoreo!I65</f>
        <v>2</v>
      </c>
      <c r="EV12" s="644">
        <f>+Monitoreo!I66</f>
        <v>0</v>
      </c>
      <c r="EW12" s="644">
        <f>+Monitoreo!I67</f>
        <v>0</v>
      </c>
      <c r="EX12" s="644">
        <f>+Monitoreo!I68</f>
        <v>0</v>
      </c>
      <c r="EY12" s="644">
        <f>+Monitoreo!I69</f>
        <v>0</v>
      </c>
      <c r="EZ12" s="644">
        <f>+Monitoreo!I70</f>
        <v>0</v>
      </c>
      <c r="FA12" s="644">
        <f>+Monitoreo!I71</f>
        <v>0</v>
      </c>
      <c r="FB12" s="644">
        <f>+Monitoreo!I72</f>
        <v>2</v>
      </c>
      <c r="FC12" s="644">
        <f>+Monitoreo!M69</f>
        <v>0</v>
      </c>
      <c r="FD12" s="644">
        <f>+Monitoreo!M70</f>
        <v>0</v>
      </c>
      <c r="FE12" s="644">
        <f>+Monitoreo!M71</f>
        <v>0</v>
      </c>
      <c r="FF12" s="644">
        <f>+Monitoreo!M72</f>
        <v>0</v>
      </c>
      <c r="FG12" s="644">
        <f>+Monitoreo!P69</f>
        <v>4</v>
      </c>
      <c r="FH12" s="644">
        <f>+Monitoreo!P70</f>
        <v>4</v>
      </c>
      <c r="FI12" s="644">
        <f>+Monitoreo!P71</f>
        <v>0</v>
      </c>
      <c r="FJ12" s="644">
        <f>+Monitoreo!M65</f>
        <v>5</v>
      </c>
      <c r="FK12" s="644">
        <f>+Monitoreo!M66</f>
        <v>0</v>
      </c>
      <c r="FL12" s="644">
        <f>+Monitoreo!M67</f>
        <v>11</v>
      </c>
      <c r="FM12" s="645" t="str">
        <f>+Monitoreo!C29</f>
        <v>VC-CMV</v>
      </c>
      <c r="FN12" s="645" t="str">
        <f>+Monitoreo!D29</f>
        <v>VC-CMV</v>
      </c>
      <c r="FO12" s="645" t="str">
        <f>+Monitoreo!E29</f>
        <v>VC-CMV</v>
      </c>
      <c r="FP12" s="645" t="str">
        <f>+Monitoreo!G29</f>
        <v>PC-CMV</v>
      </c>
      <c r="FQ12" s="645" t="str">
        <f>+Monitoreo!I29</f>
        <v>PC-CMV</v>
      </c>
      <c r="FR12" s="636">
        <f>+Monitoreo!C30</f>
        <v>490</v>
      </c>
      <c r="FS12" s="636">
        <f>+Monitoreo!D30</f>
        <v>430</v>
      </c>
      <c r="FT12" s="636">
        <f>+Monitoreo!E30</f>
        <v>430</v>
      </c>
      <c r="FU12" s="636">
        <f>+Monitoreo!G30</f>
        <v>14</v>
      </c>
      <c r="FV12" s="636">
        <f>+Monitoreo!I30</f>
        <v>12</v>
      </c>
      <c r="FW12" s="636">
        <f>+Monitoreo!C31</f>
        <v>20</v>
      </c>
      <c r="FX12" s="636">
        <f>+Monitoreo!D31</f>
        <v>26</v>
      </c>
      <c r="FY12" s="636">
        <f>+Monitoreo!E31</f>
        <v>26</v>
      </c>
      <c r="FZ12" s="636">
        <f>+Monitoreo!G31</f>
        <v>14</v>
      </c>
      <c r="GA12" s="636">
        <f>+Monitoreo!I31</f>
        <v>15</v>
      </c>
      <c r="GB12" s="636">
        <f>+Monitoreo!C32</f>
        <v>12</v>
      </c>
      <c r="GC12" s="636">
        <f>+Monitoreo!D32</f>
        <v>12</v>
      </c>
      <c r="GD12" s="636">
        <f>+Monitoreo!E32</f>
        <v>12</v>
      </c>
      <c r="GE12" s="636">
        <f>+Monitoreo!G32</f>
        <v>10</v>
      </c>
      <c r="GF12" s="636">
        <f>+Monitoreo!I32</f>
        <v>10</v>
      </c>
      <c r="GG12" s="636">
        <f>+Monitoreo!C33</f>
        <v>0.6</v>
      </c>
      <c r="GH12" s="636">
        <f>+Monitoreo!D33</f>
        <v>0.35</v>
      </c>
      <c r="GI12" s="636">
        <f>+Monitoreo!E33</f>
        <v>0.3</v>
      </c>
      <c r="GJ12" s="636">
        <f>+Monitoreo!G33</f>
        <v>0.4</v>
      </c>
      <c r="GK12" s="636">
        <f>+Monitoreo!I33</f>
        <v>0.4</v>
      </c>
      <c r="GL12" s="636" t="str">
        <f>+Monitoreo!C37</f>
        <v/>
      </c>
      <c r="GM12" s="636">
        <f>+Monitoreo!D37</f>
        <v>26</v>
      </c>
      <c r="GN12" s="636">
        <f>+Monitoreo!E37</f>
        <v>26</v>
      </c>
      <c r="GO12" s="636">
        <f>+Monitoreo!G37</f>
        <v>17</v>
      </c>
      <c r="GP12" s="636">
        <f>+Monitoreo!I37</f>
        <v>17</v>
      </c>
      <c r="GQ12" s="636" t="str">
        <f>+Monitoreo!C39</f>
        <v/>
      </c>
      <c r="GR12" s="636">
        <f>+Monitoreo!D39</f>
        <v>11</v>
      </c>
      <c r="GS12" s="636">
        <f>+Monitoreo!E39</f>
        <v>11.03</v>
      </c>
      <c r="GT12" s="636">
        <f>+Monitoreo!G39</f>
        <v>8.85</v>
      </c>
      <c r="GU12" s="636">
        <f>+Monitoreo!I39</f>
        <v>8.6</v>
      </c>
      <c r="GV12" s="636" t="str">
        <f>+Monitoreo!C40</f>
        <v/>
      </c>
      <c r="GW12" s="636">
        <f>+Monitoreo!D40</f>
        <v>28</v>
      </c>
      <c r="GX12" s="636">
        <f>+Monitoreo!E40</f>
        <v>28</v>
      </c>
      <c r="GY12" s="636">
        <f>+Monitoreo!G40</f>
        <v>24</v>
      </c>
      <c r="GZ12" s="636">
        <f>+Monitoreo!I40</f>
        <v>22</v>
      </c>
      <c r="HA12" s="636" t="str">
        <f>+Monitoreo!C41</f>
        <v/>
      </c>
      <c r="HB12" s="636">
        <f>+Monitoreo!D41</f>
        <v>21</v>
      </c>
      <c r="HC12" s="636">
        <f>+Monitoreo!E41</f>
        <v>20</v>
      </c>
      <c r="HD12" s="636">
        <f>+Monitoreo!G41</f>
        <v>20</v>
      </c>
      <c r="HE12" s="636" t="str">
        <f>+Monitoreo!I41</f>
        <v/>
      </c>
      <c r="HF12" s="636" t="str">
        <f>+Monitoreo!F42</f>
        <v/>
      </c>
      <c r="HG12" s="636">
        <f>+Monitoreo!D42</f>
        <v>13</v>
      </c>
      <c r="HH12" s="636">
        <f>+Monitoreo!E42</f>
        <v>12</v>
      </c>
      <c r="HI12" s="636">
        <f>+Monitoreo!G42</f>
        <v>10</v>
      </c>
      <c r="HJ12" s="636" t="str">
        <f>+Monitoreo!I42</f>
        <v/>
      </c>
      <c r="HK12" s="636" t="str">
        <f>+Monitoreo!C51</f>
        <v/>
      </c>
      <c r="HL12" s="636">
        <f>+Monitoreo!D51</f>
        <v>8</v>
      </c>
      <c r="HM12" s="636">
        <f>+Monitoreo!E51</f>
        <v>8</v>
      </c>
      <c r="HN12" s="636">
        <f>+Monitoreo!G51</f>
        <v>10</v>
      </c>
      <c r="HO12" s="636" t="str">
        <f>+Monitoreo!I51</f>
        <v/>
      </c>
      <c r="HP12" s="638">
        <f>+Monitoreo!C47</f>
        <v>7.101449275</v>
      </c>
      <c r="HQ12" s="638">
        <f>+Monitoreo!D47</f>
        <v>6.231884058</v>
      </c>
      <c r="HR12" s="638">
        <f>+Monitoreo!E47</f>
        <v>6.231884058</v>
      </c>
      <c r="HS12" s="638">
        <f>+Monitoreo!G47</f>
        <v>7.971014493</v>
      </c>
      <c r="HT12" s="638">
        <f>+Monitoreo!I47</f>
        <v>4.550724638</v>
      </c>
      <c r="HU12" s="638" t="str">
        <f>+Monitoreo!C52</f>
        <v/>
      </c>
      <c r="HV12" s="638">
        <f>+Monitoreo!D52</f>
        <v>52.875</v>
      </c>
      <c r="HW12" s="638">
        <f>+Monitoreo!E52</f>
        <v>53.125</v>
      </c>
      <c r="HX12" s="638">
        <f>+Monitoreo!G52</f>
        <v>55</v>
      </c>
      <c r="HY12" s="636" t="str">
        <f>+Monitoreo!I52</f>
        <v>#DIV/0!</v>
      </c>
      <c r="HZ12" s="646" t="str">
        <f>+Monitoreo!C53</f>
        <v/>
      </c>
      <c r="IA12" s="646">
        <f>+Monitoreo!D53</f>
        <v>12</v>
      </c>
      <c r="IB12" s="646">
        <f>+Monitoreo!E53</f>
        <v>12</v>
      </c>
      <c r="IC12" s="646" t="str">
        <f>+Monitoreo!G53</f>
        <v/>
      </c>
      <c r="ID12" s="646" t="str">
        <f>+Monitoreo!I53</f>
        <v/>
      </c>
      <c r="IE12" s="636" t="str">
        <f>+Monitoreo!C50</f>
        <v/>
      </c>
      <c r="IF12" s="636">
        <f>+Monitoreo!D50</f>
        <v>19.4</v>
      </c>
      <c r="IG12" s="636">
        <f>+Monitoreo!E50</f>
        <v>17.6</v>
      </c>
      <c r="IH12" s="636">
        <f>+Monitoreo!G50</f>
        <v>21</v>
      </c>
      <c r="II12" s="636" t="str">
        <f>+Monitoreo!I50</f>
        <v/>
      </c>
      <c r="IJ12" s="646" t="str">
        <f>+Monitoreo!C54</f>
        <v/>
      </c>
      <c r="IK12" s="646">
        <f>+Monitoreo!D54</f>
        <v>25.16133438</v>
      </c>
      <c r="IL12" s="646">
        <f>+Monitoreo!E54</f>
        <v>25.2161</v>
      </c>
      <c r="IM12" s="646" t="str">
        <f>+Monitoreo!G54</f>
        <v/>
      </c>
      <c r="IN12" s="646" t="str">
        <f>+Monitoreo!I54</f>
        <v/>
      </c>
      <c r="IO12" s="646" t="str">
        <f>+Monitoreo!C55</f>
        <v/>
      </c>
      <c r="IP12" s="646">
        <f>+Monitoreo!D55</f>
        <v>0.47586448</v>
      </c>
      <c r="IQ12" s="646">
        <f>+Monitoreo!E55</f>
        <v>0.474656</v>
      </c>
      <c r="IR12" s="646" t="str">
        <f>+Monitoreo!G55</f>
        <v/>
      </c>
      <c r="IS12" s="636" t="str">
        <f>+Monitoreo!I55</f>
        <v/>
      </c>
      <c r="IT12" s="646" t="str">
        <f>+Monitoreo!C56</f>
        <v/>
      </c>
      <c r="IU12" s="646">
        <f>+Monitoreo!D56</f>
        <v>0.36465702</v>
      </c>
      <c r="IV12" s="646">
        <f>+Monitoreo!E56</f>
        <v>0.3654507246</v>
      </c>
      <c r="IW12" s="636" t="str">
        <f>+Monitoreo!G56</f>
        <v/>
      </c>
      <c r="IX12" s="636" t="str">
        <f>+Monitoreo!I56</f>
        <v/>
      </c>
      <c r="IY12" s="646" t="str">
        <f>+Monitoreo!C61</f>
        <v/>
      </c>
      <c r="IZ12" s="646">
        <f>+Monitoreo!D61</f>
        <v>208</v>
      </c>
      <c r="JA12" s="646">
        <f>+Monitoreo!E61</f>
        <v>208</v>
      </c>
      <c r="JB12" s="646">
        <f>+Monitoreo!G61</f>
        <v>170</v>
      </c>
      <c r="JC12" s="646" t="str">
        <f>+Monitoreo!I61</f>
        <v/>
      </c>
      <c r="JD12" s="646" t="str">
        <f>+Monitoreo!C57</f>
        <v/>
      </c>
      <c r="JE12" s="646">
        <f>+Monitoreo!D57</f>
        <v>1.913043478</v>
      </c>
      <c r="JF12" s="646">
        <f>+Monitoreo!E57</f>
        <v>2.041882126</v>
      </c>
      <c r="JG12" s="646">
        <f>+Monitoreo!G57</f>
        <v>1.593855072</v>
      </c>
      <c r="JH12" s="646">
        <f>+Monitoreo!I57</f>
        <v>1.262995169</v>
      </c>
      <c r="JI12" s="636" t="str">
        <f>+Monitoreo!C58</f>
        <v/>
      </c>
      <c r="JJ12" s="636" t="str">
        <f>+Monitoreo!D58</f>
        <v/>
      </c>
      <c r="JK12" s="636" t="str">
        <f>+Monitoreo!E58</f>
        <v/>
      </c>
      <c r="JL12" s="636" t="str">
        <f>+Monitoreo!G58</f>
        <v/>
      </c>
      <c r="JM12" s="636" t="str">
        <f>+Monitoreo!I58</f>
        <v/>
      </c>
      <c r="JN12" s="636" t="str">
        <f>+Monitoreo!C44</f>
        <v/>
      </c>
      <c r="JO12" s="636" t="str">
        <f>+Monitoreo!D44</f>
        <v/>
      </c>
      <c r="JP12" s="636" t="str">
        <f>+Monitoreo!E44</f>
        <v/>
      </c>
      <c r="JQ12" s="636" t="str">
        <f>+Monitoreo!G44</f>
        <v/>
      </c>
      <c r="JR12" s="636" t="str">
        <f>+Monitoreo!I44</f>
        <v/>
      </c>
      <c r="JS12" s="636" t="str">
        <f>+Monitoreo!C45</f>
        <v/>
      </c>
      <c r="JT12" s="636" t="str">
        <f>+Monitoreo!D45</f>
        <v/>
      </c>
      <c r="JU12" s="636" t="str">
        <f>+Monitoreo!E45</f>
        <v/>
      </c>
      <c r="JV12" s="636" t="str">
        <f>+Monitoreo!G45</f>
        <v/>
      </c>
      <c r="JW12" s="636" t="str">
        <f>+Monitoreo!I45</f>
        <v/>
      </c>
      <c r="JX12" s="636" t="str">
        <f>+Monitoreo!C62</f>
        <v/>
      </c>
      <c r="JY12" s="638">
        <f>+Monitoreo!D62</f>
        <v>6.59223301</v>
      </c>
      <c r="JZ12" s="638">
        <f>+Monitoreo!E62</f>
        <v>4.748201439</v>
      </c>
      <c r="KA12" s="638">
        <f>+Monitoreo!G62</f>
        <v>10.79691517</v>
      </c>
      <c r="KB12" s="636" t="str">
        <f>+Monitoreo!I62</f>
        <v/>
      </c>
      <c r="KC12" s="636">
        <f>+Monitoreo!C20</f>
        <v>7.36</v>
      </c>
      <c r="KD12" s="636">
        <f>+Monitoreo!D20</f>
        <v>7.3</v>
      </c>
      <c r="KE12" s="636">
        <f>+Monitoreo!E20</f>
        <v>7.28</v>
      </c>
      <c r="KF12" s="636">
        <f>+Monitoreo!G20</f>
        <v>7.3</v>
      </c>
      <c r="KG12" s="636">
        <f>+Monitoreo!I20</f>
        <v>7.39</v>
      </c>
      <c r="KH12" s="636">
        <f>+Monitoreo!C22</f>
        <v>81</v>
      </c>
      <c r="KI12" s="636">
        <f>+Monitoreo!D22</f>
        <v>103</v>
      </c>
      <c r="KJ12" s="636">
        <f>+Monitoreo!E22</f>
        <v>111.2</v>
      </c>
      <c r="KK12" s="636">
        <f>+Monitoreo!G22</f>
        <v>77.8</v>
      </c>
      <c r="KL12" s="636">
        <f>+Monitoreo!I22</f>
        <v>157</v>
      </c>
      <c r="KM12" s="636">
        <f>+Monitoreo!C21</f>
        <v>39</v>
      </c>
      <c r="KN12" s="636">
        <f>+Monitoreo!D21</f>
        <v>45</v>
      </c>
      <c r="KO12" s="636">
        <f>+Monitoreo!E21</f>
        <v>47.9</v>
      </c>
      <c r="KP12" s="636">
        <f>+Monitoreo!G21</f>
        <v>46.6</v>
      </c>
      <c r="KQ12" s="636">
        <f>+Monitoreo!I21</f>
        <v>38</v>
      </c>
      <c r="KR12" s="636">
        <f>+Monitoreo!C25</f>
        <v>21.7</v>
      </c>
      <c r="KS12" s="636">
        <f>+Monitoreo!D25</f>
        <v>97</v>
      </c>
      <c r="KT12" s="636">
        <f>+Monitoreo!E25</f>
        <v>97.2</v>
      </c>
      <c r="KU12" s="636">
        <f>+Monitoreo!G25</f>
        <v>93.7</v>
      </c>
      <c r="KV12" s="636">
        <f>+Monitoreo!I25</f>
        <v>99</v>
      </c>
      <c r="KW12" s="636" t="str">
        <f>+Monitoreo!C10</f>
        <v/>
      </c>
      <c r="KX12" s="636">
        <f>+Monitoreo!D10</f>
        <v>99</v>
      </c>
      <c r="KY12" s="636">
        <f>+Monitoreo!E10</f>
        <v>100</v>
      </c>
      <c r="KZ12" s="636">
        <f>+Monitoreo!G10</f>
        <v>100</v>
      </c>
      <c r="LA12" s="636">
        <f>+Monitoreo!I10</f>
        <v>95</v>
      </c>
      <c r="LB12" s="638">
        <f>+Monitoreo!C28</f>
        <v>135</v>
      </c>
      <c r="LC12" s="638">
        <f>+Monitoreo!D28</f>
        <v>294.2857143</v>
      </c>
      <c r="LD12" s="638">
        <f>+Monitoreo!E28</f>
        <v>370.6666667</v>
      </c>
      <c r="LE12" s="638">
        <f>+Monitoreo!G28</f>
        <v>194.5</v>
      </c>
      <c r="LF12" s="638">
        <f>+Monitoreo!I28</f>
        <v>392</v>
      </c>
      <c r="LG12" s="636"/>
      <c r="LH12" s="636"/>
      <c r="LI12" s="636"/>
      <c r="LJ12" s="636"/>
      <c r="LK12" s="636"/>
      <c r="LL12" s="636"/>
      <c r="LM12" s="636"/>
    </row>
    <row r="14">
      <c r="DS14" s="182">
        <f>+Monitoreo!P69</f>
        <v>4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47">
        <f>+Monitoreo!M65</f>
        <v>5</v>
      </c>
      <c r="DZ14" s="182">
        <f>+Monitoreo!T65</f>
        <v>7</v>
      </c>
    </row>
    <row r="15">
      <c r="A15" s="648" t="s">
        <v>379</v>
      </c>
      <c r="B15" s="649"/>
      <c r="C15" s="649"/>
      <c r="D15" s="649"/>
      <c r="E15" s="649"/>
      <c r="F15" s="649"/>
      <c r="G15" s="649"/>
      <c r="H15" s="649"/>
      <c r="I15" s="649"/>
      <c r="J15" s="649"/>
      <c r="K15" s="649"/>
      <c r="L15" s="649"/>
      <c r="M15" s="649"/>
      <c r="N15" s="649"/>
      <c r="O15" s="649"/>
      <c r="P15" s="649"/>
      <c r="Q15" s="650"/>
    </row>
    <row r="16">
      <c r="A16" s="651"/>
      <c r="Q16" s="652"/>
    </row>
    <row r="17">
      <c r="A17" s="651"/>
      <c r="Q17" s="652"/>
    </row>
    <row r="18">
      <c r="A18" s="651"/>
      <c r="Q18" s="652"/>
    </row>
    <row r="19">
      <c r="A19" s="653"/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56" t="s">
        <v>380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8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</row>
    <row r="2" ht="41.25" customHeight="1">
      <c r="A2" s="660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127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</row>
    <row r="3">
      <c r="A3" s="661"/>
      <c r="B3" s="662" t="s">
        <v>381</v>
      </c>
      <c r="C3" s="21"/>
      <c r="D3" s="21"/>
      <c r="E3" s="22"/>
      <c r="F3" s="663" t="s">
        <v>382</v>
      </c>
      <c r="G3" s="22"/>
      <c r="H3" s="663" t="s">
        <v>383</v>
      </c>
      <c r="I3" s="21"/>
      <c r="J3" s="21"/>
      <c r="K3" s="21"/>
      <c r="L3" s="22"/>
      <c r="M3" s="663" t="s">
        <v>384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63" t="s">
        <v>385</v>
      </c>
      <c r="AA3" s="22"/>
      <c r="AB3" s="663" t="s">
        <v>386</v>
      </c>
      <c r="AC3" s="21"/>
      <c r="AD3" s="21"/>
      <c r="AE3" s="21"/>
      <c r="AF3" s="22"/>
      <c r="AG3" s="664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665"/>
      <c r="AS3" s="665"/>
      <c r="AT3" s="665"/>
      <c r="AU3" s="665"/>
      <c r="AV3" s="665"/>
      <c r="AW3" s="665"/>
      <c r="AX3" s="665"/>
      <c r="AY3" s="665"/>
      <c r="AZ3" s="665"/>
      <c r="BA3" s="665"/>
    </row>
    <row r="4">
      <c r="A4" s="666"/>
      <c r="B4" s="667" t="s">
        <v>264</v>
      </c>
      <c r="C4" s="667" t="s">
        <v>266</v>
      </c>
      <c r="D4" s="668" t="s">
        <v>387</v>
      </c>
      <c r="E4" s="669" t="s">
        <v>388</v>
      </c>
      <c r="F4" s="669" t="s">
        <v>389</v>
      </c>
      <c r="G4" s="669" t="s">
        <v>390</v>
      </c>
      <c r="H4" s="670" t="s">
        <v>391</v>
      </c>
      <c r="I4" s="670" t="s">
        <v>392</v>
      </c>
      <c r="J4" s="670" t="s">
        <v>393</v>
      </c>
      <c r="K4" s="670" t="s">
        <v>394</v>
      </c>
      <c r="L4" s="670" t="s">
        <v>395</v>
      </c>
      <c r="M4" s="670" t="s">
        <v>396</v>
      </c>
      <c r="N4" s="670" t="s">
        <v>397</v>
      </c>
      <c r="O4" s="670" t="s">
        <v>398</v>
      </c>
      <c r="P4" s="670" t="s">
        <v>399</v>
      </c>
      <c r="Q4" s="670" t="s">
        <v>400</v>
      </c>
      <c r="R4" s="670" t="s">
        <v>401</v>
      </c>
      <c r="S4" s="671" t="s">
        <v>35</v>
      </c>
      <c r="T4" s="671" t="s">
        <v>402</v>
      </c>
      <c r="U4" s="670" t="s">
        <v>403</v>
      </c>
      <c r="V4" s="670" t="s">
        <v>404</v>
      </c>
      <c r="W4" s="668" t="s">
        <v>405</v>
      </c>
      <c r="X4" s="668" t="s">
        <v>406</v>
      </c>
      <c r="Y4" s="671" t="s">
        <v>407</v>
      </c>
      <c r="Z4" s="669" t="s">
        <v>408</v>
      </c>
      <c r="AA4" s="671" t="s">
        <v>409</v>
      </c>
      <c r="AB4" s="672" t="s">
        <v>410</v>
      </c>
      <c r="AC4" s="672" t="s">
        <v>411</v>
      </c>
      <c r="AD4" s="672" t="s">
        <v>412</v>
      </c>
      <c r="AE4" s="672" t="s">
        <v>413</v>
      </c>
      <c r="AF4" s="672" t="s">
        <v>414</v>
      </c>
      <c r="AG4" s="673" t="s">
        <v>415</v>
      </c>
      <c r="AH4" s="674"/>
      <c r="AI4" s="675"/>
      <c r="AJ4" s="675"/>
      <c r="AK4" s="675"/>
      <c r="AL4" s="675"/>
      <c r="AM4" s="675"/>
      <c r="AN4" s="675"/>
      <c r="AO4" s="675"/>
      <c r="AP4" s="675"/>
      <c r="AQ4" s="675"/>
      <c r="AR4" s="675"/>
      <c r="AS4" s="675"/>
      <c r="AT4" s="675"/>
      <c r="AU4" s="675"/>
      <c r="AV4" s="675"/>
      <c r="AW4" s="675"/>
      <c r="AX4" s="675"/>
      <c r="AY4" s="675"/>
      <c r="AZ4" s="675"/>
      <c r="BA4" s="675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76">
        <f>+General!H22</f>
        <v>44192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34">
        <f>+General!H27</f>
        <v>3</v>
      </c>
      <c r="N5" s="634">
        <f>+General!J27</f>
        <v>2</v>
      </c>
      <c r="O5" s="182"/>
      <c r="P5" s="182"/>
      <c r="Q5" s="677" t="str">
        <f>+General!J25</f>
        <v/>
      </c>
      <c r="R5" s="677" t="str">
        <f>+General!H25</f>
        <v/>
      </c>
      <c r="S5" s="678" t="str">
        <f>+General!D20</f>
        <v/>
      </c>
      <c r="T5" s="182" t="str">
        <f>+General!B23</f>
        <v/>
      </c>
      <c r="U5" s="677">
        <f>+General!D25</f>
        <v>1</v>
      </c>
      <c r="V5" s="678" t="str">
        <f>+General!D19</f>
        <v/>
      </c>
      <c r="W5" s="677" t="str">
        <f>+General!F25</f>
        <v/>
      </c>
      <c r="X5" s="182"/>
      <c r="Y5" s="182"/>
      <c r="Z5" s="679">
        <f>+General!D38</f>
        <v>44222</v>
      </c>
      <c r="AA5" s="182"/>
      <c r="AB5" s="182" t="str">
        <f>+General!J38</f>
        <v>3º NIVEL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78" t="str">
        <f>+General!F20</f>
        <v/>
      </c>
      <c r="T6" s="679">
        <f>+General!C35</f>
        <v>44211</v>
      </c>
      <c r="U6" s="182"/>
      <c r="V6" s="678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78" t="str">
        <f>+General!D31</f>
        <v/>
      </c>
      <c r="T7" s="678" t="str">
        <f>+General!E36</f>
        <v/>
      </c>
      <c r="U7" s="182"/>
      <c r="V7" s="680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78" t="str">
        <f>+General!F31</f>
        <v/>
      </c>
      <c r="T8" s="182"/>
      <c r="U8" s="182"/>
      <c r="V8" s="680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81"/>
      <c r="B10" s="681" t="str">
        <f>+General!B4</f>
        <v>Crabas Julio Cesar</v>
      </c>
      <c r="C10" s="681" t="str">
        <f>+General!D5</f>
        <v>Hombre</v>
      </c>
      <c r="D10" s="681">
        <f>+General!B5</f>
        <v>72</v>
      </c>
      <c r="E10" s="682">
        <f>+General!G4</f>
        <v>44192</v>
      </c>
      <c r="F10" s="681" t="str">
        <f>IF(F5="MÉDICO","X","")</f>
        <v>X</v>
      </c>
      <c r="G10" s="681" t="str">
        <f>IF(F5="QUIRÚRGICO","X","")</f>
        <v/>
      </c>
      <c r="H10" s="681"/>
      <c r="I10" s="681" t="str">
        <f>IF(ISDATE(I5),"X","")</f>
        <v>X</v>
      </c>
      <c r="J10" s="681"/>
      <c r="K10" s="681"/>
      <c r="L10" s="681"/>
      <c r="M10" s="681" t="str">
        <f t="shared" ref="M10:N10" si="1">IF(M5&lt;&gt;"","1","")</f>
        <v>1</v>
      </c>
      <c r="N10" s="681" t="str">
        <f t="shared" si="1"/>
        <v>1</v>
      </c>
      <c r="O10" s="681">
        <f>IFS(AND(M5="",N5=""),"",M5&gt;N5,M5,M5=N5,M5,M5&lt;N5,N5)</f>
        <v>3</v>
      </c>
      <c r="P10" s="681">
        <f>IF(OR(M10&lt;&gt;"",N10&lt;&gt;""),(O10*M10)+(O10*N10),0)</f>
        <v>6</v>
      </c>
      <c r="Q10" s="681">
        <f t="shared" ref="Q10:R10" si="2">IF(Q5="",0,Q5)</f>
        <v>0</v>
      </c>
      <c r="R10" s="681">
        <f t="shared" si="2"/>
        <v>0</v>
      </c>
      <c r="S10" s="681">
        <f>S12+S13</f>
        <v>0</v>
      </c>
      <c r="T10" s="681">
        <f>IFS(AND(T5="",AND(T6="",T7="")),0,AND(T5="SI",T7&lt;&gt;""),T7-E10,AND(T6&lt;&gt;"",T7&lt;&gt;""),T7-T6,AND(AF5="MUERTO",T6&lt;&gt;""),Z10-T6,AND(AF5="VIVO",T6&lt;&gt;""),Z10-T6)</f>
        <v>11</v>
      </c>
      <c r="U10" s="681">
        <f>IF(U5="",0,U5)</f>
        <v>1</v>
      </c>
      <c r="V10" s="681">
        <f>V12+V13</f>
        <v>0</v>
      </c>
      <c r="W10" s="681">
        <f>IF(W5="",0,W5)</f>
        <v>0</v>
      </c>
      <c r="X10" s="681">
        <f>SUM(Q10:W10)</f>
        <v>12</v>
      </c>
      <c r="Y10" s="681">
        <f>P10+X10</f>
        <v>18</v>
      </c>
      <c r="Z10" s="683">
        <f>+General!D38</f>
        <v>44222</v>
      </c>
      <c r="AA10" s="681">
        <f>+General!J43</f>
        <v>30</v>
      </c>
      <c r="AB10" s="681" t="str">
        <f>IF(AB5="ALTA K","X","")</f>
        <v/>
      </c>
      <c r="AC10" s="681" t="str">
        <f>IF(AB5="ALTA DOMICILIARIA","X","")</f>
        <v/>
      </c>
      <c r="AD10" s="681" t="str">
        <f>IF(AB5="PISO","X","")</f>
        <v/>
      </c>
      <c r="AE10" s="681" t="str">
        <f>IF(AB5="3º NIVEL","X","")</f>
        <v>X</v>
      </c>
      <c r="AF10" s="681" t="str">
        <f>IF(OR(AB5="Muerto",AF5="Muerto"),"X","")</f>
        <v/>
      </c>
      <c r="AG10" s="681"/>
      <c r="AH10" s="681"/>
      <c r="AI10" s="681"/>
      <c r="AJ10" s="681"/>
      <c r="AK10" s="681"/>
      <c r="AL10" s="681"/>
      <c r="AM10" s="681"/>
      <c r="AN10" s="681"/>
      <c r="AO10" s="681"/>
      <c r="AP10" s="681"/>
      <c r="AQ10" s="681"/>
      <c r="AR10" s="681"/>
      <c r="AS10" s="681"/>
      <c r="AT10" s="681"/>
      <c r="AU10" s="681"/>
      <c r="AV10" s="681"/>
      <c r="AW10" s="681"/>
      <c r="AX10" s="681"/>
      <c r="AY10" s="681"/>
      <c r="AZ10" s="681"/>
      <c r="BA10" s="681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84" t="s">
        <v>416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5"/>
      <c r="O14" s="7"/>
    </row>
    <row r="15">
      <c r="A15" s="295"/>
      <c r="O15" s="7"/>
    </row>
    <row r="16">
      <c r="A16" s="31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