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<sst xmlns="http://schemas.openxmlformats.org/spreadsheetml/2006/main" count="571" uniqueCount="406">
  <si>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</si>
  <si>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</si>
  <si>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</si>
  <si>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</si>
  <si>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</si>
  <si>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</si>
  <si>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</si>
  <si>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De Napoli Monte Beatriz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</si>
  <si>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</si>
  <si>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</si>
  <si>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</si>
  <si>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</si>
  <si>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</si>
  <si>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</si>
  <si>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</si>
  <si>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</si>
  <si>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</si>
  <si>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</si>
  <si>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</si>
  <si>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</si>
  <si>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</si>
  <si>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OTROS</t>
  </si>
  <si>
    <t>PSIQUIATRICOS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</si>
  <si>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</si>
  <si>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</si>
  <si>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</si>
  <si>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</si>
  <si>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</si>
  <si>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</si>
  <si>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</si>
  <si>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</si>
  <si>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</si>
  <si>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</si>
  <si>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</si>
  <si>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</si>
  <si>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</si>
  <si>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</si>
  <si>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</si>
  <si>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</si>
  <si>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</si>
  <si>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</si>
  <si>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</si>
  <si>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</si>
  <si>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</si>
  <si>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</si>
  <si>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</si>
  <si>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</si>
  <si>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</si>
  <si>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</si>
  <si>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</si>
  <si>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</si>
  <si>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</si>
  <si>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</si>
  <si>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</si>
  <si>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</si>
  <si>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</si>
  <si>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</si>
  <si>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</si>
  <si>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</si>
  <si>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</si>
  <si>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</si>
  <si>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</si>
  <si>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</si>
  <si>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</si>
  <si>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</si>
  <si>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</si>
  <si>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</si>
  <si>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</si>
  <si>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</si>
  <si>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</si>
  <si>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</si>
  <si>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</si>
  <si>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</si>
  <si>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</si>
  <si>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</si>
  <si>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</si>
  <si>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</si>
  <si>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</si>
  <si>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</si>
  <si>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</si>
  <si>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</si>
  <si>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</si>
  <si>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</si>
  <si>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</si>
  <si>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</si>
  <si>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</si>
  <si>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</si>
  <si>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</si>
  <si>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</si>
  <si>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</si>
  <si>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</si>
  <si>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</si>
  <si>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</si>
  <si>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</si>
  <si>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</si>
  <si>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</si>
  <si>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</si>
  <si>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</si>
  <si>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</si>
  <si>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</si>
  <si>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</si>
  <si>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</si>
  <si>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SHOCK/SEPSIS</t>
  </si>
  <si>
    <t>NAVM</t>
  </si>
  <si>
    <t>SDRA</t>
  </si>
  <si>
    <t>PAFI&lt;200</t>
  </si>
  <si>
    <t>BNM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</si>
  <si>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</si>
  <si>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</si>
  <si>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</si>
  <si>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</si>
  <si>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</si>
  <si>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</si>
  <si>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</si>
  <si>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</si>
  <si>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</si>
  <si>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</si>
  <si>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</si>
  <si>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</si>
  <si>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</si>
  <si>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</si>
  <si>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</si>
  <si>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</si>
  <si>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</si>
  <si>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</si>
  <si>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</si>
  <si>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</si>
  <si>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</si>
  <si>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</si>
  <si>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</si>
  <si>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</si>
  <si>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</si>
  <si>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NEGATIVO</t>
  </si>
  <si>
    <t>MRC 
BQNM</t>
  </si>
  <si>
    <t>ATRA</t>
  </si>
  <si>
    <t>NORA</t>
  </si>
  <si>
    <t>DOBUTA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</si>
  <si>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</si>
  <si>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</si>
  <si>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</si>
  <si>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</si>
  <si>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</si>
  <si>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</si>
  <si>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</si>
  <si>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</si>
  <si>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</si>
  <si>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</si>
  <si>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</si>
  <si>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</si>
  <si>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</si>
  <si>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</si>
  <si>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</si>
  <si>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</si>
  <si>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</si>
  <si>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</si>
  <si>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</si>
  <si>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</si>
  <si>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</si>
  <si>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</si>
  <si>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</si>
  <si>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</si>
  <si>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</si>
  <si>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</si>
  <si>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</si>
  <si>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</si>
  <si>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</si>
  <si>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</si>
  <si>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</si>
  <si>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</si>
  <si>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</si>
  <si>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</si>
  <si>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</si>
  <si>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</si>
  <si>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</si>
  <si>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</si>
  <si>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</si>
  <si>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</si>
  <si>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</si>
  <si>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</si>
  <si>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</si>
  <si>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</si>
  <si>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</si>
  <si>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</si>
  <si>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</si>
  <si>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</si>
  <si>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</si>
  <si>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</si>
  <si>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</si>
  <si>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</si>
  <si>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</si>
  <si>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</si>
  <si>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</si>
  <si>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</si>
  <si>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</si>
  <si>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</si>
  <si>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</si>
  <si>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</si>
  <si>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</si>
  <si>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</si>
  <si>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</si>
  <si>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</si>
  <si>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</si>
  <si>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</si>
  <si>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</si>
  <si>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</si>
  <si>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</si>
  <si>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</si>
  <si>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</si>
  <si>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</si>
  <si>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</si>
  <si>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</si>
  <si>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</si>
  <si>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</si>
  <si>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</si>
  <si>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</si>
  <si>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</si>
  <si>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</si>
  <si>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</si>
  <si>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</si>
  <si>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</si>
  <si>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</si>
  <si>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</si>
  <si>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</si>
  <si>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</si>
  <si>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</si>
  <si>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</si>
  <si>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</si>
  <si>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</si>
  <si>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</si>
  <si>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</si>
  <si>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</si>
  <si>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</si>
  <si>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</si>
  <si>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</si>
  <si>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</si>
  <si>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</si>
  <si>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</si>
  <si>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</si>
  <si>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</si>
  <si>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</si>
  <si>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</si>
  <si>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</si>
  <si>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</si>
  <si>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</si>
  <si>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</si>
  <si>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</si>
  <si>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</si>
  <si>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</si>
  <si>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</si>
  <si>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</si>
  <si>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</si>
  <si>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</si>
  <si>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</si>
  <si>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</si>
  <si>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</si>
  <si>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</si>
  <si>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</si>
  <si>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</si>
  <si>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</si>
  <si>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</si>
  <si>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</si>
  <si>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</si>
  <si>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</si>
  <si>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</si>
  <si>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</si>
  <si>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</si>
  <si>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</si>
  <si>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</si>
  <si>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</si>
  <si>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</si>
  <si>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</si>
  <si>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</si>
  <si>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</si>
  <si>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</si>
  <si>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</si>
  <si>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</si>
  <si>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</si>
  <si>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</si>
  <si>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</si>
  <si>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</si>
  <si>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</si>
  <si>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</si>
  <si>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</si>
  <si>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</si>
  <si>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</si>
  <si>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</si>
  <si>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</si>
  <si>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</si>
  <si>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</si>
  <si>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</si>
  <si>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</si>
  <si>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</si>
  <si>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</si>
  <si>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</si>
  <si>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</si>
  <si>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</si>
  <si>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</si>
  <si>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</si>
  <si>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</si>
  <si>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</si>
  <si>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</si>
  <si>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</si>
  <si>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</si>
  <si>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</si>
  <si>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</si>
  <si>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</si>
  <si>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</si>
  <si>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</si>
  <si>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</si>
  <si>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</si>
  <si>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</si>
  <si>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</si>
  <si>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</si>
  <si>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</si>
  <si>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</si>
  <si>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</si>
  <si>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</si>
  <si>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</si>
  <si>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</si>
  <si>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</si>
  <si>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</si>
  <si>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</si>
  <si>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</si>
  <si>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</si>
  <si>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</si>
  <si>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</si>
  <si>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</si>
  <si>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</si>
  <si>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</si>
  <si>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</si>
  <si>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</si>
  <si>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</si>
  <si>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</si>
  <si>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</si>
  <si>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</si>
  <si>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</si>
  <si>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</si>
  <si>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</si>
  <si>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</si>
  <si>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</si>
  <si>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</si>
  <si>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</si>
  <si>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</si>
  <si>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</si>
  <si>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</si>
  <si>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</si>
  <si>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</si>
  <si>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</si>
  <si>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</si>
  <si>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</si>
  <si>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</si>
  <si>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</si>
  <si>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</si>
  <si>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</si>
  <si>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</si>
  <si>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</si>
  <si>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</si>
  <si>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</si>
  <si>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</si>
  <si>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</si>
  <si>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</si>
  <si>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</si>
  <si>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</si>
  <si>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MILRI</t>
  </si>
  <si>
    <t>OTROS INOTRÓPICOS</t>
  </si>
  <si>
    <t>QTP</t>
  </si>
  <si>
    <t>HLP</t>
  </si>
  <si>
    <t>ROCURONIO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</si>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</sst>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vertical="bottom"/>
    </xf>
    <xf borderId="17" fillId="0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3" fillId="0" fontId="3" numFmtId="0" xfId="0" applyBorder="1" applyFont="1"/>
    <xf borderId="12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 readingOrder="0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7" fillId="0" fontId="9" numFmtId="0" xfId="0" applyAlignment="1" applyBorder="1" applyFont="1">
      <alignment readingOrder="0" vertical="bottom"/>
    </xf>
    <xf borderId="12" fillId="7" fontId="9" numFmtId="0" xfId="0" applyAlignment="1" applyBorder="1" applyFont="1">
      <alignment horizontal="center" readingOrder="0" vertical="bottom"/>
    </xf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9" numFmtId="0" xfId="0" applyAlignment="1" applyBorder="1" applyFont="1">
      <alignment readingOrder="0" vertical="bottom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9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2.0</v>
      </c>
      <c r="C3" s="10" t="s">
        <v>3</v>
      </c>
      <c r="D3" s="11">
        <v>164668.0</v>
      </c>
      <c r="E3" s="12" t="s">
        <v>4</v>
      </c>
      <c r="F3" s="13"/>
      <c r="G3" s="14">
        <v>44194.0</v>
      </c>
      <c r="H3" s="15" t="s">
        <v>5</v>
      </c>
      <c r="I3" s="16">
        <v>3.0</v>
      </c>
      <c r="J3" s="17">
        <v>1.0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44200.0</v>
      </c>
      <c r="H4" s="25" t="s">
        <v>9</v>
      </c>
      <c r="I4" s="26">
        <v>17.0</v>
      </c>
      <c r="J4" s="27">
        <v>2632.0</v>
      </c>
      <c r="K4" s="18"/>
      <c r="L4" s="28"/>
    </row>
    <row r="5">
      <c r="A5" s="29" t="s">
        <v>10</v>
      </c>
      <c r="B5" s="30">
        <v>77.0</v>
      </c>
      <c r="C5" s="31" t="s">
        <v>11</v>
      </c>
      <c r="D5" s="32" t="s">
        <v>12</v>
      </c>
      <c r="E5" s="33" t="s">
        <v>13</v>
      </c>
      <c r="F5" s="22"/>
      <c r="G5" s="34">
        <v>65.0</v>
      </c>
      <c r="H5" s="35" t="s">
        <v>14</v>
      </c>
      <c r="I5" s="36">
        <v>38.0</v>
      </c>
      <c r="J5" s="27">
        <v>21.2</v>
      </c>
      <c r="K5" s="18"/>
      <c r="L5" s="28"/>
    </row>
    <row r="6">
      <c r="A6" s="37" t="s">
        <v>15</v>
      </c>
      <c r="B6" s="38">
        <v>167.0</v>
      </c>
      <c r="C6" s="39" t="s">
        <v>16</v>
      </c>
      <c r="D6" s="40">
        <f>IFS(D5="Mujer",((B6-152.4)*0.91)+45.5,D5="Hombre",((B6-152.4)*0.91)+50,D5="","")</f>
        <v>58.786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44200.0</v>
      </c>
      <c r="C22" s="74" t="s">
        <v>36</v>
      </c>
      <c r="D22" s="75">
        <v>7.5</v>
      </c>
      <c r="E22" s="74" t="s">
        <v>37</v>
      </c>
      <c r="F22" s="32">
        <v>22.0</v>
      </c>
      <c r="G22" s="74" t="s">
        <v>38</v>
      </c>
      <c r="H22" s="73">
        <v>44200.0</v>
      </c>
      <c r="I22" s="76" t="s">
        <v>39</v>
      </c>
      <c r="J22" s="77">
        <v>44215.0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/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3.0</v>
      </c>
      <c r="E25" s="61" t="s">
        <v>49</v>
      </c>
      <c r="F25" s="75">
        <v>0.0</v>
      </c>
      <c r="G25" s="87" t="s">
        <v>50</v>
      </c>
      <c r="H25" s="75">
        <v>1.0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3.0</v>
      </c>
      <c r="I27" s="90" t="s">
        <v>58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>
        <v>44215.0</v>
      </c>
      <c r="C29" s="74" t="s">
        <v>61</v>
      </c>
      <c r="D29" s="32" t="s">
        <v>62</v>
      </c>
      <c r="E29" s="74" t="s">
        <v>63</v>
      </c>
      <c r="F29" s="32">
        <v>120.0</v>
      </c>
      <c r="G29" s="103" t="s">
        <v>64</v>
      </c>
      <c r="H29" s="104" t="s">
        <v>65</v>
      </c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>
        <v>44215.0</v>
      </c>
      <c r="C30" s="90" t="s">
        <v>69</v>
      </c>
      <c r="D30" s="75" t="s">
        <v>70</v>
      </c>
      <c r="E30" s="108" t="s">
        <v>71</v>
      </c>
      <c r="F30" s="71" t="s">
        <v>72</v>
      </c>
      <c r="G30" s="109" t="s">
        <v>73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/>
      <c r="C31" s="90" t="s">
        <v>75</v>
      </c>
      <c r="D31" s="64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/>
      <c r="C33" s="103" t="s">
        <v>46</v>
      </c>
      <c r="D33" s="118"/>
      <c r="E33" s="83" t="s">
        <v>82</v>
      </c>
      <c r="F33" s="119"/>
      <c r="G33" s="120"/>
      <c r="H33" s="121" t="s">
        <v>83</v>
      </c>
      <c r="I33" s="68">
        <v>1.0</v>
      </c>
      <c r="J33" s="122"/>
    </row>
    <row r="34" ht="21.0" customHeight="1">
      <c r="A34" s="123" t="s">
        <v>84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85</v>
      </c>
      <c r="B35" s="127"/>
      <c r="C35" s="128"/>
      <c r="D35" s="129" t="s">
        <v>86</v>
      </c>
      <c r="E35" s="130"/>
      <c r="F35" s="131" t="s">
        <v>87</v>
      </c>
      <c r="G35" s="127"/>
      <c r="H35" s="132"/>
      <c r="I35" s="87" t="s">
        <v>88</v>
      </c>
      <c r="J35" s="114"/>
    </row>
    <row r="36" ht="15.75" customHeight="1">
      <c r="A36" s="133" t="s">
        <v>89</v>
      </c>
      <c r="C36" s="134"/>
      <c r="D36" s="135" t="s">
        <v>90</v>
      </c>
      <c r="E36" s="136"/>
      <c r="F36" s="137" t="s">
        <v>91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92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93</v>
      </c>
      <c r="B38" s="146" t="s">
        <v>94</v>
      </c>
      <c r="C38" s="129" t="s">
        <v>95</v>
      </c>
      <c r="D38" s="128">
        <v>44217.0</v>
      </c>
      <c r="E38" s="147"/>
      <c r="F38" s="148" t="s">
        <v>96</v>
      </c>
      <c r="G38" s="127"/>
      <c r="H38" s="146" t="s">
        <v>72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72</v>
      </c>
      <c r="C39" s="152" t="s">
        <v>95</v>
      </c>
      <c r="D39" s="153"/>
      <c r="E39" s="154"/>
      <c r="F39" s="155" t="s">
        <v>100</v>
      </c>
      <c r="G39" s="156"/>
      <c r="H39" s="157"/>
      <c r="I39" s="158"/>
      <c r="J39" s="159"/>
    </row>
    <row r="40" ht="18.0" customHeight="1">
      <c r="A40" s="160" t="s">
        <v>101</v>
      </c>
      <c r="B40" s="161" t="s">
        <v>102</v>
      </c>
      <c r="C40" s="161" t="s">
        <v>103</v>
      </c>
      <c r="D40" s="161" t="s">
        <v>104</v>
      </c>
      <c r="E40" s="161" t="s">
        <v>105</v>
      </c>
      <c r="F40" s="161" t="s">
        <v>106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107</v>
      </c>
      <c r="B42" s="167" t="s">
        <v>108</v>
      </c>
      <c r="C42" s="167" t="s">
        <v>109</v>
      </c>
      <c r="D42" s="167" t="s">
        <v>110</v>
      </c>
      <c r="E42" s="168" t="s">
        <v>106</v>
      </c>
      <c r="F42" s="167" t="s">
        <v>111</v>
      </c>
      <c r="G42" s="169" t="s">
        <v>112</v>
      </c>
      <c r="H42" s="169" t="s">
        <v>113</v>
      </c>
      <c r="I42" s="170" t="s">
        <v>114</v>
      </c>
      <c r="J42" s="171" t="s">
        <v>115</v>
      </c>
    </row>
    <row r="43" ht="15.75" customHeight="1">
      <c r="A43" s="172" t="s">
        <v>116</v>
      </c>
      <c r="B43" s="173">
        <f>+Monitoreo!F65</f>
        <v>10</v>
      </c>
      <c r="C43" s="173">
        <f>+Monitoreo!C65</f>
        <v>7</v>
      </c>
      <c r="D43" s="173">
        <f>+Monitoreo!I65</f>
        <v>6</v>
      </c>
      <c r="E43" s="173">
        <f>+Monitoreo!P69</f>
        <v>6</v>
      </c>
      <c r="F43" s="173">
        <f>+Monitoreo!M65</f>
        <v>1</v>
      </c>
      <c r="G43" s="173">
        <f>+Monitoreo!M69</f>
        <v>0</v>
      </c>
      <c r="H43" s="174">
        <f>IFS(B22="","",B30=B22,"1",B30&gt;0,B30-B22,C35&gt;0,C35-B22,D38&gt;0,D38-B22,B22&gt;0,TODAY()-B22)</f>
        <v>15</v>
      </c>
      <c r="I43" s="175">
        <f>IFS(H22="","",H22=J22,"1",J22&gt;0,J22-H22,H22&gt;0,TODAY()-H22)</f>
        <v>15</v>
      </c>
      <c r="J43" s="176">
        <f>IFS(G4="","",G4=D38,"1",D38&gt;0,D38-G4,G4&gt;0,TODAY()-G4)</f>
        <v>17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56"/>
      <c r="K1" s="182"/>
      <c r="L1" s="182"/>
      <c r="M1" s="182"/>
      <c r="N1" s="182"/>
      <c r="O1" s="182"/>
      <c r="P1" s="182"/>
      <c r="Q1" s="182"/>
      <c r="R1" s="182"/>
      <c r="AB1" s="183"/>
      <c r="AC1" s="183"/>
      <c r="AD1" s="183"/>
      <c r="AE1" s="183"/>
    </row>
    <row r="2">
      <c r="A2" s="184" t="s">
        <v>117</v>
      </c>
      <c r="B2" s="185"/>
      <c r="C2" s="186"/>
      <c r="D2" s="186"/>
      <c r="E2" s="186" t="s">
        <v>0</v>
      </c>
      <c r="G2" s="181"/>
      <c r="H2" s="187" t="s">
        <v>118</v>
      </c>
      <c r="I2" s="188"/>
      <c r="J2" s="189">
        <f>+General!D6</f>
        <v>58.786</v>
      </c>
      <c r="K2" s="182"/>
      <c r="L2" s="182"/>
      <c r="M2" s="182"/>
      <c r="N2" s="182"/>
      <c r="O2" s="182"/>
      <c r="P2" s="182"/>
      <c r="Q2" s="182"/>
      <c r="R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56"/>
      <c r="K3" s="182"/>
      <c r="L3" s="182"/>
      <c r="M3" s="182"/>
      <c r="N3" s="182"/>
      <c r="O3" s="182"/>
      <c r="P3" s="182"/>
      <c r="Q3" s="182"/>
      <c r="R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119</v>
      </c>
      <c r="B5" s="193" t="s">
        <v>95</v>
      </c>
      <c r="C5" s="194">
        <v>44200.0</v>
      </c>
      <c r="D5" s="194">
        <v>44201.0</v>
      </c>
      <c r="E5" s="194">
        <v>44202.0</v>
      </c>
      <c r="F5" s="194">
        <v>44203.0</v>
      </c>
      <c r="G5" s="194">
        <v>44204.0</v>
      </c>
      <c r="H5" s="194">
        <v>44539.0</v>
      </c>
      <c r="I5" s="195">
        <v>44206.0</v>
      </c>
      <c r="J5" s="194">
        <v>44207.0</v>
      </c>
      <c r="K5" s="194">
        <v>44208.0</v>
      </c>
      <c r="L5" s="194">
        <v>44209.0</v>
      </c>
      <c r="M5" s="194">
        <v>44210.0</v>
      </c>
      <c r="N5" s="194">
        <v>44211.0</v>
      </c>
      <c r="O5" s="194">
        <v>44212.0</v>
      </c>
      <c r="P5" s="195">
        <v>44213.0</v>
      </c>
      <c r="Q5" s="194">
        <v>44214.0</v>
      </c>
      <c r="R5" s="194">
        <v>44215.0</v>
      </c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120</v>
      </c>
      <c r="C6" s="204"/>
      <c r="D6" s="205"/>
      <c r="E6" s="206"/>
      <c r="F6" s="207"/>
      <c r="G6" s="208"/>
      <c r="H6" s="209"/>
      <c r="I6" s="210"/>
      <c r="J6" s="211"/>
      <c r="K6" s="212"/>
      <c r="L6" s="213">
        <v>78.0</v>
      </c>
      <c r="M6" s="214">
        <v>69.0</v>
      </c>
      <c r="N6" s="215">
        <v>89.0</v>
      </c>
      <c r="O6" s="216">
        <v>71.0</v>
      </c>
      <c r="P6" s="217">
        <v>79.0</v>
      </c>
      <c r="Q6" s="206"/>
      <c r="R6" s="218">
        <v>77.0</v>
      </c>
      <c r="S6" s="219"/>
      <c r="T6" s="220"/>
      <c r="U6" s="221"/>
      <c r="V6" s="222"/>
      <c r="W6" s="219"/>
      <c r="X6" s="220"/>
      <c r="Y6" s="221"/>
      <c r="Z6" s="220"/>
      <c r="AA6" s="221"/>
      <c r="AB6" s="223"/>
      <c r="AC6" s="224"/>
      <c r="AD6" s="225"/>
      <c r="AE6" s="201"/>
    </row>
    <row r="7">
      <c r="A7" s="202"/>
      <c r="B7" s="226" t="s">
        <v>121</v>
      </c>
      <c r="C7" s="227"/>
      <c r="D7" s="228"/>
      <c r="E7" s="229"/>
      <c r="F7" s="230"/>
      <c r="G7" s="231"/>
      <c r="H7" s="232"/>
      <c r="I7" s="233"/>
      <c r="J7" s="234"/>
      <c r="K7" s="235"/>
      <c r="L7" s="236">
        <v>148.0</v>
      </c>
      <c r="M7" s="237">
        <v>145.0</v>
      </c>
      <c r="N7" s="238">
        <v>150.0</v>
      </c>
      <c r="O7" s="239">
        <v>128.0</v>
      </c>
      <c r="P7" s="240">
        <v>147.0</v>
      </c>
      <c r="Q7" s="229"/>
      <c r="R7" s="238">
        <v>104.0</v>
      </c>
      <c r="S7" s="241"/>
      <c r="T7" s="242"/>
      <c r="U7" s="243"/>
      <c r="V7" s="244"/>
      <c r="W7" s="241"/>
      <c r="X7" s="242"/>
      <c r="Y7" s="243"/>
      <c r="Z7" s="242"/>
      <c r="AA7" s="243"/>
      <c r="AB7" s="245"/>
      <c r="AC7" s="246"/>
      <c r="AD7" s="247"/>
      <c r="AE7" s="201"/>
    </row>
    <row r="8">
      <c r="A8" s="202"/>
      <c r="B8" s="226" t="s">
        <v>122</v>
      </c>
      <c r="C8" s="227"/>
      <c r="D8" s="248"/>
      <c r="E8" s="249"/>
      <c r="F8" s="230"/>
      <c r="G8" s="231"/>
      <c r="H8" s="232"/>
      <c r="I8" s="250"/>
      <c r="J8" s="251"/>
      <c r="K8" s="231"/>
      <c r="L8" s="252">
        <v>66.0</v>
      </c>
      <c r="M8" s="237">
        <v>64.0</v>
      </c>
      <c r="N8" s="238">
        <v>75.0</v>
      </c>
      <c r="O8" s="253">
        <v>47.0</v>
      </c>
      <c r="P8" s="240">
        <v>60.0</v>
      </c>
      <c r="Q8" s="229"/>
      <c r="R8" s="254">
        <v>44.0</v>
      </c>
      <c r="S8" s="241"/>
      <c r="T8" s="242"/>
      <c r="U8" s="243"/>
      <c r="V8" s="244"/>
      <c r="W8" s="241"/>
      <c r="X8" s="242"/>
      <c r="Y8" s="243"/>
      <c r="Z8" s="242"/>
      <c r="AA8" s="243"/>
      <c r="AB8" s="245"/>
      <c r="AC8" s="246"/>
      <c r="AD8" s="247"/>
      <c r="AE8" s="201"/>
    </row>
    <row r="9">
      <c r="A9" s="202"/>
      <c r="B9" s="255" t="s">
        <v>123</v>
      </c>
      <c r="C9" s="227"/>
      <c r="D9" s="248"/>
      <c r="E9" s="249"/>
      <c r="F9" s="230"/>
      <c r="G9" s="231"/>
      <c r="H9" s="232"/>
      <c r="I9" s="250"/>
      <c r="J9" s="251"/>
      <c r="K9" s="231"/>
      <c r="L9" s="248"/>
      <c r="M9" s="237">
        <v>36.5</v>
      </c>
      <c r="N9" s="238">
        <v>36.8</v>
      </c>
      <c r="O9" s="231"/>
      <c r="P9" s="256"/>
      <c r="Q9" s="229"/>
      <c r="R9" s="234"/>
      <c r="S9" s="241"/>
      <c r="T9" s="242"/>
      <c r="U9" s="243"/>
      <c r="V9" s="244"/>
      <c r="W9" s="241"/>
      <c r="X9" s="242"/>
      <c r="Y9" s="243"/>
      <c r="Z9" s="242"/>
      <c r="AA9" s="243"/>
      <c r="AB9" s="245"/>
      <c r="AC9" s="246"/>
      <c r="AD9" s="247"/>
      <c r="AE9" s="201"/>
    </row>
    <row r="10">
      <c r="A10" s="202"/>
      <c r="B10" s="255" t="s">
        <v>124</v>
      </c>
      <c r="C10" s="227"/>
      <c r="D10" s="228"/>
      <c r="E10" s="229"/>
      <c r="F10" s="230"/>
      <c r="G10" s="231"/>
      <c r="H10" s="232"/>
      <c r="I10" s="257">
        <v>96.0</v>
      </c>
      <c r="J10" s="254">
        <v>98.8</v>
      </c>
      <c r="K10" s="239">
        <v>96.0</v>
      </c>
      <c r="L10" s="236">
        <v>95.0</v>
      </c>
      <c r="M10" s="237">
        <v>97.0</v>
      </c>
      <c r="N10" s="238">
        <v>94.0</v>
      </c>
      <c r="O10" s="239">
        <v>95.0</v>
      </c>
      <c r="P10" s="240">
        <v>96.0</v>
      </c>
      <c r="Q10" s="237">
        <v>92.0</v>
      </c>
      <c r="R10" s="254">
        <v>96.0</v>
      </c>
      <c r="S10" s="241"/>
      <c r="T10" s="242"/>
      <c r="U10" s="243"/>
      <c r="V10" s="244"/>
      <c r="W10" s="241"/>
      <c r="X10" s="242"/>
      <c r="Y10" s="243"/>
      <c r="Z10" s="242"/>
      <c r="AA10" s="243"/>
      <c r="AB10" s="245"/>
      <c r="AC10" s="246"/>
      <c r="AD10" s="247"/>
      <c r="AE10" s="201"/>
    </row>
    <row r="11">
      <c r="A11" s="202"/>
      <c r="B11" s="258" t="s">
        <v>125</v>
      </c>
      <c r="C11" s="237"/>
      <c r="D11" s="236">
        <v>97.0</v>
      </c>
      <c r="E11" s="237">
        <v>98.0</v>
      </c>
      <c r="F11" s="238">
        <v>94.0</v>
      </c>
      <c r="G11" s="253">
        <v>95.0</v>
      </c>
      <c r="H11" s="259">
        <v>98.0</v>
      </c>
      <c r="I11" s="257">
        <v>1.0</v>
      </c>
      <c r="J11" s="234"/>
      <c r="K11" s="239">
        <v>0.0</v>
      </c>
      <c r="L11" s="236">
        <v>0.0</v>
      </c>
      <c r="M11" s="237">
        <v>0.0</v>
      </c>
      <c r="N11" s="230"/>
      <c r="O11" s="239">
        <v>0.0</v>
      </c>
      <c r="P11" s="240">
        <v>0.0</v>
      </c>
      <c r="Q11" s="237">
        <v>0.0</v>
      </c>
      <c r="R11" s="254">
        <v>0.0</v>
      </c>
      <c r="S11" s="241"/>
      <c r="T11" s="242"/>
      <c r="U11" s="243"/>
      <c r="V11" s="244"/>
      <c r="W11" s="241"/>
      <c r="X11" s="242"/>
      <c r="Y11" s="243"/>
      <c r="Z11" s="242"/>
      <c r="AA11" s="243"/>
      <c r="AB11" s="245"/>
      <c r="AC11" s="246"/>
      <c r="AD11" s="247"/>
      <c r="AE11" s="201"/>
    </row>
    <row r="12">
      <c r="A12" s="202"/>
      <c r="B12" s="260"/>
      <c r="C12" s="237" t="s">
        <v>126</v>
      </c>
      <c r="D12" s="239" t="s">
        <v>126</v>
      </c>
      <c r="E12" s="237" t="s">
        <v>126</v>
      </c>
      <c r="F12" s="239" t="s">
        <v>126</v>
      </c>
      <c r="G12" s="237" t="s">
        <v>126</v>
      </c>
      <c r="H12" s="239" t="s">
        <v>126</v>
      </c>
      <c r="I12" s="257" t="s">
        <v>126</v>
      </c>
      <c r="J12" s="239" t="s">
        <v>126</v>
      </c>
      <c r="K12" s="237" t="s">
        <v>126</v>
      </c>
      <c r="L12" s="239" t="s">
        <v>126</v>
      </c>
      <c r="M12" s="237"/>
      <c r="N12" s="239"/>
      <c r="O12" s="237"/>
      <c r="P12" s="261"/>
      <c r="Q12" s="237"/>
      <c r="R12" s="239"/>
      <c r="S12" s="237"/>
      <c r="T12" s="239"/>
      <c r="U12" s="237"/>
      <c r="V12" s="239"/>
      <c r="W12" s="237"/>
      <c r="X12" s="239"/>
      <c r="Y12" s="237"/>
      <c r="Z12" s="239"/>
      <c r="AA12" s="237"/>
      <c r="AB12" s="239"/>
      <c r="AC12" s="237"/>
      <c r="AD12" s="261"/>
      <c r="AE12" s="201"/>
    </row>
    <row r="13">
      <c r="A13" s="202"/>
      <c r="B13" s="258" t="s">
        <v>127</v>
      </c>
      <c r="C13" s="237">
        <v>-5.0</v>
      </c>
      <c r="D13" s="236">
        <v>-3.0</v>
      </c>
      <c r="E13" s="237">
        <v>-5.0</v>
      </c>
      <c r="F13" s="254">
        <v>-5.0</v>
      </c>
      <c r="G13" s="239">
        <v>-5.0</v>
      </c>
      <c r="H13" s="236">
        <v>-5.0</v>
      </c>
      <c r="I13" s="257">
        <v>-5.0</v>
      </c>
      <c r="J13" s="234"/>
      <c r="K13" s="239">
        <v>-1.0</v>
      </c>
      <c r="L13" s="236">
        <v>-2.0</v>
      </c>
      <c r="M13" s="237">
        <v>-2.0</v>
      </c>
      <c r="N13" s="254">
        <v>0.0</v>
      </c>
      <c r="O13" s="239">
        <v>0.0</v>
      </c>
      <c r="P13" s="240">
        <v>0.0</v>
      </c>
      <c r="Q13" s="237">
        <v>0.0</v>
      </c>
      <c r="R13" s="254">
        <v>0.0</v>
      </c>
      <c r="S13" s="241"/>
      <c r="T13" s="242"/>
      <c r="U13" s="243"/>
      <c r="V13" s="244"/>
      <c r="W13" s="241"/>
      <c r="X13" s="242"/>
      <c r="Y13" s="243"/>
      <c r="Z13" s="242"/>
      <c r="AA13" s="243"/>
      <c r="AB13" s="245"/>
      <c r="AC13" s="246"/>
      <c r="AD13" s="247"/>
      <c r="AE13" s="201"/>
    </row>
    <row r="14">
      <c r="A14" s="202"/>
      <c r="B14" s="260"/>
      <c r="C14" s="237" t="s">
        <v>128</v>
      </c>
      <c r="D14" s="239" t="s">
        <v>128</v>
      </c>
      <c r="E14" s="237" t="s">
        <v>128</v>
      </c>
      <c r="F14" s="239" t="s">
        <v>128</v>
      </c>
      <c r="G14" s="237" t="s">
        <v>128</v>
      </c>
      <c r="H14" s="239" t="s">
        <v>128</v>
      </c>
      <c r="I14" s="257" t="s">
        <v>128</v>
      </c>
      <c r="J14" s="239"/>
      <c r="K14" s="237"/>
      <c r="L14" s="239"/>
      <c r="M14" s="237"/>
      <c r="N14" s="239"/>
      <c r="O14" s="237"/>
      <c r="P14" s="261"/>
      <c r="Q14" s="237"/>
      <c r="R14" s="239"/>
      <c r="S14" s="237"/>
      <c r="T14" s="239"/>
      <c r="U14" s="237"/>
      <c r="V14" s="239"/>
      <c r="W14" s="237"/>
      <c r="X14" s="239"/>
      <c r="Y14" s="237"/>
      <c r="Z14" s="239"/>
      <c r="AA14" s="237"/>
      <c r="AB14" s="239"/>
      <c r="AC14" s="237"/>
      <c r="AD14" s="262"/>
      <c r="AE14" s="201"/>
    </row>
    <row r="15">
      <c r="A15" s="202"/>
      <c r="B15" s="263" t="s">
        <v>129</v>
      </c>
      <c r="C15" s="237"/>
      <c r="D15" s="239" t="s">
        <v>130</v>
      </c>
      <c r="E15" s="237" t="s">
        <v>130</v>
      </c>
      <c r="F15" s="239" t="s">
        <v>130</v>
      </c>
      <c r="G15" s="237" t="s">
        <v>130</v>
      </c>
      <c r="H15" s="239" t="s">
        <v>130</v>
      </c>
      <c r="I15" s="257" t="s">
        <v>130</v>
      </c>
      <c r="J15" s="239" t="s">
        <v>130</v>
      </c>
      <c r="K15" s="237" t="s">
        <v>130</v>
      </c>
      <c r="L15" s="239" t="s">
        <v>130</v>
      </c>
      <c r="M15" s="237" t="s">
        <v>131</v>
      </c>
      <c r="N15" s="264"/>
      <c r="O15" s="237" t="s">
        <v>132</v>
      </c>
      <c r="P15" s="261" t="s">
        <v>132</v>
      </c>
      <c r="Q15" s="237" t="s">
        <v>132</v>
      </c>
      <c r="R15" s="239" t="s">
        <v>132</v>
      </c>
      <c r="S15" s="265"/>
      <c r="T15" s="264"/>
      <c r="U15" s="265"/>
      <c r="V15" s="264"/>
      <c r="W15" s="265"/>
      <c r="X15" s="264"/>
      <c r="Y15" s="265"/>
      <c r="Z15" s="266"/>
      <c r="AA15" s="265"/>
      <c r="AB15" s="267"/>
      <c r="AC15" s="264"/>
      <c r="AD15" s="268"/>
      <c r="AE15" s="201"/>
    </row>
    <row r="16">
      <c r="A16" s="202"/>
      <c r="C16" s="237"/>
      <c r="D16" s="264"/>
      <c r="E16" s="237"/>
      <c r="F16" s="264"/>
      <c r="G16" s="237"/>
      <c r="H16" s="264"/>
      <c r="I16" s="269"/>
      <c r="J16" s="264"/>
      <c r="K16" s="265"/>
      <c r="L16" s="264"/>
      <c r="M16" s="265"/>
      <c r="N16" s="264"/>
      <c r="O16" s="265"/>
      <c r="P16" s="270"/>
      <c r="Q16" s="265"/>
      <c r="R16" s="264"/>
      <c r="S16" s="265"/>
      <c r="T16" s="264"/>
      <c r="U16" s="265"/>
      <c r="V16" s="264"/>
      <c r="W16" s="265"/>
      <c r="X16" s="264"/>
      <c r="Y16" s="265"/>
      <c r="Z16" s="264"/>
      <c r="AA16" s="265"/>
      <c r="AB16" s="264"/>
      <c r="AC16" s="265"/>
      <c r="AD16" s="271"/>
      <c r="AE16" s="201"/>
    </row>
    <row r="17" ht="15.75" customHeight="1">
      <c r="A17" s="202"/>
      <c r="B17" s="272" t="s">
        <v>133</v>
      </c>
      <c r="C17" s="237"/>
      <c r="D17" s="236"/>
      <c r="E17" s="237"/>
      <c r="F17" s="234"/>
      <c r="G17" s="239"/>
      <c r="H17" s="228"/>
      <c r="I17" s="233"/>
      <c r="J17" s="254"/>
      <c r="K17" s="239"/>
      <c r="L17" s="228"/>
      <c r="M17" s="229"/>
      <c r="N17" s="234"/>
      <c r="O17" s="235"/>
      <c r="P17" s="256"/>
      <c r="Q17" s="229"/>
      <c r="R17" s="234"/>
      <c r="S17" s="241"/>
      <c r="T17" s="242"/>
      <c r="U17" s="243"/>
      <c r="V17" s="244"/>
      <c r="W17" s="241"/>
      <c r="X17" s="242"/>
      <c r="Y17" s="243"/>
      <c r="Z17" s="242"/>
      <c r="AA17" s="243"/>
      <c r="AB17" s="245"/>
      <c r="AC17" s="246"/>
      <c r="AD17" s="247"/>
      <c r="AE17" s="201"/>
    </row>
    <row r="18">
      <c r="A18" s="202"/>
      <c r="B18" s="273"/>
      <c r="C18" s="237" t="s">
        <v>134</v>
      </c>
      <c r="D18" s="239" t="s">
        <v>134</v>
      </c>
      <c r="E18" s="237" t="s">
        <v>134</v>
      </c>
      <c r="F18" s="274" t="s">
        <v>134</v>
      </c>
      <c r="G18" s="237" t="s">
        <v>134</v>
      </c>
      <c r="H18" s="274" t="s">
        <v>134</v>
      </c>
      <c r="I18" s="257"/>
      <c r="J18" s="274"/>
      <c r="K18" s="237"/>
      <c r="L18" s="274"/>
      <c r="M18" s="237"/>
      <c r="N18" s="274"/>
      <c r="O18" s="237"/>
      <c r="P18" s="262"/>
      <c r="Q18" s="237"/>
      <c r="R18" s="274"/>
      <c r="S18" s="237"/>
      <c r="T18" s="274"/>
      <c r="U18" s="237"/>
      <c r="V18" s="274"/>
      <c r="W18" s="237"/>
      <c r="X18" s="274"/>
      <c r="Y18" s="237"/>
      <c r="Z18" s="274"/>
      <c r="AA18" s="237"/>
      <c r="AB18" s="274"/>
      <c r="AC18" s="237"/>
      <c r="AD18" s="262"/>
      <c r="AE18" s="201"/>
    </row>
    <row r="19">
      <c r="A19" s="275"/>
      <c r="B19" s="276" t="s">
        <v>110</v>
      </c>
      <c r="C19" s="277"/>
      <c r="D19" s="278"/>
      <c r="E19" s="277"/>
      <c r="F19" s="278" t="s">
        <v>135</v>
      </c>
      <c r="G19" s="277" t="s">
        <v>135</v>
      </c>
      <c r="H19" s="278" t="s">
        <v>136</v>
      </c>
      <c r="I19" s="279" t="s">
        <v>136</v>
      </c>
      <c r="J19" s="278" t="s">
        <v>136</v>
      </c>
      <c r="K19" s="277" t="s">
        <v>136</v>
      </c>
      <c r="L19" s="278"/>
      <c r="M19" s="277"/>
      <c r="N19" s="278"/>
      <c r="O19" s="277"/>
      <c r="P19" s="280"/>
      <c r="Q19" s="277"/>
      <c r="R19" s="278"/>
      <c r="S19" s="277"/>
      <c r="T19" s="278"/>
      <c r="U19" s="277"/>
      <c r="V19" s="278"/>
      <c r="W19" s="277"/>
      <c r="X19" s="278"/>
      <c r="Y19" s="277"/>
      <c r="Z19" s="278"/>
      <c r="AA19" s="277"/>
      <c r="AB19" s="278"/>
      <c r="AC19" s="277"/>
      <c r="AD19" s="280"/>
      <c r="AE19" s="201"/>
    </row>
    <row r="20">
      <c r="A20" s="281" t="s">
        <v>137</v>
      </c>
      <c r="B20" s="282" t="s">
        <v>138</v>
      </c>
      <c r="C20" s="214">
        <v>7.4</v>
      </c>
      <c r="D20" s="283">
        <v>7.32</v>
      </c>
      <c r="E20" s="214">
        <v>7.39</v>
      </c>
      <c r="F20" s="284">
        <v>7.34</v>
      </c>
      <c r="G20" s="285">
        <v>7.32</v>
      </c>
      <c r="H20" s="286">
        <v>7.4</v>
      </c>
      <c r="I20" s="287">
        <v>7.42</v>
      </c>
      <c r="J20" s="284">
        <v>7.39</v>
      </c>
      <c r="K20" s="285">
        <v>7.44</v>
      </c>
      <c r="L20" s="286">
        <v>7.44</v>
      </c>
      <c r="M20" s="288">
        <v>7.49</v>
      </c>
      <c r="N20" s="284">
        <v>7.5</v>
      </c>
      <c r="O20" s="285">
        <v>7.46</v>
      </c>
      <c r="P20" s="217">
        <v>7.43</v>
      </c>
      <c r="Q20" s="206"/>
      <c r="R20" s="218">
        <v>7.38</v>
      </c>
      <c r="S20" s="219"/>
      <c r="T20" s="220"/>
      <c r="U20" s="221"/>
      <c r="V20" s="222"/>
      <c r="W20" s="219"/>
      <c r="X20" s="220"/>
      <c r="Y20" s="221"/>
      <c r="Z20" s="222"/>
      <c r="AA20" s="289"/>
      <c r="AB20" s="290"/>
      <c r="AC20" s="291"/>
      <c r="AD20" s="292"/>
      <c r="AE20" s="201"/>
    </row>
    <row r="21">
      <c r="A21" s="293"/>
      <c r="B21" s="294" t="s">
        <v>139</v>
      </c>
      <c r="C21" s="237">
        <v>38.3</v>
      </c>
      <c r="D21" s="252">
        <v>45.6</v>
      </c>
      <c r="E21" s="237">
        <v>43.3</v>
      </c>
      <c r="F21" s="116">
        <v>39.1</v>
      </c>
      <c r="G21" s="295">
        <v>51.7</v>
      </c>
      <c r="H21" s="296">
        <v>44.6</v>
      </c>
      <c r="I21" s="297">
        <v>42.6</v>
      </c>
      <c r="J21" s="116">
        <v>52.4</v>
      </c>
      <c r="K21" s="295">
        <v>46.5</v>
      </c>
      <c r="L21" s="296">
        <v>44.6</v>
      </c>
      <c r="M21" s="298">
        <v>39.7</v>
      </c>
      <c r="N21" s="116">
        <v>35.7</v>
      </c>
      <c r="O21" s="295">
        <v>40.8</v>
      </c>
      <c r="P21" s="240">
        <v>41.0</v>
      </c>
      <c r="Q21" s="229"/>
      <c r="R21" s="254">
        <v>36.3</v>
      </c>
      <c r="S21" s="241"/>
      <c r="T21" s="242"/>
      <c r="U21" s="243"/>
      <c r="V21" s="244"/>
      <c r="W21" s="241"/>
      <c r="X21" s="242"/>
      <c r="Y21" s="243"/>
      <c r="Z21" s="244"/>
      <c r="AA21" s="299"/>
      <c r="AB21" s="245"/>
      <c r="AC21" s="300"/>
      <c r="AD21" s="247"/>
      <c r="AE21" s="201"/>
    </row>
    <row r="22" ht="15.75" customHeight="1">
      <c r="A22" s="293"/>
      <c r="B22" s="294" t="s">
        <v>140</v>
      </c>
      <c r="C22" s="237">
        <v>75.5</v>
      </c>
      <c r="D22" s="252">
        <v>96.8</v>
      </c>
      <c r="E22" s="237">
        <v>115.0</v>
      </c>
      <c r="F22" s="116">
        <v>117.4</v>
      </c>
      <c r="G22" s="295">
        <v>109.1</v>
      </c>
      <c r="H22" s="296">
        <v>65.4</v>
      </c>
      <c r="I22" s="297">
        <v>101.0</v>
      </c>
      <c r="J22" s="116">
        <v>83.2</v>
      </c>
      <c r="K22" s="295">
        <v>116.8</v>
      </c>
      <c r="L22" s="296">
        <v>119.2</v>
      </c>
      <c r="M22" s="298">
        <v>73.4</v>
      </c>
      <c r="N22" s="116">
        <v>109.4</v>
      </c>
      <c r="O22" s="295">
        <v>83.9</v>
      </c>
      <c r="P22" s="240">
        <v>82.9</v>
      </c>
      <c r="Q22" s="229"/>
      <c r="R22" s="254">
        <v>88.0</v>
      </c>
      <c r="S22" s="241"/>
      <c r="T22" s="242"/>
      <c r="U22" s="243"/>
      <c r="V22" s="244"/>
      <c r="W22" s="241"/>
      <c r="X22" s="242"/>
      <c r="Y22" s="243"/>
      <c r="Z22" s="244"/>
      <c r="AA22" s="299"/>
      <c r="AB22" s="245"/>
      <c r="AC22" s="300"/>
      <c r="AD22" s="247"/>
      <c r="AE22" s="201"/>
    </row>
    <row r="23" ht="15.75" customHeight="1">
      <c r="A23" s="293"/>
      <c r="B23" s="294" t="s">
        <v>141</v>
      </c>
      <c r="C23" s="237">
        <v>23.3</v>
      </c>
      <c r="D23" s="252">
        <v>23.1</v>
      </c>
      <c r="E23" s="237">
        <v>24.9</v>
      </c>
      <c r="F23" s="116">
        <v>21.0</v>
      </c>
      <c r="G23" s="295">
        <v>26.1</v>
      </c>
      <c r="H23" s="296">
        <v>27.0</v>
      </c>
      <c r="I23" s="297">
        <v>26.0</v>
      </c>
      <c r="J23" s="116">
        <v>31.5</v>
      </c>
      <c r="K23" s="295">
        <v>31.0</v>
      </c>
      <c r="L23" s="296">
        <v>20.1</v>
      </c>
      <c r="M23" s="298">
        <v>29.8</v>
      </c>
      <c r="N23" s="116">
        <v>27.5</v>
      </c>
      <c r="O23" s="295">
        <v>28.5</v>
      </c>
      <c r="P23" s="240">
        <v>27.0</v>
      </c>
      <c r="Q23" s="229"/>
      <c r="R23" s="254">
        <v>27.2</v>
      </c>
      <c r="S23" s="241"/>
      <c r="T23" s="242"/>
      <c r="U23" s="243"/>
      <c r="V23" s="244"/>
      <c r="W23" s="241"/>
      <c r="X23" s="242"/>
      <c r="Y23" s="243"/>
      <c r="Z23" s="244"/>
      <c r="AA23" s="299"/>
      <c r="AB23" s="245"/>
      <c r="AC23" s="300"/>
      <c r="AD23" s="247"/>
      <c r="AE23" s="201"/>
    </row>
    <row r="24" ht="15.75" customHeight="1">
      <c r="A24" s="293"/>
      <c r="B24" s="294" t="s">
        <v>142</v>
      </c>
      <c r="C24" s="237">
        <v>-1.2</v>
      </c>
      <c r="D24" s="252">
        <v>-3.1</v>
      </c>
      <c r="E24" s="237">
        <v>-0.4</v>
      </c>
      <c r="F24" s="116">
        <v>-4.2</v>
      </c>
      <c r="G24" s="295">
        <v>-0.4</v>
      </c>
      <c r="H24" s="296">
        <v>1.8</v>
      </c>
      <c r="I24" s="297">
        <v>2.6</v>
      </c>
      <c r="J24" s="116">
        <v>5.8</v>
      </c>
      <c r="K24" s="295">
        <v>5.8</v>
      </c>
      <c r="L24" s="296">
        <v>5.4</v>
      </c>
      <c r="M24" s="298">
        <v>6.1</v>
      </c>
      <c r="N24" s="116">
        <v>4.2</v>
      </c>
      <c r="O24" s="295">
        <v>4.3</v>
      </c>
      <c r="P24" s="240">
        <v>2.8</v>
      </c>
      <c r="Q24" s="229"/>
      <c r="R24" s="254">
        <v>4.0</v>
      </c>
      <c r="S24" s="241"/>
      <c r="T24" s="242"/>
      <c r="U24" s="243"/>
      <c r="V24" s="244"/>
      <c r="W24" s="241"/>
      <c r="X24" s="242"/>
      <c r="Y24" s="243"/>
      <c r="Z24" s="244"/>
      <c r="AA24" s="299"/>
      <c r="AB24" s="245"/>
      <c r="AC24" s="300"/>
      <c r="AD24" s="247"/>
      <c r="AE24" s="201"/>
    </row>
    <row r="25" ht="15.75" customHeight="1">
      <c r="A25" s="293"/>
      <c r="B25" s="301" t="s">
        <v>143</v>
      </c>
      <c r="C25" s="237">
        <v>96.7</v>
      </c>
      <c r="D25" s="252">
        <v>96.7</v>
      </c>
      <c r="E25" s="237">
        <v>98.0</v>
      </c>
      <c r="F25" s="116">
        <v>98.2</v>
      </c>
      <c r="G25" s="295">
        <v>97.7</v>
      </c>
      <c r="H25" s="296">
        <v>92.6</v>
      </c>
      <c r="I25" s="297">
        <v>98.0</v>
      </c>
      <c r="J25" s="116">
        <v>98.8</v>
      </c>
      <c r="K25" s="295">
        <v>98.8</v>
      </c>
      <c r="L25" s="296">
        <v>98.9</v>
      </c>
      <c r="M25" s="298">
        <v>96.0</v>
      </c>
      <c r="N25" s="116">
        <v>98.0</v>
      </c>
      <c r="O25" s="295">
        <v>97.0</v>
      </c>
      <c r="P25" s="240">
        <v>96.6</v>
      </c>
      <c r="Q25" s="229"/>
      <c r="R25" s="254">
        <v>97.0</v>
      </c>
      <c r="S25" s="241"/>
      <c r="T25" s="242"/>
      <c r="U25" s="243"/>
      <c r="V25" s="244"/>
      <c r="W25" s="241"/>
      <c r="X25" s="242"/>
      <c r="Y25" s="243"/>
      <c r="Z25" s="244"/>
      <c r="AA25" s="299"/>
      <c r="AB25" s="245"/>
      <c r="AC25" s="300"/>
      <c r="AD25" s="247"/>
      <c r="AE25" s="201"/>
    </row>
    <row r="26" ht="15.75" customHeight="1">
      <c r="A26" s="293"/>
      <c r="B26" s="294" t="s">
        <v>144</v>
      </c>
      <c r="C26" s="243"/>
      <c r="D26" s="242"/>
      <c r="E26" s="243"/>
      <c r="F26" s="244"/>
      <c r="G26" s="241"/>
      <c r="H26" s="242"/>
      <c r="I26" s="302"/>
      <c r="J26" s="244"/>
      <c r="K26" s="295"/>
      <c r="L26" s="242"/>
      <c r="M26" s="243"/>
      <c r="N26" s="244"/>
      <c r="O26" s="241"/>
      <c r="P26" s="256"/>
      <c r="Q26" s="229"/>
      <c r="R26" s="234"/>
      <c r="S26" s="241"/>
      <c r="T26" s="242"/>
      <c r="U26" s="243"/>
      <c r="V26" s="244"/>
      <c r="W26" s="241"/>
      <c r="X26" s="242"/>
      <c r="Y26" s="243"/>
      <c r="Z26" s="244"/>
      <c r="AA26" s="299"/>
      <c r="AB26" s="245"/>
      <c r="AC26" s="300"/>
      <c r="AD26" s="247"/>
      <c r="AE26" s="201"/>
    </row>
    <row r="27" ht="15.75" customHeight="1">
      <c r="A27" s="293"/>
      <c r="B27" s="303" t="s">
        <v>145</v>
      </c>
      <c r="C27" s="304">
        <v>0.5</v>
      </c>
      <c r="D27" s="305">
        <v>0.5</v>
      </c>
      <c r="E27" s="304">
        <v>0.4</v>
      </c>
      <c r="F27" s="305">
        <v>0.6</v>
      </c>
      <c r="G27" s="304">
        <v>0.45</v>
      </c>
      <c r="H27" s="305">
        <v>0.4</v>
      </c>
      <c r="I27" s="306">
        <v>0.35</v>
      </c>
      <c r="J27" s="305">
        <v>0.35</v>
      </c>
      <c r="K27" s="304">
        <v>0.45</v>
      </c>
      <c r="L27" s="305">
        <v>0.4</v>
      </c>
      <c r="M27" s="304">
        <v>0.4</v>
      </c>
      <c r="N27" s="305">
        <v>0.35</v>
      </c>
      <c r="O27" s="304">
        <v>0.35</v>
      </c>
      <c r="P27" s="307">
        <v>0.3</v>
      </c>
      <c r="Q27" s="304">
        <v>0.3</v>
      </c>
      <c r="R27" s="305">
        <v>0.3</v>
      </c>
      <c r="S27" s="304"/>
      <c r="T27" s="305"/>
      <c r="U27" s="304"/>
      <c r="V27" s="305"/>
      <c r="W27" s="304"/>
      <c r="X27" s="305"/>
      <c r="Y27" s="304"/>
      <c r="Z27" s="305"/>
      <c r="AA27" s="304"/>
      <c r="AB27" s="305"/>
      <c r="AC27" s="304"/>
      <c r="AD27" s="307"/>
      <c r="AE27" s="308"/>
    </row>
    <row r="28" ht="15.75" customHeight="1">
      <c r="A28" s="309"/>
      <c r="B28" s="310" t="s">
        <v>146</v>
      </c>
      <c r="C28" s="311">
        <f t="shared" ref="C28:I28" si="1">IF(AND(C22&gt;0,C27&gt;0),C22/C27,"")</f>
        <v>151</v>
      </c>
      <c r="D28" s="312">
        <f t="shared" si="1"/>
        <v>193.6</v>
      </c>
      <c r="E28" s="311">
        <f t="shared" si="1"/>
        <v>287.5</v>
      </c>
      <c r="F28" s="313">
        <f t="shared" si="1"/>
        <v>195.6666667</v>
      </c>
      <c r="G28" s="314">
        <f t="shared" si="1"/>
        <v>242.4444444</v>
      </c>
      <c r="H28" s="312">
        <f t="shared" si="1"/>
        <v>163.5</v>
      </c>
      <c r="I28" s="311">
        <f t="shared" si="1"/>
        <v>288.5714286</v>
      </c>
      <c r="J28" s="315">
        <v>237.0</v>
      </c>
      <c r="K28" s="314">
        <f t="shared" ref="K28:AD28" si="2">IF(AND(K22&gt;0,K27&gt;0),K22/K27,"")</f>
        <v>259.5555556</v>
      </c>
      <c r="L28" s="312">
        <f t="shared" si="2"/>
        <v>298</v>
      </c>
      <c r="M28" s="311">
        <f t="shared" si="2"/>
        <v>183.5</v>
      </c>
      <c r="N28" s="313">
        <f t="shared" si="2"/>
        <v>312.5714286</v>
      </c>
      <c r="O28" s="314">
        <f t="shared" si="2"/>
        <v>239.7142857</v>
      </c>
      <c r="P28" s="312">
        <f t="shared" si="2"/>
        <v>276.3333333</v>
      </c>
      <c r="Q28" s="311" t="str">
        <f t="shared" si="2"/>
        <v/>
      </c>
      <c r="R28" s="313">
        <f t="shared" si="2"/>
        <v>293.3333333</v>
      </c>
      <c r="S28" s="314" t="str">
        <f t="shared" si="2"/>
        <v/>
      </c>
      <c r="T28" s="312" t="str">
        <f t="shared" si="2"/>
        <v/>
      </c>
      <c r="U28" s="311" t="str">
        <f t="shared" si="2"/>
        <v/>
      </c>
      <c r="V28" s="313" t="str">
        <f t="shared" si="2"/>
        <v/>
      </c>
      <c r="W28" s="314" t="str">
        <f t="shared" si="2"/>
        <v/>
      </c>
      <c r="X28" s="312" t="str">
        <f t="shared" si="2"/>
        <v/>
      </c>
      <c r="Y28" s="311" t="str">
        <f t="shared" si="2"/>
        <v/>
      </c>
      <c r="Z28" s="313" t="str">
        <f t="shared" si="2"/>
        <v/>
      </c>
      <c r="AA28" s="316" t="str">
        <f t="shared" si="2"/>
        <v/>
      </c>
      <c r="AB28" s="317" t="str">
        <f t="shared" si="2"/>
        <v/>
      </c>
      <c r="AC28" s="318" t="str">
        <f t="shared" si="2"/>
        <v/>
      </c>
      <c r="AD28" s="317" t="str">
        <f t="shared" si="2"/>
        <v/>
      </c>
      <c r="AE28" s="319"/>
    </row>
    <row r="29" ht="15.75" customHeight="1">
      <c r="A29" s="281" t="s">
        <v>147</v>
      </c>
      <c r="B29" s="282" t="s">
        <v>148</v>
      </c>
      <c r="C29" s="214" t="s">
        <v>149</v>
      </c>
      <c r="D29" s="216" t="s">
        <v>149</v>
      </c>
      <c r="E29" s="214" t="s">
        <v>149</v>
      </c>
      <c r="F29" s="216" t="s">
        <v>149</v>
      </c>
      <c r="G29" s="214" t="s">
        <v>149</v>
      </c>
      <c r="H29" s="216" t="s">
        <v>149</v>
      </c>
      <c r="I29" s="320" t="s">
        <v>149</v>
      </c>
      <c r="J29" s="216" t="s">
        <v>150</v>
      </c>
      <c r="K29" s="214" t="s">
        <v>150</v>
      </c>
      <c r="L29" s="216" t="s">
        <v>150</v>
      </c>
      <c r="M29" s="214" t="s">
        <v>151</v>
      </c>
      <c r="N29" s="216" t="s">
        <v>151</v>
      </c>
      <c r="O29" s="214" t="s">
        <v>150</v>
      </c>
      <c r="P29" s="321" t="s">
        <v>150</v>
      </c>
      <c r="Q29" s="214" t="s">
        <v>150</v>
      </c>
      <c r="R29" s="216" t="s">
        <v>150</v>
      </c>
      <c r="S29" s="322"/>
      <c r="T29" s="323"/>
      <c r="U29" s="322"/>
      <c r="V29" s="323"/>
      <c r="W29" s="322"/>
      <c r="X29" s="323"/>
      <c r="Y29" s="322"/>
      <c r="Z29" s="323"/>
      <c r="AA29" s="322"/>
      <c r="AB29" s="324"/>
      <c r="AC29" s="322"/>
      <c r="AD29" s="325"/>
      <c r="AE29" s="201"/>
    </row>
    <row r="30" ht="15.75" customHeight="1">
      <c r="A30" s="293"/>
      <c r="B30" s="294" t="s">
        <v>152</v>
      </c>
      <c r="C30" s="237">
        <v>350.0</v>
      </c>
      <c r="D30" s="236">
        <v>350.0</v>
      </c>
      <c r="E30" s="237">
        <v>350.0</v>
      </c>
      <c r="F30" s="238">
        <v>350.0</v>
      </c>
      <c r="G30" s="253">
        <v>330.0</v>
      </c>
      <c r="H30" s="252">
        <v>330.0</v>
      </c>
      <c r="I30" s="257">
        <v>300.0</v>
      </c>
      <c r="J30" s="254">
        <v>28.0</v>
      </c>
      <c r="K30" s="239">
        <v>26.0</v>
      </c>
      <c r="L30" s="236">
        <v>24.0</v>
      </c>
      <c r="M30" s="237">
        <v>5.0</v>
      </c>
      <c r="N30" s="238">
        <v>8.0</v>
      </c>
      <c r="O30" s="239">
        <v>22.0</v>
      </c>
      <c r="P30" s="240">
        <v>22.0</v>
      </c>
      <c r="Q30" s="237">
        <v>22.0</v>
      </c>
      <c r="R30" s="254">
        <v>22.0</v>
      </c>
      <c r="S30" s="241"/>
      <c r="T30" s="242"/>
      <c r="U30" s="243"/>
      <c r="V30" s="244"/>
      <c r="W30" s="241"/>
      <c r="X30" s="242"/>
      <c r="Y30" s="243"/>
      <c r="Z30" s="244"/>
      <c r="AA30" s="299"/>
      <c r="AB30" s="245"/>
      <c r="AC30" s="300"/>
      <c r="AD30" s="247"/>
      <c r="AE30" s="201"/>
    </row>
    <row r="31" ht="15.75" customHeight="1">
      <c r="A31" s="293"/>
      <c r="B31" s="294" t="s">
        <v>153</v>
      </c>
      <c r="C31" s="237">
        <v>22.0</v>
      </c>
      <c r="D31" s="236">
        <v>22.0</v>
      </c>
      <c r="E31" s="237">
        <v>22.0</v>
      </c>
      <c r="F31" s="238">
        <v>22.0</v>
      </c>
      <c r="G31" s="253">
        <v>25.0</v>
      </c>
      <c r="H31" s="252">
        <v>25.0</v>
      </c>
      <c r="I31" s="257">
        <v>22.0</v>
      </c>
      <c r="J31" s="254">
        <v>20.0</v>
      </c>
      <c r="K31" s="239">
        <v>14.0</v>
      </c>
      <c r="L31" s="236">
        <v>14.0</v>
      </c>
      <c r="M31" s="229"/>
      <c r="N31" s="230"/>
      <c r="O31" s="253">
        <v>14.0</v>
      </c>
      <c r="P31" s="240">
        <v>14.0</v>
      </c>
      <c r="Q31" s="237">
        <v>14.0</v>
      </c>
      <c r="R31" s="254">
        <v>14.0</v>
      </c>
      <c r="S31" s="241"/>
      <c r="T31" s="242"/>
      <c r="U31" s="243"/>
      <c r="V31" s="244"/>
      <c r="W31" s="241"/>
      <c r="X31" s="242"/>
      <c r="Y31" s="243"/>
      <c r="Z31" s="244"/>
      <c r="AA31" s="299"/>
      <c r="AB31" s="245"/>
      <c r="AC31" s="300"/>
      <c r="AD31" s="247"/>
      <c r="AE31" s="201"/>
    </row>
    <row r="32" ht="15.75" customHeight="1">
      <c r="A32" s="293"/>
      <c r="B32" s="294" t="s">
        <v>154</v>
      </c>
      <c r="C32" s="237">
        <v>12.0</v>
      </c>
      <c r="D32" s="236">
        <v>12.0</v>
      </c>
      <c r="E32" s="237">
        <v>12.0</v>
      </c>
      <c r="F32" s="238">
        <v>10.0</v>
      </c>
      <c r="G32" s="253">
        <v>12.0</v>
      </c>
      <c r="H32" s="252">
        <v>12.0</v>
      </c>
      <c r="I32" s="257">
        <v>12.0</v>
      </c>
      <c r="J32" s="254">
        <v>12.0</v>
      </c>
      <c r="K32" s="239">
        <v>10.0</v>
      </c>
      <c r="L32" s="236">
        <v>10.0</v>
      </c>
      <c r="M32" s="237">
        <v>8.0</v>
      </c>
      <c r="N32" s="238">
        <v>8.0</v>
      </c>
      <c r="O32" s="239">
        <v>8.0</v>
      </c>
      <c r="P32" s="240">
        <v>8.0</v>
      </c>
      <c r="Q32" s="237">
        <v>8.0</v>
      </c>
      <c r="R32" s="254">
        <v>8.0</v>
      </c>
      <c r="S32" s="241"/>
      <c r="T32" s="242"/>
      <c r="U32" s="243"/>
      <c r="V32" s="244"/>
      <c r="W32" s="241"/>
      <c r="X32" s="242"/>
      <c r="Y32" s="243"/>
      <c r="Z32" s="244"/>
      <c r="AA32" s="299"/>
      <c r="AB32" s="245"/>
      <c r="AC32" s="300"/>
      <c r="AD32" s="247"/>
      <c r="AE32" s="201"/>
    </row>
    <row r="33" ht="15.75" customHeight="1">
      <c r="A33" s="293"/>
      <c r="B33" s="294" t="s">
        <v>155</v>
      </c>
      <c r="C33" s="237">
        <v>0.5</v>
      </c>
      <c r="D33" s="236">
        <v>0.5</v>
      </c>
      <c r="E33" s="237">
        <v>0.4</v>
      </c>
      <c r="F33" s="238">
        <v>0.6</v>
      </c>
      <c r="G33" s="253">
        <v>0.6</v>
      </c>
      <c r="H33" s="252">
        <v>0.4</v>
      </c>
      <c r="I33" s="257">
        <v>0.35</v>
      </c>
      <c r="J33" s="254">
        <v>0.35</v>
      </c>
      <c r="K33" s="239">
        <v>0.45</v>
      </c>
      <c r="L33" s="236">
        <v>0.5</v>
      </c>
      <c r="M33" s="237">
        <v>0.35</v>
      </c>
      <c r="N33" s="238">
        <v>0.35</v>
      </c>
      <c r="O33" s="239">
        <v>0.35</v>
      </c>
      <c r="P33" s="240">
        <v>0.3</v>
      </c>
      <c r="Q33" s="237">
        <v>0.3</v>
      </c>
      <c r="R33" s="254">
        <v>0.3</v>
      </c>
      <c r="S33" s="241"/>
      <c r="T33" s="242"/>
      <c r="U33" s="243"/>
      <c r="V33" s="244"/>
      <c r="W33" s="241"/>
      <c r="X33" s="242"/>
      <c r="Y33" s="243"/>
      <c r="Z33" s="244"/>
      <c r="AA33" s="299"/>
      <c r="AB33" s="245"/>
      <c r="AC33" s="300"/>
      <c r="AD33" s="247"/>
      <c r="AE33" s="201"/>
    </row>
    <row r="34" ht="15.75" customHeight="1">
      <c r="A34" s="293"/>
      <c r="B34" s="326" t="s">
        <v>156</v>
      </c>
      <c r="C34" s="227">
        <v>0.85</v>
      </c>
      <c r="D34" s="252">
        <v>0.85</v>
      </c>
      <c r="E34" s="237">
        <v>0.85</v>
      </c>
      <c r="F34" s="238">
        <v>0.85</v>
      </c>
      <c r="G34" s="253">
        <v>0.85</v>
      </c>
      <c r="H34" s="252">
        <v>0.85</v>
      </c>
      <c r="I34" s="257">
        <v>0.8</v>
      </c>
      <c r="J34" s="327">
        <v>1.0</v>
      </c>
      <c r="K34" s="239">
        <v>1.1</v>
      </c>
      <c r="L34" s="236">
        <v>0.9</v>
      </c>
      <c r="M34" s="229"/>
      <c r="N34" s="230"/>
      <c r="O34" s="239">
        <v>0.9</v>
      </c>
      <c r="P34" s="328">
        <v>0.9</v>
      </c>
      <c r="Q34" s="227">
        <v>0.9</v>
      </c>
      <c r="R34" s="254">
        <v>0.9</v>
      </c>
      <c r="S34" s="241"/>
      <c r="T34" s="242"/>
      <c r="U34" s="243"/>
      <c r="V34" s="244"/>
      <c r="W34" s="241"/>
      <c r="X34" s="242"/>
      <c r="Y34" s="243"/>
      <c r="Z34" s="244"/>
      <c r="AA34" s="299"/>
      <c r="AB34" s="245"/>
      <c r="AC34" s="300"/>
      <c r="AD34" s="247"/>
      <c r="AE34" s="201"/>
    </row>
    <row r="35" ht="15.75" customHeight="1">
      <c r="A35" s="293"/>
      <c r="B35" s="326" t="s">
        <v>157</v>
      </c>
      <c r="C35" s="227">
        <v>45.0</v>
      </c>
      <c r="D35" s="252">
        <v>45.0</v>
      </c>
      <c r="E35" s="237">
        <v>45.0</v>
      </c>
      <c r="F35" s="238">
        <v>45.0</v>
      </c>
      <c r="G35" s="253">
        <v>45.0</v>
      </c>
      <c r="H35" s="252">
        <v>45.0</v>
      </c>
      <c r="I35" s="257">
        <v>45.0</v>
      </c>
      <c r="J35" s="251"/>
      <c r="K35" s="235"/>
      <c r="L35" s="228"/>
      <c r="M35" s="249"/>
      <c r="N35" s="230"/>
      <c r="O35" s="231"/>
      <c r="P35" s="329"/>
      <c r="Q35" s="249"/>
      <c r="R35" s="230"/>
      <c r="S35" s="241"/>
      <c r="T35" s="242"/>
      <c r="U35" s="243"/>
      <c r="V35" s="244"/>
      <c r="W35" s="241"/>
      <c r="X35" s="242"/>
      <c r="Y35" s="243"/>
      <c r="Z35" s="244"/>
      <c r="AA35" s="299"/>
      <c r="AB35" s="245"/>
      <c r="AC35" s="300"/>
      <c r="AD35" s="247"/>
      <c r="AE35" s="201"/>
    </row>
    <row r="36" ht="15.75" customHeight="1">
      <c r="A36" s="293"/>
      <c r="B36" s="303" t="s">
        <v>158</v>
      </c>
      <c r="C36" s="330" t="s">
        <v>159</v>
      </c>
      <c r="D36" s="331" t="s">
        <v>159</v>
      </c>
      <c r="E36" s="330" t="s">
        <v>159</v>
      </c>
      <c r="F36" s="331" t="s">
        <v>159</v>
      </c>
      <c r="G36" s="330" t="s">
        <v>159</v>
      </c>
      <c r="H36" s="331" t="s">
        <v>159</v>
      </c>
      <c r="I36" s="332" t="s">
        <v>159</v>
      </c>
      <c r="J36" s="331" t="s">
        <v>160</v>
      </c>
      <c r="K36" s="330"/>
      <c r="L36" s="331" t="s">
        <v>160</v>
      </c>
      <c r="M36" s="330" t="s">
        <v>160</v>
      </c>
      <c r="N36" s="331" t="s">
        <v>160</v>
      </c>
      <c r="O36" s="330" t="s">
        <v>160</v>
      </c>
      <c r="P36" s="333" t="s">
        <v>160</v>
      </c>
      <c r="Q36" s="330" t="s">
        <v>160</v>
      </c>
      <c r="R36" s="331" t="s">
        <v>160</v>
      </c>
      <c r="S36" s="330"/>
      <c r="T36" s="334"/>
      <c r="U36" s="330"/>
      <c r="V36" s="334"/>
      <c r="W36" s="330"/>
      <c r="X36" s="334"/>
      <c r="Y36" s="330"/>
      <c r="Z36" s="334"/>
      <c r="AA36" s="330"/>
      <c r="AB36" s="331"/>
      <c r="AC36" s="330"/>
      <c r="AD36" s="335"/>
      <c r="AE36" s="336"/>
    </row>
    <row r="37" ht="15.75" customHeight="1">
      <c r="A37" s="337" t="s">
        <v>161</v>
      </c>
      <c r="B37" s="282" t="s">
        <v>162</v>
      </c>
      <c r="C37" s="204">
        <v>22.0</v>
      </c>
      <c r="D37" s="218">
        <v>22.0</v>
      </c>
      <c r="E37" s="216">
        <v>22.0</v>
      </c>
      <c r="F37" s="283">
        <v>22.0</v>
      </c>
      <c r="G37" s="204">
        <v>25.0</v>
      </c>
      <c r="H37" s="338">
        <v>25.0</v>
      </c>
      <c r="I37" s="321">
        <v>22.0</v>
      </c>
      <c r="J37" s="213">
        <v>22.0</v>
      </c>
      <c r="K37" s="214">
        <v>16.0</v>
      </c>
      <c r="L37" s="218">
        <v>20.0</v>
      </c>
      <c r="M37" s="216">
        <v>24.0</v>
      </c>
      <c r="N37" s="283">
        <v>22.0</v>
      </c>
      <c r="O37" s="214">
        <v>24.0</v>
      </c>
      <c r="P37" s="339">
        <v>23.0</v>
      </c>
      <c r="Q37" s="340">
        <v>24.0</v>
      </c>
      <c r="R37" s="213">
        <v>23.0</v>
      </c>
      <c r="S37" s="221"/>
      <c r="T37" s="222"/>
      <c r="U37" s="219"/>
      <c r="V37" s="220"/>
      <c r="W37" s="221"/>
      <c r="X37" s="222"/>
      <c r="Y37" s="219"/>
      <c r="Z37" s="220"/>
      <c r="AA37" s="221"/>
      <c r="AB37" s="223"/>
      <c r="AC37" s="341"/>
      <c r="AD37" s="225"/>
      <c r="AE37" s="201"/>
    </row>
    <row r="38" ht="15.75" customHeight="1">
      <c r="A38" s="202"/>
      <c r="B38" s="301" t="s">
        <v>163</v>
      </c>
      <c r="C38" s="227">
        <v>350.0</v>
      </c>
      <c r="D38" s="254">
        <v>349.0</v>
      </c>
      <c r="E38" s="239">
        <v>349.0</v>
      </c>
      <c r="F38" s="252">
        <v>346.0</v>
      </c>
      <c r="G38" s="227">
        <v>330.0</v>
      </c>
      <c r="H38" s="327">
        <v>323.0</v>
      </c>
      <c r="I38" s="261">
        <v>319.0</v>
      </c>
      <c r="J38" s="236">
        <v>547.0</v>
      </c>
      <c r="K38" s="237">
        <v>600.0</v>
      </c>
      <c r="L38" s="254">
        <v>505.0</v>
      </c>
      <c r="M38" s="253">
        <v>388.0</v>
      </c>
      <c r="N38" s="252">
        <v>440.0</v>
      </c>
      <c r="O38" s="237">
        <v>347.0</v>
      </c>
      <c r="P38" s="342">
        <v>423.0</v>
      </c>
      <c r="Q38" s="239">
        <v>670.0</v>
      </c>
      <c r="R38" s="236">
        <v>423.0</v>
      </c>
      <c r="S38" s="243"/>
      <c r="T38" s="244"/>
      <c r="U38" s="241"/>
      <c r="V38" s="242"/>
      <c r="W38" s="243"/>
      <c r="X38" s="244"/>
      <c r="Y38" s="241"/>
      <c r="Z38" s="242"/>
      <c r="AA38" s="243"/>
      <c r="AB38" s="245"/>
      <c r="AC38" s="343"/>
      <c r="AD38" s="247"/>
      <c r="AE38" s="201"/>
    </row>
    <row r="39" ht="15.75" customHeight="1">
      <c r="A39" s="202"/>
      <c r="B39" s="294" t="s">
        <v>164</v>
      </c>
      <c r="C39" s="227">
        <v>7.6</v>
      </c>
      <c r="D39" s="238">
        <v>7.6</v>
      </c>
      <c r="E39" s="239">
        <v>7.6</v>
      </c>
      <c r="F39" s="252">
        <v>7.7</v>
      </c>
      <c r="G39" s="227">
        <v>8.1</v>
      </c>
      <c r="H39" s="327">
        <v>8.1</v>
      </c>
      <c r="I39" s="261">
        <v>7.7</v>
      </c>
      <c r="J39" s="236">
        <v>8.0</v>
      </c>
      <c r="K39" s="237">
        <v>7.4</v>
      </c>
      <c r="L39" s="238">
        <v>10.4</v>
      </c>
      <c r="M39" s="239">
        <v>8.5</v>
      </c>
      <c r="N39" s="252">
        <v>8.0</v>
      </c>
      <c r="O39" s="237">
        <v>9.5</v>
      </c>
      <c r="P39" s="342">
        <v>10.5</v>
      </c>
      <c r="Q39" s="239">
        <v>9.5</v>
      </c>
      <c r="R39" s="236">
        <v>8.8</v>
      </c>
      <c r="S39" s="243"/>
      <c r="T39" s="244"/>
      <c r="U39" s="241"/>
      <c r="V39" s="242"/>
      <c r="W39" s="243"/>
      <c r="X39" s="244"/>
      <c r="Y39" s="241"/>
      <c r="Z39" s="242"/>
      <c r="AA39" s="243"/>
      <c r="AB39" s="245"/>
      <c r="AC39" s="343"/>
      <c r="AD39" s="247"/>
      <c r="AE39" s="201"/>
    </row>
    <row r="40" ht="15.75" customHeight="1">
      <c r="A40" s="202"/>
      <c r="B40" s="294" t="s">
        <v>165</v>
      </c>
      <c r="C40" s="227">
        <v>35.0</v>
      </c>
      <c r="D40" s="254">
        <v>35.0</v>
      </c>
      <c r="E40" s="239">
        <v>35.0</v>
      </c>
      <c r="F40" s="252">
        <v>37.0</v>
      </c>
      <c r="G40" s="227">
        <v>36.0</v>
      </c>
      <c r="H40" s="327">
        <v>35.0</v>
      </c>
      <c r="I40" s="261">
        <v>35.0</v>
      </c>
      <c r="J40" s="236">
        <v>21.0</v>
      </c>
      <c r="K40" s="237">
        <v>28.0</v>
      </c>
      <c r="L40" s="254">
        <v>25.0</v>
      </c>
      <c r="M40" s="239">
        <v>14.0</v>
      </c>
      <c r="N40" s="252">
        <v>17.0</v>
      </c>
      <c r="O40" s="237">
        <v>22.0</v>
      </c>
      <c r="P40" s="342">
        <v>23.0</v>
      </c>
      <c r="Q40" s="253">
        <v>22.0</v>
      </c>
      <c r="R40" s="236">
        <v>21.0</v>
      </c>
      <c r="S40" s="243"/>
      <c r="T40" s="244"/>
      <c r="U40" s="241"/>
      <c r="V40" s="242"/>
      <c r="W40" s="243"/>
      <c r="X40" s="244"/>
      <c r="Y40" s="241"/>
      <c r="Z40" s="242"/>
      <c r="AA40" s="243"/>
      <c r="AB40" s="245"/>
      <c r="AC40" s="343"/>
      <c r="AD40" s="247"/>
      <c r="AE40" s="201"/>
    </row>
    <row r="41" ht="15.75" customHeight="1">
      <c r="A41" s="202"/>
      <c r="B41" s="294" t="s">
        <v>166</v>
      </c>
      <c r="C41" s="227">
        <v>23.0</v>
      </c>
      <c r="D41" s="238">
        <v>23.6</v>
      </c>
      <c r="E41" s="253">
        <v>25.0</v>
      </c>
      <c r="F41" s="252">
        <v>25.4</v>
      </c>
      <c r="G41" s="227">
        <v>24.8</v>
      </c>
      <c r="H41" s="327">
        <v>26.0</v>
      </c>
      <c r="I41" s="261">
        <v>25.0</v>
      </c>
      <c r="J41" s="236">
        <v>25.0</v>
      </c>
      <c r="K41" s="237">
        <v>25.0</v>
      </c>
      <c r="L41" s="234"/>
      <c r="M41" s="231"/>
      <c r="N41" s="248"/>
      <c r="O41" s="249"/>
      <c r="P41" s="344"/>
      <c r="Q41" s="231"/>
      <c r="R41" s="228"/>
      <c r="S41" s="243"/>
      <c r="T41" s="244"/>
      <c r="U41" s="241"/>
      <c r="V41" s="242"/>
      <c r="W41" s="243"/>
      <c r="X41" s="244"/>
      <c r="Y41" s="241"/>
      <c r="Z41" s="242"/>
      <c r="AA41" s="243"/>
      <c r="AB41" s="245"/>
      <c r="AC41" s="343"/>
      <c r="AD41" s="247"/>
      <c r="AE41" s="201"/>
    </row>
    <row r="42" ht="15.75" customHeight="1">
      <c r="A42" s="202"/>
      <c r="B42" s="294" t="s">
        <v>167</v>
      </c>
      <c r="C42" s="227">
        <v>12.0</v>
      </c>
      <c r="D42" s="238">
        <v>12.5</v>
      </c>
      <c r="E42" s="253">
        <v>12.5</v>
      </c>
      <c r="F42" s="252">
        <v>10.6</v>
      </c>
      <c r="G42" s="227">
        <v>12.9</v>
      </c>
      <c r="H42" s="327">
        <v>12.0</v>
      </c>
      <c r="I42" s="261">
        <v>12.0</v>
      </c>
      <c r="J42" s="236">
        <v>12.0</v>
      </c>
      <c r="K42" s="229"/>
      <c r="L42" s="234"/>
      <c r="M42" s="231"/>
      <c r="N42" s="248"/>
      <c r="O42" s="249"/>
      <c r="P42" s="344"/>
      <c r="Q42" s="253">
        <v>8.0</v>
      </c>
      <c r="R42" s="228"/>
      <c r="S42" s="243"/>
      <c r="T42" s="244"/>
      <c r="U42" s="241"/>
      <c r="V42" s="242"/>
      <c r="W42" s="243"/>
      <c r="X42" s="244"/>
      <c r="Y42" s="241"/>
      <c r="Z42" s="242"/>
      <c r="AA42" s="243"/>
      <c r="AB42" s="245"/>
      <c r="AC42" s="343"/>
      <c r="AD42" s="247"/>
      <c r="AE42" s="201"/>
    </row>
    <row r="43" ht="15.75" customHeight="1">
      <c r="A43" s="202"/>
      <c r="B43" s="303" t="s">
        <v>168</v>
      </c>
      <c r="C43" s="330" t="s">
        <v>72</v>
      </c>
      <c r="D43" s="345" t="s">
        <v>72</v>
      </c>
      <c r="E43" s="334" t="s">
        <v>72</v>
      </c>
      <c r="F43" s="346" t="s">
        <v>72</v>
      </c>
      <c r="G43" s="330" t="s">
        <v>72</v>
      </c>
      <c r="H43" s="345" t="s">
        <v>72</v>
      </c>
      <c r="I43" s="347" t="s">
        <v>169</v>
      </c>
      <c r="J43" s="346" t="s">
        <v>169</v>
      </c>
      <c r="K43" s="330" t="s">
        <v>169</v>
      </c>
      <c r="L43" s="345" t="s">
        <v>169</v>
      </c>
      <c r="M43" s="334" t="s">
        <v>169</v>
      </c>
      <c r="N43" s="346" t="s">
        <v>169</v>
      </c>
      <c r="O43" s="348"/>
      <c r="P43" s="335" t="s">
        <v>169</v>
      </c>
      <c r="Q43" s="334" t="s">
        <v>169</v>
      </c>
      <c r="R43" s="346" t="s">
        <v>169</v>
      </c>
      <c r="S43" s="348"/>
      <c r="T43" s="349"/>
      <c r="U43" s="350"/>
      <c r="V43" s="351"/>
      <c r="W43" s="348"/>
      <c r="X43" s="349"/>
      <c r="Y43" s="350"/>
      <c r="Z43" s="351"/>
      <c r="AA43" s="348"/>
      <c r="AB43" s="349"/>
      <c r="AC43" s="352"/>
      <c r="AD43" s="353"/>
      <c r="AE43" s="201"/>
    </row>
    <row r="44" ht="15.75" customHeight="1">
      <c r="A44" s="202"/>
      <c r="B44" s="301" t="s">
        <v>170</v>
      </c>
      <c r="C44" s="243"/>
      <c r="D44" s="244"/>
      <c r="E44" s="241"/>
      <c r="F44" s="242"/>
      <c r="G44" s="243"/>
      <c r="H44" s="244"/>
      <c r="I44" s="354"/>
      <c r="J44" s="296">
        <v>0.5</v>
      </c>
      <c r="K44" s="298">
        <v>1.7</v>
      </c>
      <c r="L44" s="116">
        <v>1.8</v>
      </c>
      <c r="M44" s="295">
        <v>2.5</v>
      </c>
      <c r="N44" s="296">
        <v>1.5</v>
      </c>
      <c r="O44" s="298">
        <v>2.0</v>
      </c>
      <c r="P44" s="355">
        <v>1.3</v>
      </c>
      <c r="Q44" s="295">
        <v>1.4</v>
      </c>
      <c r="R44" s="296">
        <v>0.5</v>
      </c>
      <c r="S44" s="243"/>
      <c r="T44" s="244"/>
      <c r="U44" s="241"/>
      <c r="V44" s="242"/>
      <c r="W44" s="243"/>
      <c r="X44" s="244"/>
      <c r="Y44" s="241"/>
      <c r="Z44" s="242"/>
      <c r="AA44" s="243"/>
      <c r="AB44" s="245"/>
      <c r="AC44" s="343"/>
      <c r="AD44" s="247"/>
      <c r="AE44" s="201"/>
    </row>
    <row r="45" ht="15.75" customHeight="1">
      <c r="A45" s="202"/>
      <c r="B45" s="303" t="s">
        <v>171</v>
      </c>
      <c r="C45" s="348"/>
      <c r="D45" s="349"/>
      <c r="E45" s="350"/>
      <c r="F45" s="351"/>
      <c r="G45" s="348"/>
      <c r="H45" s="349"/>
      <c r="I45" s="356"/>
      <c r="J45" s="351"/>
      <c r="K45" s="348"/>
      <c r="L45" s="345">
        <v>10.0</v>
      </c>
      <c r="M45" s="350"/>
      <c r="N45" s="351"/>
      <c r="O45" s="348"/>
      <c r="P45" s="357"/>
      <c r="Q45" s="350"/>
      <c r="R45" s="351"/>
      <c r="S45" s="348"/>
      <c r="T45" s="349"/>
      <c r="U45" s="350"/>
      <c r="V45" s="351"/>
      <c r="W45" s="348"/>
      <c r="X45" s="349"/>
      <c r="Y45" s="350"/>
      <c r="Z45" s="351"/>
      <c r="AA45" s="348"/>
      <c r="AB45" s="358"/>
      <c r="AC45" s="359"/>
      <c r="AD45" s="360"/>
      <c r="AE45" s="201"/>
    </row>
    <row r="46" ht="15.75" customHeight="1">
      <c r="A46" s="275"/>
      <c r="B46" s="361" t="s">
        <v>172</v>
      </c>
      <c r="C46" s="362"/>
      <c r="D46" s="363"/>
      <c r="E46" s="362"/>
      <c r="F46" s="363"/>
      <c r="G46" s="362"/>
      <c r="H46" s="363"/>
      <c r="I46" s="364"/>
      <c r="J46" s="363"/>
      <c r="K46" s="362"/>
      <c r="L46" s="363"/>
      <c r="M46" s="362"/>
      <c r="N46" s="363"/>
      <c r="O46" s="362"/>
      <c r="P46" s="365"/>
      <c r="Q46" s="362"/>
      <c r="R46" s="363"/>
      <c r="S46" s="362"/>
      <c r="T46" s="363"/>
      <c r="U46" s="362"/>
      <c r="V46" s="363"/>
      <c r="W46" s="362"/>
      <c r="X46" s="363"/>
      <c r="Y46" s="362"/>
      <c r="Z46" s="363"/>
      <c r="AA46" s="362"/>
      <c r="AB46" s="363"/>
      <c r="AC46" s="362"/>
      <c r="AD46" s="366"/>
      <c r="AE46" s="367"/>
    </row>
    <row r="47" ht="15.75" customHeight="1">
      <c r="A47" s="368" t="s">
        <v>173</v>
      </c>
      <c r="B47" s="369" t="s">
        <v>174</v>
      </c>
      <c r="C47" s="370">
        <f t="shared" ref="C47:AD47" si="3">IFS(C29="VC-CMV",C30/$J$2,C29="PC-CMV",C38/$J$2,C29="PC-CSV",C38/$J$2,C29="CPAP",C38/$J$2,C29="VMNI",C38/$J$2,C29="PC-SIMV",C38/$J$2,C29="","")</f>
        <v>5.953798523</v>
      </c>
      <c r="D47" s="371">
        <f t="shared" si="3"/>
        <v>5.953798523</v>
      </c>
      <c r="E47" s="372">
        <f t="shared" si="3"/>
        <v>5.953798523</v>
      </c>
      <c r="F47" s="373">
        <f t="shared" si="3"/>
        <v>5.953798523</v>
      </c>
      <c r="G47" s="370">
        <f t="shared" si="3"/>
        <v>5.613581465</v>
      </c>
      <c r="H47" s="371">
        <f t="shared" si="3"/>
        <v>5.613581465</v>
      </c>
      <c r="I47" s="374">
        <f t="shared" si="3"/>
        <v>5.103255877</v>
      </c>
      <c r="J47" s="373">
        <f t="shared" si="3"/>
        <v>9.30493655</v>
      </c>
      <c r="K47" s="370">
        <f t="shared" si="3"/>
        <v>10.20651175</v>
      </c>
      <c r="L47" s="371">
        <f t="shared" si="3"/>
        <v>8.590480727</v>
      </c>
      <c r="M47" s="372">
        <f t="shared" si="3"/>
        <v>6.600210935</v>
      </c>
      <c r="N47" s="373">
        <f t="shared" si="3"/>
        <v>7.484775287</v>
      </c>
      <c r="O47" s="370">
        <f t="shared" si="3"/>
        <v>5.902765965</v>
      </c>
      <c r="P47" s="375">
        <f t="shared" si="3"/>
        <v>7.195590787</v>
      </c>
      <c r="Q47" s="372">
        <f t="shared" si="3"/>
        <v>11.39727146</v>
      </c>
      <c r="R47" s="373">
        <f t="shared" si="3"/>
        <v>7.195590787</v>
      </c>
      <c r="S47" s="370" t="str">
        <f t="shared" si="3"/>
        <v/>
      </c>
      <c r="T47" s="371" t="str">
        <f t="shared" si="3"/>
        <v/>
      </c>
      <c r="U47" s="372" t="str">
        <f t="shared" si="3"/>
        <v/>
      </c>
      <c r="V47" s="373" t="str">
        <f t="shared" si="3"/>
        <v/>
      </c>
      <c r="W47" s="370" t="str">
        <f t="shared" si="3"/>
        <v/>
      </c>
      <c r="X47" s="371" t="str">
        <f t="shared" si="3"/>
        <v/>
      </c>
      <c r="Y47" s="372" t="str">
        <f t="shared" si="3"/>
        <v/>
      </c>
      <c r="Z47" s="373" t="str">
        <f t="shared" si="3"/>
        <v/>
      </c>
      <c r="AA47" s="370" t="str">
        <f t="shared" si="3"/>
        <v/>
      </c>
      <c r="AB47" s="371" t="str">
        <f t="shared" si="3"/>
        <v/>
      </c>
      <c r="AC47" s="372" t="str">
        <f t="shared" si="3"/>
        <v/>
      </c>
      <c r="AD47" s="376" t="str">
        <f t="shared" si="3"/>
        <v/>
      </c>
      <c r="AE47" s="377"/>
    </row>
    <row r="48" ht="15.75" customHeight="1">
      <c r="A48" s="202"/>
      <c r="B48" s="378" t="s">
        <v>175</v>
      </c>
      <c r="C48" s="379">
        <v>1.0</v>
      </c>
      <c r="D48" s="380">
        <v>1.0</v>
      </c>
      <c r="E48" s="381">
        <v>1.0</v>
      </c>
      <c r="F48" s="382">
        <v>1.0</v>
      </c>
      <c r="G48" s="379">
        <v>1.0</v>
      </c>
      <c r="H48" s="380">
        <v>1.0</v>
      </c>
      <c r="I48" s="383">
        <v>1.0</v>
      </c>
      <c r="J48" s="382">
        <v>1.0</v>
      </c>
      <c r="K48" s="379">
        <v>1.0</v>
      </c>
      <c r="L48" s="380">
        <v>1.0</v>
      </c>
      <c r="M48" s="381">
        <v>1.0</v>
      </c>
      <c r="N48" s="382">
        <v>1.0</v>
      </c>
      <c r="O48" s="379">
        <v>1.0</v>
      </c>
      <c r="P48" s="384">
        <v>1.0</v>
      </c>
      <c r="Q48" s="381">
        <v>1.0</v>
      </c>
      <c r="R48" s="382">
        <v>1.0</v>
      </c>
      <c r="S48" s="379">
        <v>1.0</v>
      </c>
      <c r="T48" s="380">
        <v>1.0</v>
      </c>
      <c r="U48" s="381">
        <v>1.0</v>
      </c>
      <c r="V48" s="382">
        <v>1.0</v>
      </c>
      <c r="W48" s="379">
        <v>1.0</v>
      </c>
      <c r="X48" s="380">
        <v>1.0</v>
      </c>
      <c r="Y48" s="381">
        <v>1.0</v>
      </c>
      <c r="Z48" s="382">
        <v>1.0</v>
      </c>
      <c r="AA48" s="379">
        <v>1.0</v>
      </c>
      <c r="AB48" s="385">
        <v>1.0</v>
      </c>
      <c r="AC48" s="386">
        <v>1.0</v>
      </c>
      <c r="AD48" s="387">
        <v>1.0</v>
      </c>
      <c r="AE48" s="336"/>
    </row>
    <row r="49" ht="15.75" customHeight="1">
      <c r="A49" s="202"/>
      <c r="B49" s="388" t="s">
        <v>176</v>
      </c>
      <c r="C49" s="389">
        <f t="shared" ref="C49:AD49" si="4">((60/C31)-C34)/C34</f>
        <v>2.20855615</v>
      </c>
      <c r="D49" s="390">
        <f t="shared" si="4"/>
        <v>2.20855615</v>
      </c>
      <c r="E49" s="391">
        <f t="shared" si="4"/>
        <v>2.20855615</v>
      </c>
      <c r="F49" s="392">
        <f t="shared" si="4"/>
        <v>2.20855615</v>
      </c>
      <c r="G49" s="389">
        <f t="shared" si="4"/>
        <v>1.823529412</v>
      </c>
      <c r="H49" s="390">
        <f t="shared" si="4"/>
        <v>1.823529412</v>
      </c>
      <c r="I49" s="393">
        <f t="shared" si="4"/>
        <v>2.409090909</v>
      </c>
      <c r="J49" s="392">
        <f t="shared" si="4"/>
        <v>2</v>
      </c>
      <c r="K49" s="389">
        <f t="shared" si="4"/>
        <v>2.896103896</v>
      </c>
      <c r="L49" s="390">
        <f t="shared" si="4"/>
        <v>3.761904762</v>
      </c>
      <c r="M49" s="391" t="str">
        <f t="shared" si="4"/>
        <v>#DIV/0!</v>
      </c>
      <c r="N49" s="392" t="str">
        <f t="shared" si="4"/>
        <v>#DIV/0!</v>
      </c>
      <c r="O49" s="389">
        <f t="shared" si="4"/>
        <v>3.761904762</v>
      </c>
      <c r="P49" s="394">
        <f t="shared" si="4"/>
        <v>3.761904762</v>
      </c>
      <c r="Q49" s="391">
        <f t="shared" si="4"/>
        <v>3.761904762</v>
      </c>
      <c r="R49" s="392">
        <f t="shared" si="4"/>
        <v>3.761904762</v>
      </c>
      <c r="S49" s="389" t="str">
        <f t="shared" si="4"/>
        <v>#DIV/0!</v>
      </c>
      <c r="T49" s="390" t="str">
        <f t="shared" si="4"/>
        <v>#DIV/0!</v>
      </c>
      <c r="U49" s="391" t="str">
        <f t="shared" si="4"/>
        <v>#DIV/0!</v>
      </c>
      <c r="V49" s="392" t="str">
        <f t="shared" si="4"/>
        <v>#DIV/0!</v>
      </c>
      <c r="W49" s="389" t="str">
        <f t="shared" si="4"/>
        <v>#DIV/0!</v>
      </c>
      <c r="X49" s="390" t="str">
        <f t="shared" si="4"/>
        <v>#DIV/0!</v>
      </c>
      <c r="Y49" s="391" t="str">
        <f t="shared" si="4"/>
        <v>#DIV/0!</v>
      </c>
      <c r="Z49" s="392" t="str">
        <f t="shared" si="4"/>
        <v>#DIV/0!</v>
      </c>
      <c r="AA49" s="389" t="str">
        <f t="shared" si="4"/>
        <v>#DIV/0!</v>
      </c>
      <c r="AB49" s="395" t="str">
        <f t="shared" si="4"/>
        <v>#DIV/0!</v>
      </c>
      <c r="AC49" s="396" t="str">
        <f t="shared" si="4"/>
        <v>#DIV/0!</v>
      </c>
      <c r="AD49" s="397" t="str">
        <f t="shared" si="4"/>
        <v>#DIV/0!</v>
      </c>
      <c r="AE49" s="308"/>
    </row>
    <row r="50" ht="15.75" customHeight="1">
      <c r="A50" s="202"/>
      <c r="B50" s="398" t="s">
        <v>177</v>
      </c>
      <c r="C50" s="399">
        <f t="shared" ref="C50:AD50" si="5">IF(C51&lt;&gt;"",(C51*C34)+C42,"")</f>
        <v>21.35</v>
      </c>
      <c r="D50" s="400">
        <f t="shared" si="5"/>
        <v>21.935</v>
      </c>
      <c r="E50" s="399">
        <f t="shared" si="5"/>
        <v>23.125</v>
      </c>
      <c r="F50" s="400">
        <f t="shared" si="5"/>
        <v>23.18</v>
      </c>
      <c r="G50" s="399">
        <f t="shared" si="5"/>
        <v>23.015</v>
      </c>
      <c r="H50" s="400">
        <f t="shared" si="5"/>
        <v>23.9</v>
      </c>
      <c r="I50" s="401">
        <f t="shared" si="5"/>
        <v>22.4</v>
      </c>
      <c r="J50" s="400">
        <f t="shared" si="5"/>
        <v>25</v>
      </c>
      <c r="K50" s="399" t="str">
        <f t="shared" si="5"/>
        <v/>
      </c>
      <c r="L50" s="400" t="str">
        <f t="shared" si="5"/>
        <v/>
      </c>
      <c r="M50" s="399" t="str">
        <f t="shared" si="5"/>
        <v/>
      </c>
      <c r="N50" s="400" t="str">
        <f t="shared" si="5"/>
        <v/>
      </c>
      <c r="O50" s="399" t="str">
        <f t="shared" si="5"/>
        <v/>
      </c>
      <c r="P50" s="402" t="str">
        <f t="shared" si="5"/>
        <v/>
      </c>
      <c r="Q50" s="399" t="str">
        <f t="shared" si="5"/>
        <v/>
      </c>
      <c r="R50" s="400" t="str">
        <f t="shared" si="5"/>
        <v/>
      </c>
      <c r="S50" s="399" t="str">
        <f t="shared" si="5"/>
        <v/>
      </c>
      <c r="T50" s="400" t="str">
        <f t="shared" si="5"/>
        <v/>
      </c>
      <c r="U50" s="399" t="str">
        <f t="shared" si="5"/>
        <v/>
      </c>
      <c r="V50" s="400" t="str">
        <f t="shared" si="5"/>
        <v/>
      </c>
      <c r="W50" s="399" t="str">
        <f t="shared" si="5"/>
        <v/>
      </c>
      <c r="X50" s="400" t="str">
        <f t="shared" si="5"/>
        <v/>
      </c>
      <c r="Y50" s="399" t="str">
        <f t="shared" si="5"/>
        <v/>
      </c>
      <c r="Z50" s="400" t="str">
        <f t="shared" si="5"/>
        <v/>
      </c>
      <c r="AA50" s="399" t="str">
        <f t="shared" si="5"/>
        <v/>
      </c>
      <c r="AB50" s="400" t="str">
        <f t="shared" si="5"/>
        <v/>
      </c>
      <c r="AC50" s="399" t="str">
        <f t="shared" si="5"/>
        <v/>
      </c>
      <c r="AD50" s="401" t="str">
        <f t="shared" si="5"/>
        <v/>
      </c>
      <c r="AE50" s="201"/>
    </row>
    <row r="51" ht="15.75" customHeight="1">
      <c r="A51" s="202"/>
      <c r="B51" s="398" t="s">
        <v>178</v>
      </c>
      <c r="C51" s="403">
        <f t="shared" ref="C51:AD51" si="6">IF(AND(C42&gt;0,C41&gt;0),C41-C42,"")</f>
        <v>11</v>
      </c>
      <c r="D51" s="404">
        <f t="shared" si="6"/>
        <v>11.1</v>
      </c>
      <c r="E51" s="405">
        <f t="shared" si="6"/>
        <v>12.5</v>
      </c>
      <c r="F51" s="406">
        <f t="shared" si="6"/>
        <v>14.8</v>
      </c>
      <c r="G51" s="403">
        <f t="shared" si="6"/>
        <v>11.9</v>
      </c>
      <c r="H51" s="404">
        <f t="shared" si="6"/>
        <v>14</v>
      </c>
      <c r="I51" s="407">
        <f t="shared" si="6"/>
        <v>13</v>
      </c>
      <c r="J51" s="406">
        <f t="shared" si="6"/>
        <v>13</v>
      </c>
      <c r="K51" s="403" t="str">
        <f t="shared" si="6"/>
        <v/>
      </c>
      <c r="L51" s="404" t="str">
        <f t="shared" si="6"/>
        <v/>
      </c>
      <c r="M51" s="405" t="str">
        <f t="shared" si="6"/>
        <v/>
      </c>
      <c r="N51" s="406" t="str">
        <f t="shared" si="6"/>
        <v/>
      </c>
      <c r="O51" s="403" t="str">
        <f t="shared" si="6"/>
        <v/>
      </c>
      <c r="P51" s="408" t="str">
        <f t="shared" si="6"/>
        <v/>
      </c>
      <c r="Q51" s="405" t="str">
        <f t="shared" si="6"/>
        <v/>
      </c>
      <c r="R51" s="406" t="str">
        <f t="shared" si="6"/>
        <v/>
      </c>
      <c r="S51" s="403" t="str">
        <f t="shared" si="6"/>
        <v/>
      </c>
      <c r="T51" s="404" t="str">
        <f t="shared" si="6"/>
        <v/>
      </c>
      <c r="U51" s="405" t="str">
        <f t="shared" si="6"/>
        <v/>
      </c>
      <c r="V51" s="406" t="str">
        <f t="shared" si="6"/>
        <v/>
      </c>
      <c r="W51" s="403" t="str">
        <f t="shared" si="6"/>
        <v/>
      </c>
      <c r="X51" s="404" t="str">
        <f t="shared" si="6"/>
        <v/>
      </c>
      <c r="Y51" s="405" t="str">
        <f t="shared" si="6"/>
        <v/>
      </c>
      <c r="Z51" s="406" t="str">
        <f t="shared" si="6"/>
        <v/>
      </c>
      <c r="AA51" s="403" t="str">
        <f t="shared" si="6"/>
        <v/>
      </c>
      <c r="AB51" s="404" t="str">
        <f t="shared" si="6"/>
        <v/>
      </c>
      <c r="AC51" s="405" t="str">
        <f t="shared" si="6"/>
        <v/>
      </c>
      <c r="AD51" s="409" t="str">
        <f t="shared" si="6"/>
        <v/>
      </c>
      <c r="AE51" s="201"/>
    </row>
    <row r="52" ht="15.75" customHeight="1">
      <c r="A52" s="202"/>
      <c r="B52" s="398" t="s">
        <v>179</v>
      </c>
      <c r="C52" s="389">
        <f t="shared" ref="C52:AD52" si="7">IF(AND(C38&gt;0,C51&gt;0),C38/C51,"")</f>
        <v>31.81818182</v>
      </c>
      <c r="D52" s="390">
        <f t="shared" si="7"/>
        <v>31.44144144</v>
      </c>
      <c r="E52" s="391">
        <f t="shared" si="7"/>
        <v>27.92</v>
      </c>
      <c r="F52" s="392">
        <f t="shared" si="7"/>
        <v>23.37837838</v>
      </c>
      <c r="G52" s="389">
        <f t="shared" si="7"/>
        <v>27.73109244</v>
      </c>
      <c r="H52" s="390">
        <f t="shared" si="7"/>
        <v>23.07142857</v>
      </c>
      <c r="I52" s="393">
        <f t="shared" si="7"/>
        <v>24.53846154</v>
      </c>
      <c r="J52" s="392">
        <f t="shared" si="7"/>
        <v>42.07692308</v>
      </c>
      <c r="K52" s="389" t="str">
        <f t="shared" si="7"/>
        <v>#DIV/0!</v>
      </c>
      <c r="L52" s="390" t="str">
        <f t="shared" si="7"/>
        <v>#DIV/0!</v>
      </c>
      <c r="M52" s="391" t="str">
        <f t="shared" si="7"/>
        <v>#DIV/0!</v>
      </c>
      <c r="N52" s="392" t="str">
        <f t="shared" si="7"/>
        <v>#DIV/0!</v>
      </c>
      <c r="O52" s="389" t="str">
        <f t="shared" si="7"/>
        <v>#DIV/0!</v>
      </c>
      <c r="P52" s="394" t="str">
        <f t="shared" si="7"/>
        <v>#DIV/0!</v>
      </c>
      <c r="Q52" s="391" t="str">
        <f t="shared" si="7"/>
        <v>#DIV/0!</v>
      </c>
      <c r="R52" s="392" t="str">
        <f t="shared" si="7"/>
        <v>#DIV/0!</v>
      </c>
      <c r="S52" s="389" t="str">
        <f t="shared" si="7"/>
        <v/>
      </c>
      <c r="T52" s="390" t="str">
        <f t="shared" si="7"/>
        <v/>
      </c>
      <c r="U52" s="391" t="str">
        <f t="shared" si="7"/>
        <v/>
      </c>
      <c r="V52" s="392" t="str">
        <f t="shared" si="7"/>
        <v/>
      </c>
      <c r="W52" s="389" t="str">
        <f t="shared" si="7"/>
        <v/>
      </c>
      <c r="X52" s="390" t="str">
        <f t="shared" si="7"/>
        <v/>
      </c>
      <c r="Y52" s="391" t="str">
        <f t="shared" si="7"/>
        <v/>
      </c>
      <c r="Z52" s="392" t="str">
        <f t="shared" si="7"/>
        <v/>
      </c>
      <c r="AA52" s="389" t="str">
        <f t="shared" si="7"/>
        <v/>
      </c>
      <c r="AB52" s="390" t="str">
        <f t="shared" si="7"/>
        <v/>
      </c>
      <c r="AC52" s="391" t="str">
        <f t="shared" si="7"/>
        <v/>
      </c>
      <c r="AD52" s="410" t="str">
        <f t="shared" si="7"/>
        <v/>
      </c>
      <c r="AE52" s="201"/>
    </row>
    <row r="53" ht="15.75" customHeight="1">
      <c r="A53" s="202"/>
      <c r="B53" s="398" t="s">
        <v>180</v>
      </c>
      <c r="C53" s="411">
        <f t="shared" ref="C53:AD53" si="8">IF(AND(C29="VC-CMV",C43="NO"),(C40-C41)/(C35/60),"")</f>
        <v>16</v>
      </c>
      <c r="D53" s="412">
        <f t="shared" si="8"/>
        <v>15.2</v>
      </c>
      <c r="E53" s="411">
        <f t="shared" si="8"/>
        <v>13.33333333</v>
      </c>
      <c r="F53" s="412">
        <f t="shared" si="8"/>
        <v>15.46666667</v>
      </c>
      <c r="G53" s="411">
        <f t="shared" si="8"/>
        <v>14.93333333</v>
      </c>
      <c r="H53" s="412">
        <f t="shared" si="8"/>
        <v>12</v>
      </c>
      <c r="I53" s="413" t="str">
        <f t="shared" si="8"/>
        <v/>
      </c>
      <c r="J53" s="412" t="str">
        <f t="shared" si="8"/>
        <v/>
      </c>
      <c r="K53" s="411" t="str">
        <f t="shared" si="8"/>
        <v/>
      </c>
      <c r="L53" s="412" t="str">
        <f t="shared" si="8"/>
        <v/>
      </c>
      <c r="M53" s="411" t="str">
        <f t="shared" si="8"/>
        <v/>
      </c>
      <c r="N53" s="412" t="str">
        <f t="shared" si="8"/>
        <v/>
      </c>
      <c r="O53" s="411" t="str">
        <f t="shared" si="8"/>
        <v/>
      </c>
      <c r="P53" s="414" t="str">
        <f t="shared" si="8"/>
        <v/>
      </c>
      <c r="Q53" s="411" t="str">
        <f t="shared" si="8"/>
        <v/>
      </c>
      <c r="R53" s="412" t="str">
        <f t="shared" si="8"/>
        <v/>
      </c>
      <c r="S53" s="411" t="str">
        <f t="shared" si="8"/>
        <v/>
      </c>
      <c r="T53" s="412" t="str">
        <f t="shared" si="8"/>
        <v/>
      </c>
      <c r="U53" s="411" t="str">
        <f t="shared" si="8"/>
        <v/>
      </c>
      <c r="V53" s="412" t="str">
        <f t="shared" si="8"/>
        <v/>
      </c>
      <c r="W53" s="411" t="str">
        <f t="shared" si="8"/>
        <v/>
      </c>
      <c r="X53" s="412" t="str">
        <f t="shared" si="8"/>
        <v/>
      </c>
      <c r="Y53" s="411" t="str">
        <f t="shared" si="8"/>
        <v/>
      </c>
      <c r="Z53" s="412" t="str">
        <f t="shared" si="8"/>
        <v/>
      </c>
      <c r="AA53" s="411" t="str">
        <f t="shared" si="8"/>
        <v/>
      </c>
      <c r="AB53" s="412" t="str">
        <f t="shared" si="8"/>
        <v/>
      </c>
      <c r="AC53" s="411" t="str">
        <f t="shared" si="8"/>
        <v/>
      </c>
      <c r="AD53" s="414" t="str">
        <f t="shared" si="8"/>
        <v/>
      </c>
      <c r="AE53" s="415"/>
    </row>
    <row r="54" ht="15.75" customHeight="1">
      <c r="A54" s="202"/>
      <c r="B54" s="416" t="s">
        <v>181</v>
      </c>
      <c r="C54" s="417">
        <f t="shared" ref="C54:AD54" si="9">IF(AND(C29="VC-CMV",AND(C36="Cuadrada",C43="NO")), (((0.5*(C51/(C38/1000))+(1+(C48/C49))/(60*(C48/C49))*C37*C53)*((C38/1000)*(C38/1000))+(C38/1000)*C42)*C37*0.098),"")</f>
        <v>18.17698235</v>
      </c>
      <c r="D54" s="418">
        <f t="shared" si="9"/>
        <v>18.27757294</v>
      </c>
      <c r="E54" s="419">
        <f t="shared" si="9"/>
        <v>18.22758705</v>
      </c>
      <c r="F54" s="420">
        <f t="shared" si="9"/>
        <v>18.12411588</v>
      </c>
      <c r="G54" s="417">
        <f t="shared" si="9"/>
        <v>19.92762265</v>
      </c>
      <c r="H54" s="418">
        <f t="shared" si="9"/>
        <v>18.644206</v>
      </c>
      <c r="I54" s="421" t="str">
        <f t="shared" si="9"/>
        <v/>
      </c>
      <c r="J54" s="420" t="str">
        <f t="shared" si="9"/>
        <v/>
      </c>
      <c r="K54" s="417" t="str">
        <f t="shared" si="9"/>
        <v/>
      </c>
      <c r="L54" s="418" t="str">
        <f t="shared" si="9"/>
        <v/>
      </c>
      <c r="M54" s="419" t="str">
        <f t="shared" si="9"/>
        <v/>
      </c>
      <c r="N54" s="420" t="str">
        <f t="shared" si="9"/>
        <v/>
      </c>
      <c r="O54" s="417" t="str">
        <f t="shared" si="9"/>
        <v/>
      </c>
      <c r="P54" s="422" t="str">
        <f t="shared" si="9"/>
        <v/>
      </c>
      <c r="Q54" s="419" t="str">
        <f t="shared" si="9"/>
        <v/>
      </c>
      <c r="R54" s="420" t="str">
        <f t="shared" si="9"/>
        <v/>
      </c>
      <c r="S54" s="417" t="str">
        <f t="shared" si="9"/>
        <v/>
      </c>
      <c r="T54" s="418" t="str">
        <f t="shared" si="9"/>
        <v/>
      </c>
      <c r="U54" s="419" t="str">
        <f t="shared" si="9"/>
        <v/>
      </c>
      <c r="V54" s="420" t="str">
        <f t="shared" si="9"/>
        <v/>
      </c>
      <c r="W54" s="417" t="str">
        <f t="shared" si="9"/>
        <v/>
      </c>
      <c r="X54" s="418" t="str">
        <f t="shared" si="9"/>
        <v/>
      </c>
      <c r="Y54" s="419" t="str">
        <f t="shared" si="9"/>
        <v/>
      </c>
      <c r="Z54" s="420" t="str">
        <f t="shared" si="9"/>
        <v/>
      </c>
      <c r="AA54" s="417" t="str">
        <f t="shared" si="9"/>
        <v/>
      </c>
      <c r="AB54" s="418" t="str">
        <f t="shared" si="9"/>
        <v/>
      </c>
      <c r="AC54" s="419" t="str">
        <f t="shared" si="9"/>
        <v/>
      </c>
      <c r="AD54" s="423" t="str">
        <f t="shared" si="9"/>
        <v/>
      </c>
      <c r="AE54" s="377"/>
    </row>
    <row r="55" ht="15.75" customHeight="1">
      <c r="A55" s="202"/>
      <c r="B55" s="424" t="s">
        <v>182</v>
      </c>
      <c r="C55" s="417">
        <f t="shared" ref="C55:AD55" si="10">IFS(OR(C52="",C54=""),"",AND(C52&gt;0,C54&gt;0),C54/C52)</f>
        <v>0.5712765882</v>
      </c>
      <c r="D55" s="425">
        <f t="shared" si="10"/>
        <v>0.5813210879</v>
      </c>
      <c r="E55" s="419">
        <f t="shared" si="10"/>
        <v>0.6528505392</v>
      </c>
      <c r="F55" s="425">
        <f t="shared" si="10"/>
        <v>0.7752511995</v>
      </c>
      <c r="G55" s="419">
        <f t="shared" si="10"/>
        <v>0.71860215</v>
      </c>
      <c r="H55" s="425">
        <f t="shared" si="10"/>
        <v>0.808108</v>
      </c>
      <c r="I55" s="421" t="str">
        <f t="shared" si="10"/>
        <v/>
      </c>
      <c r="J55" s="425" t="str">
        <f t="shared" si="10"/>
        <v/>
      </c>
      <c r="K55" s="419" t="str">
        <f t="shared" si="10"/>
        <v>#DIV/0!</v>
      </c>
      <c r="L55" s="425" t="str">
        <f t="shared" si="10"/>
        <v>#DIV/0!</v>
      </c>
      <c r="M55" s="419" t="str">
        <f t="shared" si="10"/>
        <v>#DIV/0!</v>
      </c>
      <c r="N55" s="425" t="str">
        <f t="shared" si="10"/>
        <v>#DIV/0!</v>
      </c>
      <c r="O55" s="419" t="str">
        <f t="shared" si="10"/>
        <v>#DIV/0!</v>
      </c>
      <c r="P55" s="426" t="str">
        <f t="shared" si="10"/>
        <v>#DIV/0!</v>
      </c>
      <c r="Q55" s="419" t="str">
        <f t="shared" si="10"/>
        <v>#DIV/0!</v>
      </c>
      <c r="R55" s="425" t="str">
        <f t="shared" si="10"/>
        <v>#DIV/0!</v>
      </c>
      <c r="S55" s="419" t="str">
        <f t="shared" si="10"/>
        <v/>
      </c>
      <c r="T55" s="425" t="str">
        <f t="shared" si="10"/>
        <v/>
      </c>
      <c r="U55" s="419" t="str">
        <f t="shared" si="10"/>
        <v/>
      </c>
      <c r="V55" s="425" t="str">
        <f t="shared" si="10"/>
        <v/>
      </c>
      <c r="W55" s="419" t="str">
        <f t="shared" si="10"/>
        <v/>
      </c>
      <c r="X55" s="425" t="str">
        <f t="shared" si="10"/>
        <v/>
      </c>
      <c r="Y55" s="419" t="str">
        <f t="shared" si="10"/>
        <v/>
      </c>
      <c r="Z55" s="425" t="str">
        <f t="shared" si="10"/>
        <v/>
      </c>
      <c r="AA55" s="419" t="str">
        <f t="shared" si="10"/>
        <v/>
      </c>
      <c r="AB55" s="425" t="str">
        <f t="shared" si="10"/>
        <v/>
      </c>
      <c r="AC55" s="419" t="str">
        <f t="shared" si="10"/>
        <v/>
      </c>
      <c r="AD55" s="427" t="str">
        <f t="shared" si="10"/>
        <v/>
      </c>
      <c r="AE55" s="377"/>
    </row>
    <row r="56" ht="15.75" customHeight="1">
      <c r="A56" s="202"/>
      <c r="B56" s="424" t="s">
        <v>183</v>
      </c>
      <c r="C56" s="417">
        <f t="shared" ref="C56:AD56" si="11">IFS(OR(C54="",$J$2=""),"",AND(C54&gt;0,$J$2&gt;0),C54/$J$2)</f>
        <v>0.3092059734</v>
      </c>
      <c r="D56" s="418">
        <f t="shared" si="11"/>
        <v>0.3109171051</v>
      </c>
      <c r="E56" s="419">
        <f t="shared" si="11"/>
        <v>0.3100668026</v>
      </c>
      <c r="F56" s="420">
        <f t="shared" si="11"/>
        <v>0.3083066696</v>
      </c>
      <c r="G56" s="417">
        <f t="shared" si="11"/>
        <v>0.338985858</v>
      </c>
      <c r="H56" s="418">
        <f t="shared" si="11"/>
        <v>0.3171538462</v>
      </c>
      <c r="I56" s="428" t="str">
        <f t="shared" si="11"/>
        <v/>
      </c>
      <c r="J56" s="429" t="str">
        <f t="shared" si="11"/>
        <v/>
      </c>
      <c r="K56" s="430" t="str">
        <f t="shared" si="11"/>
        <v/>
      </c>
      <c r="L56" s="431" t="str">
        <f t="shared" si="11"/>
        <v/>
      </c>
      <c r="M56" s="432" t="str">
        <f t="shared" si="11"/>
        <v/>
      </c>
      <c r="N56" s="429" t="str">
        <f t="shared" si="11"/>
        <v/>
      </c>
      <c r="O56" s="430" t="str">
        <f t="shared" si="11"/>
        <v/>
      </c>
      <c r="P56" s="433" t="str">
        <f t="shared" si="11"/>
        <v/>
      </c>
      <c r="Q56" s="432" t="str">
        <f t="shared" si="11"/>
        <v/>
      </c>
      <c r="R56" s="429" t="str">
        <f t="shared" si="11"/>
        <v/>
      </c>
      <c r="S56" s="430" t="str">
        <f t="shared" si="11"/>
        <v/>
      </c>
      <c r="T56" s="431" t="str">
        <f t="shared" si="11"/>
        <v/>
      </c>
      <c r="U56" s="432" t="str">
        <f t="shared" si="11"/>
        <v/>
      </c>
      <c r="V56" s="429" t="str">
        <f t="shared" si="11"/>
        <v/>
      </c>
      <c r="W56" s="430" t="str">
        <f t="shared" si="11"/>
        <v/>
      </c>
      <c r="X56" s="431" t="str">
        <f t="shared" si="11"/>
        <v/>
      </c>
      <c r="Y56" s="432" t="str">
        <f t="shared" si="11"/>
        <v/>
      </c>
      <c r="Z56" s="429" t="str">
        <f t="shared" si="11"/>
        <v/>
      </c>
      <c r="AA56" s="430" t="str">
        <f t="shared" si="11"/>
        <v/>
      </c>
      <c r="AB56" s="431" t="str">
        <f t="shared" si="11"/>
        <v/>
      </c>
      <c r="AC56" s="432" t="str">
        <f t="shared" si="11"/>
        <v/>
      </c>
      <c r="AD56" s="434" t="str">
        <f t="shared" si="11"/>
        <v/>
      </c>
      <c r="AE56" s="377"/>
    </row>
    <row r="57" ht="15.75" customHeight="1">
      <c r="A57" s="202"/>
      <c r="B57" s="424" t="s">
        <v>184</v>
      </c>
      <c r="C57" s="417">
        <f t="shared" ref="C57:AD57" si="12">IF(AND(C21&gt;0,C39&gt;0),(C39*1000*C21)/($J$2*37.5*100),"")</f>
        <v>1.320405085</v>
      </c>
      <c r="D57" s="418">
        <f t="shared" si="12"/>
        <v>1.572074984</v>
      </c>
      <c r="E57" s="419">
        <f t="shared" si="12"/>
        <v>1.492781728</v>
      </c>
      <c r="F57" s="420">
        <f t="shared" si="12"/>
        <v>1.365721997</v>
      </c>
      <c r="G57" s="417">
        <f t="shared" si="12"/>
        <v>1.899635968</v>
      </c>
      <c r="H57" s="418">
        <f t="shared" si="12"/>
        <v>1.638757527</v>
      </c>
      <c r="I57" s="421">
        <f t="shared" si="12"/>
        <v>1.487973327</v>
      </c>
      <c r="J57" s="420">
        <f t="shared" si="12"/>
        <v>1.901586546</v>
      </c>
      <c r="K57" s="417">
        <f t="shared" si="12"/>
        <v>1.560915864</v>
      </c>
      <c r="L57" s="418">
        <f t="shared" si="12"/>
        <v>2.104083739</v>
      </c>
      <c r="M57" s="419">
        <f t="shared" si="12"/>
        <v>1.530749952</v>
      </c>
      <c r="N57" s="420">
        <f t="shared" si="12"/>
        <v>1.295546559</v>
      </c>
      <c r="O57" s="417">
        <f t="shared" si="12"/>
        <v>1.758241758</v>
      </c>
      <c r="P57" s="422">
        <f t="shared" si="12"/>
        <v>1.952845916</v>
      </c>
      <c r="Q57" s="419" t="str">
        <f t="shared" si="12"/>
        <v/>
      </c>
      <c r="R57" s="420">
        <f t="shared" si="12"/>
        <v>1.449052495</v>
      </c>
      <c r="S57" s="417" t="str">
        <f t="shared" si="12"/>
        <v/>
      </c>
      <c r="T57" s="418" t="str">
        <f t="shared" si="12"/>
        <v/>
      </c>
      <c r="U57" s="419" t="str">
        <f t="shared" si="12"/>
        <v/>
      </c>
      <c r="V57" s="420" t="str">
        <f t="shared" si="12"/>
        <v/>
      </c>
      <c r="W57" s="417" t="str">
        <f t="shared" si="12"/>
        <v/>
      </c>
      <c r="X57" s="418" t="str">
        <f t="shared" si="12"/>
        <v/>
      </c>
      <c r="Y57" s="419" t="str">
        <f t="shared" si="12"/>
        <v/>
      </c>
      <c r="Z57" s="420" t="str">
        <f t="shared" si="12"/>
        <v/>
      </c>
      <c r="AA57" s="417" t="str">
        <f t="shared" si="12"/>
        <v/>
      </c>
      <c r="AB57" s="418" t="str">
        <f t="shared" si="12"/>
        <v/>
      </c>
      <c r="AC57" s="419" t="str">
        <f t="shared" si="12"/>
        <v/>
      </c>
      <c r="AD57" s="423" t="str">
        <f t="shared" si="12"/>
        <v/>
      </c>
      <c r="AE57" s="377"/>
    </row>
    <row r="58" ht="15.75" customHeight="1">
      <c r="A58" s="202"/>
      <c r="B58" s="435" t="s">
        <v>185</v>
      </c>
      <c r="C58" s="436" t="str">
        <f t="shared" ref="C58:AD58" si="13">IFS(C41="","",C41=C40,"0",C41&lt;C40,"",C41&gt;C40,C41-(C40-C32))</f>
        <v/>
      </c>
      <c r="D58" s="437" t="str">
        <f t="shared" si="13"/>
        <v/>
      </c>
      <c r="E58" s="438" t="str">
        <f t="shared" si="13"/>
        <v/>
      </c>
      <c r="F58" s="439" t="str">
        <f t="shared" si="13"/>
        <v/>
      </c>
      <c r="G58" s="436" t="str">
        <f t="shared" si="13"/>
        <v/>
      </c>
      <c r="H58" s="437" t="str">
        <f t="shared" si="13"/>
        <v/>
      </c>
      <c r="I58" s="440" t="str">
        <f t="shared" si="13"/>
        <v/>
      </c>
      <c r="J58" s="439">
        <f t="shared" si="13"/>
        <v>16</v>
      </c>
      <c r="K58" s="436" t="str">
        <f t="shared" si="13"/>
        <v/>
      </c>
      <c r="L58" s="437" t="str">
        <f t="shared" si="13"/>
        <v/>
      </c>
      <c r="M58" s="438" t="str">
        <f t="shared" si="13"/>
        <v/>
      </c>
      <c r="N58" s="439" t="str">
        <f t="shared" si="13"/>
        <v/>
      </c>
      <c r="O58" s="436" t="str">
        <f t="shared" si="13"/>
        <v/>
      </c>
      <c r="P58" s="441" t="str">
        <f t="shared" si="13"/>
        <v/>
      </c>
      <c r="Q58" s="438" t="str">
        <f t="shared" si="13"/>
        <v/>
      </c>
      <c r="R58" s="439" t="str">
        <f t="shared" si="13"/>
        <v/>
      </c>
      <c r="S58" s="436" t="str">
        <f t="shared" si="13"/>
        <v/>
      </c>
      <c r="T58" s="437" t="str">
        <f t="shared" si="13"/>
        <v/>
      </c>
      <c r="U58" s="438" t="str">
        <f t="shared" si="13"/>
        <v/>
      </c>
      <c r="V58" s="439" t="str">
        <f t="shared" si="13"/>
        <v/>
      </c>
      <c r="W58" s="436" t="str">
        <f t="shared" si="13"/>
        <v/>
      </c>
      <c r="X58" s="437" t="str">
        <f t="shared" si="13"/>
        <v/>
      </c>
      <c r="Y58" s="438" t="str">
        <f t="shared" si="13"/>
        <v/>
      </c>
      <c r="Z58" s="439" t="str">
        <f t="shared" si="13"/>
        <v/>
      </c>
      <c r="AA58" s="436" t="str">
        <f t="shared" si="13"/>
        <v/>
      </c>
      <c r="AB58" s="437" t="str">
        <f t="shared" si="13"/>
        <v/>
      </c>
      <c r="AC58" s="438" t="str">
        <f t="shared" si="13"/>
        <v/>
      </c>
      <c r="AD58" s="442" t="str">
        <f t="shared" si="13"/>
        <v/>
      </c>
      <c r="AE58" s="377"/>
    </row>
    <row r="59" ht="15.75" customHeight="1">
      <c r="A59" s="202"/>
      <c r="B59" s="443" t="s">
        <v>186</v>
      </c>
      <c r="C59" s="444" t="str">
        <f t="shared" ref="C59:AD59" si="14">IF(C45&gt;0,(C40-C41)*(C45*0.66),"")</f>
        <v/>
      </c>
      <c r="D59" s="445" t="str">
        <f t="shared" si="14"/>
        <v/>
      </c>
      <c r="E59" s="444" t="str">
        <f t="shared" si="14"/>
        <v/>
      </c>
      <c r="F59" s="445" t="str">
        <f t="shared" si="14"/>
        <v/>
      </c>
      <c r="G59" s="444" t="str">
        <f t="shared" si="14"/>
        <v/>
      </c>
      <c r="H59" s="445" t="str">
        <f t="shared" si="14"/>
        <v/>
      </c>
      <c r="I59" s="446" t="str">
        <f t="shared" si="14"/>
        <v/>
      </c>
      <c r="J59" s="445" t="str">
        <f t="shared" si="14"/>
        <v/>
      </c>
      <c r="K59" s="444" t="str">
        <f t="shared" si="14"/>
        <v/>
      </c>
      <c r="L59" s="445">
        <f t="shared" si="14"/>
        <v>165</v>
      </c>
      <c r="M59" s="444" t="str">
        <f t="shared" si="14"/>
        <v/>
      </c>
      <c r="N59" s="445" t="str">
        <f t="shared" si="14"/>
        <v/>
      </c>
      <c r="O59" s="444" t="str">
        <f t="shared" si="14"/>
        <v/>
      </c>
      <c r="P59" s="447" t="str">
        <f t="shared" si="14"/>
        <v/>
      </c>
      <c r="Q59" s="444" t="str">
        <f t="shared" si="14"/>
        <v/>
      </c>
      <c r="R59" s="445" t="str">
        <f t="shared" si="14"/>
        <v/>
      </c>
      <c r="S59" s="444" t="str">
        <f t="shared" si="14"/>
        <v/>
      </c>
      <c r="T59" s="445" t="str">
        <f t="shared" si="14"/>
        <v/>
      </c>
      <c r="U59" s="444" t="str">
        <f t="shared" si="14"/>
        <v/>
      </c>
      <c r="V59" s="445" t="str">
        <f t="shared" si="14"/>
        <v/>
      </c>
      <c r="W59" s="444" t="str">
        <f t="shared" si="14"/>
        <v/>
      </c>
      <c r="X59" s="445" t="str">
        <f t="shared" si="14"/>
        <v/>
      </c>
      <c r="Y59" s="444" t="str">
        <f t="shared" si="14"/>
        <v/>
      </c>
      <c r="Z59" s="445" t="str">
        <f t="shared" si="14"/>
        <v/>
      </c>
      <c r="AA59" s="444" t="str">
        <f t="shared" si="14"/>
        <v/>
      </c>
      <c r="AB59" s="445" t="str">
        <f t="shared" si="14"/>
        <v/>
      </c>
      <c r="AC59" s="444" t="str">
        <f t="shared" si="14"/>
        <v/>
      </c>
      <c r="AD59" s="447" t="str">
        <f t="shared" si="14"/>
        <v/>
      </c>
      <c r="AE59" s="201"/>
    </row>
    <row r="60" ht="15.75" customHeight="1">
      <c r="A60" s="202"/>
      <c r="B60" s="443" t="s">
        <v>187</v>
      </c>
      <c r="C60" s="444" t="str">
        <f t="shared" ref="C60:AD60" si="15">IF(C45&gt;0,C45*0.75,"")</f>
        <v/>
      </c>
      <c r="D60" s="445" t="str">
        <f t="shared" si="15"/>
        <v/>
      </c>
      <c r="E60" s="444" t="str">
        <f t="shared" si="15"/>
        <v/>
      </c>
      <c r="F60" s="445" t="str">
        <f t="shared" si="15"/>
        <v/>
      </c>
      <c r="G60" s="444" t="str">
        <f t="shared" si="15"/>
        <v/>
      </c>
      <c r="H60" s="445" t="str">
        <f t="shared" si="15"/>
        <v/>
      </c>
      <c r="I60" s="446" t="str">
        <f t="shared" si="15"/>
        <v/>
      </c>
      <c r="J60" s="445" t="str">
        <f t="shared" si="15"/>
        <v/>
      </c>
      <c r="K60" s="444" t="str">
        <f t="shared" si="15"/>
        <v/>
      </c>
      <c r="L60" s="445">
        <f t="shared" si="15"/>
        <v>7.5</v>
      </c>
      <c r="M60" s="444" t="str">
        <f t="shared" si="15"/>
        <v/>
      </c>
      <c r="N60" s="445" t="str">
        <f t="shared" si="15"/>
        <v/>
      </c>
      <c r="O60" s="444" t="str">
        <f t="shared" si="15"/>
        <v/>
      </c>
      <c r="P60" s="447" t="str">
        <f t="shared" si="15"/>
        <v/>
      </c>
      <c r="Q60" s="444" t="str">
        <f t="shared" si="15"/>
        <v/>
      </c>
      <c r="R60" s="445" t="str">
        <f t="shared" si="15"/>
        <v/>
      </c>
      <c r="S60" s="444" t="str">
        <f t="shared" si="15"/>
        <v/>
      </c>
      <c r="T60" s="445" t="str">
        <f t="shared" si="15"/>
        <v/>
      </c>
      <c r="U60" s="444" t="str">
        <f t="shared" si="15"/>
        <v/>
      </c>
      <c r="V60" s="445" t="str">
        <f t="shared" si="15"/>
        <v/>
      </c>
      <c r="W60" s="444" t="str">
        <f t="shared" si="15"/>
        <v/>
      </c>
      <c r="X60" s="445" t="str">
        <f t="shared" si="15"/>
        <v/>
      </c>
      <c r="Y60" s="444" t="str">
        <f t="shared" si="15"/>
        <v/>
      </c>
      <c r="Z60" s="445" t="str">
        <f t="shared" si="15"/>
        <v/>
      </c>
      <c r="AA60" s="444" t="str">
        <f t="shared" si="15"/>
        <v/>
      </c>
      <c r="AB60" s="445" t="str">
        <f t="shared" si="15"/>
        <v/>
      </c>
      <c r="AC60" s="444" t="str">
        <f t="shared" si="15"/>
        <v/>
      </c>
      <c r="AD60" s="447" t="str">
        <f t="shared" si="15"/>
        <v/>
      </c>
      <c r="AE60" s="201"/>
    </row>
    <row r="61" ht="15.75" customHeight="1">
      <c r="A61" s="202"/>
      <c r="B61" s="443" t="s">
        <v>188</v>
      </c>
      <c r="C61" s="444">
        <f t="shared" ref="C61:AD61" si="16">IFS(AND(C51&lt;&gt;"",C37&lt;&gt;""),C51*C37,AND(C51&lt;&gt;"",C31&lt;&gt;""),C51*C31,C51="","")</f>
        <v>242</v>
      </c>
      <c r="D61" s="445">
        <f t="shared" si="16"/>
        <v>244.2</v>
      </c>
      <c r="E61" s="444">
        <f t="shared" si="16"/>
        <v>275</v>
      </c>
      <c r="F61" s="445">
        <f t="shared" si="16"/>
        <v>325.6</v>
      </c>
      <c r="G61" s="444">
        <f t="shared" si="16"/>
        <v>297.5</v>
      </c>
      <c r="H61" s="448">
        <f t="shared" si="16"/>
        <v>350</v>
      </c>
      <c r="I61" s="449">
        <f t="shared" si="16"/>
        <v>286</v>
      </c>
      <c r="J61" s="445">
        <f t="shared" si="16"/>
        <v>286</v>
      </c>
      <c r="K61" s="444" t="str">
        <f t="shared" si="16"/>
        <v/>
      </c>
      <c r="L61" s="445" t="str">
        <f t="shared" si="16"/>
        <v/>
      </c>
      <c r="M61" s="444" t="str">
        <f t="shared" si="16"/>
        <v/>
      </c>
      <c r="N61" s="445" t="str">
        <f t="shared" si="16"/>
        <v/>
      </c>
      <c r="O61" s="444" t="str">
        <f t="shared" si="16"/>
        <v/>
      </c>
      <c r="P61" s="447" t="str">
        <f t="shared" si="16"/>
        <v/>
      </c>
      <c r="Q61" s="444" t="str">
        <f t="shared" si="16"/>
        <v/>
      </c>
      <c r="R61" s="445" t="str">
        <f t="shared" si="16"/>
        <v/>
      </c>
      <c r="S61" s="444" t="str">
        <f t="shared" si="16"/>
        <v/>
      </c>
      <c r="T61" s="444" t="str">
        <f t="shared" si="16"/>
        <v/>
      </c>
      <c r="U61" s="444" t="str">
        <f t="shared" si="16"/>
        <v/>
      </c>
      <c r="V61" s="445" t="str">
        <f t="shared" si="16"/>
        <v/>
      </c>
      <c r="W61" s="444" t="str">
        <f t="shared" si="16"/>
        <v/>
      </c>
      <c r="X61" s="445" t="str">
        <f t="shared" si="16"/>
        <v/>
      </c>
      <c r="Y61" s="444" t="str">
        <f t="shared" si="16"/>
        <v/>
      </c>
      <c r="Z61" s="445" t="str">
        <f t="shared" si="16"/>
        <v/>
      </c>
      <c r="AA61" s="444" t="str">
        <f t="shared" si="16"/>
        <v/>
      </c>
      <c r="AB61" s="445" t="str">
        <f t="shared" si="16"/>
        <v/>
      </c>
      <c r="AC61" s="444" t="str">
        <f t="shared" si="16"/>
        <v/>
      </c>
      <c r="AD61" s="446" t="str">
        <f t="shared" si="16"/>
        <v/>
      </c>
      <c r="AE61" s="201"/>
    </row>
    <row r="62" ht="15.75" customHeight="1">
      <c r="A62" s="275"/>
      <c r="B62" s="450" t="s">
        <v>189</v>
      </c>
      <c r="C62" s="451">
        <f t="shared" ref="C62:AD62" si="17">IFS(C50="","",AND(C50&lt;&gt;"",C27&lt;&gt;""),(C50*100*C27)/C22)</f>
        <v>14.13907285</v>
      </c>
      <c r="D62" s="452">
        <f t="shared" si="17"/>
        <v>11.33006198</v>
      </c>
      <c r="E62" s="453">
        <f t="shared" si="17"/>
        <v>8.043478261</v>
      </c>
      <c r="F62" s="452">
        <f t="shared" si="17"/>
        <v>11.84667802</v>
      </c>
      <c r="G62" s="453">
        <f t="shared" si="17"/>
        <v>9.492896425</v>
      </c>
      <c r="H62" s="452">
        <f t="shared" si="17"/>
        <v>14.617737</v>
      </c>
      <c r="I62" s="454">
        <f t="shared" si="17"/>
        <v>7.762376238</v>
      </c>
      <c r="J62" s="452">
        <f t="shared" si="17"/>
        <v>10.51682692</v>
      </c>
      <c r="K62" s="453" t="str">
        <f t="shared" si="17"/>
        <v/>
      </c>
      <c r="L62" s="452" t="str">
        <f t="shared" si="17"/>
        <v/>
      </c>
      <c r="M62" s="453" t="str">
        <f t="shared" si="17"/>
        <v/>
      </c>
      <c r="N62" s="452" t="str">
        <f t="shared" si="17"/>
        <v/>
      </c>
      <c r="O62" s="453" t="str">
        <f t="shared" si="17"/>
        <v/>
      </c>
      <c r="P62" s="455" t="str">
        <f t="shared" si="17"/>
        <v/>
      </c>
      <c r="Q62" s="453" t="str">
        <f t="shared" si="17"/>
        <v/>
      </c>
      <c r="R62" s="452" t="str">
        <f t="shared" si="17"/>
        <v/>
      </c>
      <c r="S62" s="453" t="str">
        <f t="shared" si="17"/>
        <v/>
      </c>
      <c r="T62" s="452" t="str">
        <f t="shared" si="17"/>
        <v/>
      </c>
      <c r="U62" s="453" t="str">
        <f t="shared" si="17"/>
        <v/>
      </c>
      <c r="V62" s="456" t="str">
        <f t="shared" si="17"/>
        <v/>
      </c>
      <c r="W62" s="457" t="str">
        <f t="shared" si="17"/>
        <v/>
      </c>
      <c r="X62" s="456" t="str">
        <f t="shared" si="17"/>
        <v/>
      </c>
      <c r="Y62" s="457" t="str">
        <f t="shared" si="17"/>
        <v/>
      </c>
      <c r="Z62" s="456" t="str">
        <f t="shared" si="17"/>
        <v/>
      </c>
      <c r="AA62" s="457" t="str">
        <f t="shared" si="17"/>
        <v/>
      </c>
      <c r="AB62" s="456" t="str">
        <f t="shared" si="17"/>
        <v/>
      </c>
      <c r="AC62" s="457" t="str">
        <f t="shared" si="17"/>
        <v/>
      </c>
      <c r="AD62" s="458" t="str">
        <f t="shared" si="17"/>
        <v/>
      </c>
      <c r="AE62" s="201"/>
    </row>
    <row r="63" ht="15.75" customHeight="1">
      <c r="A63" s="459"/>
      <c r="B63" s="460"/>
      <c r="C63" s="181"/>
      <c r="D63" s="181"/>
      <c r="E63" s="181"/>
      <c r="F63" s="181"/>
      <c r="G63" s="181"/>
      <c r="H63" s="56"/>
      <c r="I63" s="56"/>
      <c r="J63" s="56"/>
      <c r="K63" s="181"/>
      <c r="L63" s="181"/>
      <c r="M63" s="181"/>
      <c r="N63" s="181"/>
      <c r="O63" s="181"/>
      <c r="P63" s="181"/>
      <c r="Q63" s="181"/>
      <c r="R63" s="181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1"/>
    </row>
    <row r="64" ht="15.75" customHeight="1">
      <c r="A64" s="459"/>
      <c r="B64" s="460"/>
      <c r="C64" s="181"/>
      <c r="D64" s="181"/>
      <c r="E64" s="181"/>
      <c r="F64" s="181"/>
      <c r="G64" s="181"/>
      <c r="H64" s="56"/>
      <c r="I64" s="56"/>
      <c r="J64" s="56"/>
      <c r="K64" s="181"/>
      <c r="L64" s="181"/>
      <c r="M64" s="181"/>
      <c r="N64" s="181"/>
      <c r="O64" s="181"/>
      <c r="P64" s="181"/>
      <c r="Q64" s="181"/>
      <c r="R64" s="181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1"/>
    </row>
    <row r="65" ht="15.75" customHeight="1">
      <c r="A65" s="459"/>
      <c r="B65" s="461" t="s">
        <v>109</v>
      </c>
      <c r="C65" s="462">
        <f>SUM(C66:C70)</f>
        <v>7</v>
      </c>
      <c r="D65" s="181"/>
      <c r="E65" s="463" t="s">
        <v>108</v>
      </c>
      <c r="F65" s="464">
        <f>F66+F67+F68+F69+F71</f>
        <v>10</v>
      </c>
      <c r="G65" s="181"/>
      <c r="H65" s="465" t="s">
        <v>110</v>
      </c>
      <c r="I65" s="466">
        <f>SUM(I66:I72)</f>
        <v>6</v>
      </c>
      <c r="J65" s="56"/>
      <c r="K65" s="467" t="s">
        <v>190</v>
      </c>
      <c r="L65" s="188"/>
      <c r="M65" s="468">
        <f>COUNTIF(15:15,"POSITIVO")</f>
        <v>1</v>
      </c>
      <c r="N65" s="181"/>
      <c r="O65" s="469" t="s">
        <v>191</v>
      </c>
      <c r="P65" s="462" t="str">
        <f>IF(P66&gt;0,"SI","NO")</f>
        <v>NO</v>
      </c>
      <c r="Q65" s="181"/>
      <c r="R65" s="181"/>
      <c r="S65" s="470" t="s">
        <v>105</v>
      </c>
      <c r="T65" s="471">
        <f>COUNTIF(28:28,"&lt;200")</f>
        <v>5</v>
      </c>
      <c r="U65" s="56"/>
      <c r="V65" s="56"/>
      <c r="W65" s="56"/>
      <c r="X65" s="56"/>
      <c r="Y65" s="56"/>
      <c r="Z65" s="56"/>
      <c r="AB65" s="183"/>
      <c r="AC65" s="183"/>
      <c r="AD65" s="183"/>
      <c r="AE65" s="201"/>
    </row>
    <row r="66" ht="15.75" customHeight="1">
      <c r="A66" s="56"/>
      <c r="B66" s="472" t="s">
        <v>192</v>
      </c>
      <c r="C66" s="473">
        <f>COUNTIF(14:14,"MDZ")</f>
        <v>7</v>
      </c>
      <c r="D66" s="181"/>
      <c r="E66" s="474" t="s">
        <v>193</v>
      </c>
      <c r="F66" s="475">
        <f>COUNTIF(12:12,"FNT")</f>
        <v>0</v>
      </c>
      <c r="G66" s="181"/>
      <c r="H66" s="472" t="s">
        <v>194</v>
      </c>
      <c r="I66" s="476">
        <f>COUNTIF(19:19,"NORA")</f>
        <v>2</v>
      </c>
      <c r="J66" s="177"/>
      <c r="K66" s="477" t="s">
        <v>195</v>
      </c>
      <c r="L66" s="188"/>
      <c r="M66" s="478">
        <f>COUNTIF(15:15,"NEGATIVO")</f>
        <v>4</v>
      </c>
      <c r="N66" s="479"/>
      <c r="O66" s="480" t="s">
        <v>196</v>
      </c>
      <c r="P66" s="475">
        <f>COUNTIFS(17:17,"&gt;=0",17:17,"&lt;48")</f>
        <v>0</v>
      </c>
      <c r="Q66" s="481" t="s">
        <v>197</v>
      </c>
      <c r="R66" s="182"/>
      <c r="AB66" s="183"/>
      <c r="AC66" s="183"/>
      <c r="AD66" s="183"/>
      <c r="AE66" s="183"/>
    </row>
    <row r="67" ht="15.75" customHeight="1">
      <c r="A67" s="482"/>
      <c r="B67" s="483" t="s">
        <v>198</v>
      </c>
      <c r="C67" s="484">
        <f>COUNTIF(14:14,"PROPO")</f>
        <v>0</v>
      </c>
      <c r="D67" s="485"/>
      <c r="E67" s="486" t="s">
        <v>199</v>
      </c>
      <c r="F67" s="487">
        <f>COUNTIF(12:12,"MORF")</f>
        <v>10</v>
      </c>
      <c r="G67" s="485"/>
      <c r="H67" s="488" t="s">
        <v>200</v>
      </c>
      <c r="I67" s="489">
        <f>COUNTIF(19:19,"VASO")</f>
        <v>0</v>
      </c>
      <c r="J67" s="177"/>
      <c r="K67" s="477" t="s">
        <v>201</v>
      </c>
      <c r="L67" s="188"/>
      <c r="M67" s="478">
        <f>COUNTIF(15:15,"N/E")</f>
        <v>9</v>
      </c>
      <c r="N67" s="479"/>
      <c r="O67" s="490" t="s">
        <v>202</v>
      </c>
      <c r="P67" s="491">
        <f>COUNTIF(17:17,"&gt;=48")</f>
        <v>0</v>
      </c>
      <c r="Q67" s="492" t="s">
        <v>197</v>
      </c>
      <c r="R67" s="182"/>
      <c r="AB67" s="183"/>
      <c r="AC67" s="183"/>
      <c r="AD67" s="183"/>
      <c r="AE67" s="183"/>
    </row>
    <row r="68" ht="15.75" customHeight="1">
      <c r="A68" s="482"/>
      <c r="B68" s="483" t="s">
        <v>203</v>
      </c>
      <c r="C68" s="484">
        <f>COUNTIF(14:14,"DEXMEDETO")</f>
        <v>0</v>
      </c>
      <c r="D68" s="485"/>
      <c r="E68" s="486" t="s">
        <v>204</v>
      </c>
      <c r="F68" s="487">
        <f>COUNTIF(12:12,"REMI")</f>
        <v>0</v>
      </c>
      <c r="G68" s="485"/>
      <c r="H68" s="488" t="s">
        <v>205</v>
      </c>
      <c r="I68" s="489">
        <f>COUNTIF(19:19,"DOPA")</f>
        <v>0</v>
      </c>
      <c r="J68" s="177"/>
      <c r="K68" s="479"/>
      <c r="L68" s="479"/>
      <c r="M68" s="479"/>
      <c r="N68" s="479"/>
      <c r="O68" s="479"/>
      <c r="P68" s="479"/>
      <c r="Q68" s="479"/>
      <c r="R68" s="182"/>
      <c r="AB68" s="183"/>
      <c r="AC68" s="183"/>
      <c r="AD68" s="183"/>
      <c r="AE68" s="183"/>
    </row>
    <row r="69" ht="15.75" customHeight="1">
      <c r="A69" s="482"/>
      <c r="B69" s="483" t="s">
        <v>206</v>
      </c>
      <c r="C69" s="493">
        <f>COUNTIF(14:14,"MDZ/PROPO")</f>
        <v>0</v>
      </c>
      <c r="D69" s="479"/>
      <c r="E69" s="486" t="s">
        <v>207</v>
      </c>
      <c r="F69" s="489">
        <f>COUNTIF(12:12,"DOLOFRIX")</f>
        <v>0</v>
      </c>
      <c r="G69" s="479"/>
      <c r="H69" s="494" t="s">
        <v>208</v>
      </c>
      <c r="I69" s="489">
        <f>COUNTIF(19:19,"NORA/VASO")</f>
        <v>0</v>
      </c>
      <c r="J69" s="177"/>
      <c r="K69" s="495" t="s">
        <v>209</v>
      </c>
      <c r="L69" s="188"/>
      <c r="M69" s="496">
        <f>SUM(M70:M72)</f>
        <v>0</v>
      </c>
      <c r="N69" s="479"/>
      <c r="O69" s="497" t="s">
        <v>106</v>
      </c>
      <c r="P69" s="498">
        <f>SUM(P70:P73)</f>
        <v>6</v>
      </c>
      <c r="Q69" s="479"/>
      <c r="R69" s="182"/>
      <c r="AB69" s="183"/>
      <c r="AC69" s="183"/>
      <c r="AD69" s="183"/>
      <c r="AE69" s="183"/>
    </row>
    <row r="70" ht="15.75" customHeight="1">
      <c r="A70" s="482"/>
      <c r="B70" s="483" t="s">
        <v>210</v>
      </c>
      <c r="C70" s="493">
        <f>COUNTIF(14:14,"KETA")</f>
        <v>0</v>
      </c>
      <c r="D70" s="479"/>
      <c r="E70" s="486" t="s">
        <v>211</v>
      </c>
      <c r="F70" s="489">
        <f>COUNTIF(12:12,"AINES")</f>
        <v>0</v>
      </c>
      <c r="G70" s="479"/>
      <c r="H70" s="494" t="s">
        <v>212</v>
      </c>
      <c r="I70" s="489">
        <f>COUNTIF(19:19,"DOBUTA")</f>
        <v>4</v>
      </c>
      <c r="J70" s="177"/>
      <c r="K70" s="499" t="s">
        <v>213</v>
      </c>
      <c r="L70" s="138"/>
      <c r="M70" s="500">
        <f>COUNTIF(16:16,"QTP")</f>
        <v>0</v>
      </c>
      <c r="N70" s="479"/>
      <c r="O70" s="501" t="s">
        <v>214</v>
      </c>
      <c r="P70" s="502">
        <f>COUNTIF(18:18,"ATRA")</f>
        <v>6</v>
      </c>
      <c r="Q70" s="479"/>
      <c r="R70" s="182"/>
      <c r="AB70" s="183"/>
      <c r="AC70" s="183"/>
      <c r="AD70" s="183"/>
      <c r="AE70" s="183"/>
    </row>
    <row r="71" ht="15.75" customHeight="1">
      <c r="A71" s="482"/>
      <c r="B71" s="503" t="s">
        <v>215</v>
      </c>
      <c r="C71" s="504">
        <f>COUNTIF(14:14,"OTROS")</f>
        <v>0</v>
      </c>
      <c r="D71" s="479"/>
      <c r="E71" s="505" t="s">
        <v>215</v>
      </c>
      <c r="F71" s="491">
        <f>COUNTIF(12:12,"OTROS")</f>
        <v>0</v>
      </c>
      <c r="G71" s="479"/>
      <c r="H71" s="494" t="s">
        <v>216</v>
      </c>
      <c r="I71" s="489">
        <f>COUNTIF(19:19,"MILRI")</f>
        <v>0</v>
      </c>
      <c r="J71" s="177"/>
      <c r="K71" s="499" t="s">
        <v>217</v>
      </c>
      <c r="L71" s="138"/>
      <c r="M71" s="500">
        <f>COUNTIF(16:16,"HLP")</f>
        <v>0</v>
      </c>
      <c r="N71" s="479"/>
      <c r="O71" s="505" t="s">
        <v>218</v>
      </c>
      <c r="P71" s="504">
        <f>COUNTIF(18:18,"ROCU")</f>
        <v>0</v>
      </c>
      <c r="Q71" s="479"/>
      <c r="R71" s="182"/>
      <c r="AB71" s="183"/>
      <c r="AC71" s="183"/>
      <c r="AD71" s="183"/>
      <c r="AE71" s="183"/>
    </row>
    <row r="72" ht="15.75" customHeight="1">
      <c r="B72" s="177"/>
      <c r="C72" s="479"/>
      <c r="D72" s="479"/>
      <c r="E72" s="479"/>
      <c r="F72" s="479"/>
      <c r="G72" s="479"/>
      <c r="H72" s="506" t="s">
        <v>215</v>
      </c>
      <c r="I72" s="491">
        <f>COUNTIF(19:19,"OTROS")</f>
        <v>0</v>
      </c>
      <c r="J72" s="177"/>
      <c r="K72" s="490" t="s">
        <v>219</v>
      </c>
      <c r="L72" s="58"/>
      <c r="M72" s="507">
        <f>COUNTIF(16:16,"QTP/HLP")</f>
        <v>0</v>
      </c>
      <c r="N72" s="479"/>
      <c r="O72" s="508"/>
      <c r="P72" s="479"/>
      <c r="Q72" s="479"/>
      <c r="R72" s="182"/>
      <c r="AB72" s="183"/>
      <c r="AC72" s="183"/>
      <c r="AD72" s="183"/>
      <c r="AE72" s="183"/>
    </row>
    <row r="73" ht="15.75" customHeight="1">
      <c r="B73" s="177"/>
      <c r="C73" s="479"/>
      <c r="D73" s="479"/>
      <c r="E73" s="479"/>
      <c r="F73" s="479"/>
      <c r="G73" s="479"/>
      <c r="H73" s="177"/>
      <c r="I73" s="177"/>
      <c r="J73" s="177"/>
      <c r="K73" s="479"/>
      <c r="L73" s="479"/>
      <c r="M73" s="479"/>
      <c r="N73" s="479"/>
      <c r="O73" s="508"/>
      <c r="P73" s="479"/>
      <c r="Q73" s="479"/>
      <c r="R73" s="182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K74" s="182"/>
      <c r="L74" s="182"/>
      <c r="M74" s="182"/>
      <c r="N74" s="182"/>
      <c r="O74" s="182"/>
      <c r="P74" s="182"/>
      <c r="Q74" s="182"/>
      <c r="R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K75" s="182"/>
      <c r="L75" s="182"/>
      <c r="M75" s="182"/>
      <c r="N75" s="182"/>
      <c r="O75" s="182"/>
      <c r="P75" s="182"/>
      <c r="Q75" s="182"/>
      <c r="R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K76" s="182"/>
      <c r="L76" s="182"/>
      <c r="M76" s="182"/>
      <c r="N76" s="182"/>
      <c r="O76" s="182"/>
      <c r="P76" s="182"/>
      <c r="Q76" s="182"/>
      <c r="R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K77" s="182"/>
      <c r="L77" s="182"/>
      <c r="M77" s="182"/>
      <c r="N77" s="182"/>
      <c r="O77" s="182"/>
      <c r="P77" s="182"/>
      <c r="Q77" s="182"/>
      <c r="R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K78" s="182"/>
      <c r="L78" s="182"/>
      <c r="M78" s="182"/>
      <c r="N78" s="182"/>
      <c r="O78" s="182"/>
      <c r="P78" s="182"/>
      <c r="Q78" s="182"/>
      <c r="R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K79" s="182"/>
      <c r="L79" s="182"/>
      <c r="M79" s="182"/>
      <c r="N79" s="182"/>
      <c r="O79" s="182"/>
      <c r="P79" s="182"/>
      <c r="Q79" s="182"/>
      <c r="R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K80" s="182"/>
      <c r="L80" s="182"/>
      <c r="M80" s="182"/>
      <c r="N80" s="182"/>
      <c r="O80" s="182"/>
      <c r="P80" s="182"/>
      <c r="Q80" s="182"/>
      <c r="R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K81" s="182"/>
      <c r="L81" s="182"/>
      <c r="M81" s="182"/>
      <c r="N81" s="182"/>
      <c r="O81" s="182"/>
      <c r="P81" s="182"/>
      <c r="Q81" s="182"/>
      <c r="R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K82" s="182"/>
      <c r="L82" s="182"/>
      <c r="M82" s="182"/>
      <c r="N82" s="182"/>
      <c r="O82" s="182"/>
      <c r="P82" s="182"/>
      <c r="Q82" s="182"/>
      <c r="R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K83" s="182"/>
      <c r="L83" s="182"/>
      <c r="M83" s="182"/>
      <c r="N83" s="182"/>
      <c r="O83" s="182"/>
      <c r="P83" s="182"/>
      <c r="Q83" s="182"/>
      <c r="R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K84" s="182"/>
      <c r="L84" s="182"/>
      <c r="M84" s="182"/>
      <c r="N84" s="182"/>
      <c r="O84" s="182"/>
      <c r="P84" s="182"/>
      <c r="Q84" s="182"/>
      <c r="R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K85" s="182"/>
      <c r="L85" s="182"/>
      <c r="M85" s="182"/>
      <c r="N85" s="182"/>
      <c r="O85" s="182"/>
      <c r="P85" s="182"/>
      <c r="Q85" s="182"/>
      <c r="R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K86" s="182"/>
      <c r="L86" s="182"/>
      <c r="M86" s="182"/>
      <c r="N86" s="182"/>
      <c r="O86" s="182"/>
      <c r="P86" s="182"/>
      <c r="Q86" s="182"/>
      <c r="R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K87" s="182"/>
      <c r="L87" s="182"/>
      <c r="M87" s="182"/>
      <c r="N87" s="182"/>
      <c r="O87" s="182"/>
      <c r="P87" s="182"/>
      <c r="Q87" s="182"/>
      <c r="R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K88" s="182"/>
      <c r="L88" s="182"/>
      <c r="M88" s="182"/>
      <c r="N88" s="182"/>
      <c r="O88" s="182"/>
      <c r="P88" s="182"/>
      <c r="Q88" s="182"/>
      <c r="R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K89" s="182"/>
      <c r="L89" s="182"/>
      <c r="M89" s="182"/>
      <c r="N89" s="182"/>
      <c r="O89" s="182"/>
      <c r="P89" s="182"/>
      <c r="Q89" s="182"/>
      <c r="R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K90" s="182"/>
      <c r="L90" s="182"/>
      <c r="M90" s="182"/>
      <c r="N90" s="182"/>
      <c r="O90" s="182"/>
      <c r="P90" s="182"/>
      <c r="Q90" s="182"/>
      <c r="R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K91" s="182"/>
      <c r="L91" s="182"/>
      <c r="M91" s="182"/>
      <c r="N91" s="182"/>
      <c r="O91" s="182"/>
      <c r="P91" s="182"/>
      <c r="Q91" s="182"/>
      <c r="R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K92" s="182"/>
      <c r="L92" s="182"/>
      <c r="M92" s="182"/>
      <c r="N92" s="182"/>
      <c r="O92" s="182"/>
      <c r="P92" s="182"/>
      <c r="Q92" s="182"/>
      <c r="R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K93" s="182"/>
      <c r="L93" s="182"/>
      <c r="M93" s="182"/>
      <c r="N93" s="182"/>
      <c r="O93" s="182"/>
      <c r="P93" s="182"/>
      <c r="Q93" s="182"/>
      <c r="R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K94" s="182"/>
      <c r="L94" s="182"/>
      <c r="M94" s="182"/>
      <c r="N94" s="182"/>
      <c r="O94" s="182"/>
      <c r="P94" s="182"/>
      <c r="Q94" s="182"/>
      <c r="R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K95" s="182"/>
      <c r="L95" s="182"/>
      <c r="M95" s="182"/>
      <c r="N95" s="182"/>
      <c r="O95" s="182"/>
      <c r="P95" s="182"/>
      <c r="Q95" s="182"/>
      <c r="R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K96" s="182"/>
      <c r="L96" s="182"/>
      <c r="M96" s="182"/>
      <c r="N96" s="182"/>
      <c r="O96" s="182"/>
      <c r="P96" s="182"/>
      <c r="Q96" s="182"/>
      <c r="R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K97" s="182"/>
      <c r="L97" s="182"/>
      <c r="M97" s="182"/>
      <c r="N97" s="182"/>
      <c r="O97" s="182"/>
      <c r="P97" s="182"/>
      <c r="Q97" s="182"/>
      <c r="R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K98" s="182"/>
      <c r="L98" s="182"/>
      <c r="M98" s="182"/>
      <c r="N98" s="182"/>
      <c r="O98" s="182"/>
      <c r="P98" s="182"/>
      <c r="Q98" s="182"/>
      <c r="R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K99" s="182"/>
      <c r="L99" s="182"/>
      <c r="M99" s="182"/>
      <c r="N99" s="182"/>
      <c r="O99" s="182"/>
      <c r="P99" s="182"/>
      <c r="Q99" s="182"/>
      <c r="R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K100" s="182"/>
      <c r="L100" s="182"/>
      <c r="M100" s="182"/>
      <c r="N100" s="182"/>
      <c r="O100" s="182"/>
      <c r="P100" s="182"/>
      <c r="Q100" s="182"/>
      <c r="R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K101" s="182"/>
      <c r="L101" s="182"/>
      <c r="M101" s="182"/>
      <c r="N101" s="182"/>
      <c r="O101" s="182"/>
      <c r="P101" s="182"/>
      <c r="Q101" s="182"/>
      <c r="R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K102" s="182"/>
      <c r="L102" s="182"/>
      <c r="M102" s="182"/>
      <c r="N102" s="182"/>
      <c r="O102" s="182"/>
      <c r="P102" s="182"/>
      <c r="Q102" s="182"/>
      <c r="R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K103" s="182"/>
      <c r="L103" s="182"/>
      <c r="M103" s="182"/>
      <c r="N103" s="182"/>
      <c r="O103" s="182"/>
      <c r="P103" s="182"/>
      <c r="Q103" s="182"/>
      <c r="R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K104" s="182"/>
      <c r="L104" s="182"/>
      <c r="M104" s="182"/>
      <c r="N104" s="182"/>
      <c r="O104" s="182"/>
      <c r="P104" s="182"/>
      <c r="Q104" s="182"/>
      <c r="R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K105" s="182"/>
      <c r="L105" s="182"/>
      <c r="M105" s="182"/>
      <c r="N105" s="182"/>
      <c r="O105" s="182"/>
      <c r="P105" s="182"/>
      <c r="Q105" s="182"/>
      <c r="R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K106" s="182"/>
      <c r="L106" s="182"/>
      <c r="M106" s="182"/>
      <c r="N106" s="182"/>
      <c r="O106" s="182"/>
      <c r="P106" s="182"/>
      <c r="Q106" s="182"/>
      <c r="R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K107" s="182"/>
      <c r="L107" s="182"/>
      <c r="M107" s="182"/>
      <c r="N107" s="182"/>
      <c r="O107" s="182"/>
      <c r="P107" s="182"/>
      <c r="Q107" s="182"/>
      <c r="R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K108" s="182"/>
      <c r="L108" s="182"/>
      <c r="M108" s="182"/>
      <c r="N108" s="182"/>
      <c r="O108" s="182"/>
      <c r="P108" s="182"/>
      <c r="Q108" s="182"/>
      <c r="R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K109" s="182"/>
      <c r="L109" s="182"/>
      <c r="M109" s="182"/>
      <c r="N109" s="182"/>
      <c r="O109" s="182"/>
      <c r="P109" s="182"/>
      <c r="Q109" s="182"/>
      <c r="R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K110" s="182"/>
      <c r="L110" s="182"/>
      <c r="M110" s="182"/>
      <c r="N110" s="182"/>
      <c r="O110" s="182"/>
      <c r="P110" s="182"/>
      <c r="Q110" s="182"/>
      <c r="R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K111" s="182"/>
      <c r="L111" s="182"/>
      <c r="M111" s="182"/>
      <c r="N111" s="182"/>
      <c r="O111" s="182"/>
      <c r="P111" s="182"/>
      <c r="Q111" s="182"/>
      <c r="R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K112" s="182"/>
      <c r="L112" s="182"/>
      <c r="M112" s="182"/>
      <c r="N112" s="182"/>
      <c r="O112" s="182"/>
      <c r="P112" s="182"/>
      <c r="Q112" s="182"/>
      <c r="R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K113" s="182"/>
      <c r="L113" s="182"/>
      <c r="M113" s="182"/>
      <c r="N113" s="182"/>
      <c r="O113" s="182"/>
      <c r="P113" s="182"/>
      <c r="Q113" s="182"/>
      <c r="R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K114" s="182"/>
      <c r="L114" s="182"/>
      <c r="M114" s="182"/>
      <c r="N114" s="182"/>
      <c r="O114" s="182"/>
      <c r="P114" s="182"/>
      <c r="Q114" s="182"/>
      <c r="R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K115" s="182"/>
      <c r="L115" s="182"/>
      <c r="M115" s="182"/>
      <c r="N115" s="182"/>
      <c r="O115" s="182"/>
      <c r="P115" s="182"/>
      <c r="Q115" s="182"/>
      <c r="R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K116" s="182"/>
      <c r="L116" s="182"/>
      <c r="M116" s="182"/>
      <c r="N116" s="182"/>
      <c r="O116" s="182"/>
      <c r="P116" s="182"/>
      <c r="Q116" s="182"/>
      <c r="R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K117" s="182"/>
      <c r="L117" s="182"/>
      <c r="M117" s="182"/>
      <c r="N117" s="182"/>
      <c r="O117" s="182"/>
      <c r="P117" s="182"/>
      <c r="Q117" s="182"/>
      <c r="R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K118" s="182"/>
      <c r="L118" s="182"/>
      <c r="M118" s="182"/>
      <c r="N118" s="182"/>
      <c r="O118" s="182"/>
      <c r="P118" s="182"/>
      <c r="Q118" s="182"/>
      <c r="R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K119" s="182"/>
      <c r="L119" s="182"/>
      <c r="M119" s="182"/>
      <c r="N119" s="182"/>
      <c r="O119" s="182"/>
      <c r="P119" s="182"/>
      <c r="Q119" s="182"/>
      <c r="R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K120" s="182"/>
      <c r="L120" s="182"/>
      <c r="M120" s="182"/>
      <c r="N120" s="182"/>
      <c r="O120" s="182"/>
      <c r="P120" s="182"/>
      <c r="Q120" s="182"/>
      <c r="R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K121" s="182"/>
      <c r="L121" s="182"/>
      <c r="M121" s="182"/>
      <c r="N121" s="182"/>
      <c r="O121" s="182"/>
      <c r="P121" s="182"/>
      <c r="Q121" s="182"/>
      <c r="R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K122" s="182"/>
      <c r="L122" s="182"/>
      <c r="M122" s="182"/>
      <c r="N122" s="182"/>
      <c r="O122" s="182"/>
      <c r="P122" s="182"/>
      <c r="Q122" s="182"/>
      <c r="R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K123" s="182"/>
      <c r="L123" s="182"/>
      <c r="M123" s="182"/>
      <c r="N123" s="182"/>
      <c r="O123" s="182"/>
      <c r="P123" s="182"/>
      <c r="Q123" s="182"/>
      <c r="R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K124" s="182"/>
      <c r="L124" s="182"/>
      <c r="M124" s="182"/>
      <c r="N124" s="182"/>
      <c r="O124" s="182"/>
      <c r="P124" s="182"/>
      <c r="Q124" s="182"/>
      <c r="R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K125" s="182"/>
      <c r="L125" s="182"/>
      <c r="M125" s="182"/>
      <c r="N125" s="182"/>
      <c r="O125" s="182"/>
      <c r="P125" s="182"/>
      <c r="Q125" s="182"/>
      <c r="R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K126" s="182"/>
      <c r="L126" s="182"/>
      <c r="M126" s="182"/>
      <c r="N126" s="182"/>
      <c r="O126" s="182"/>
      <c r="P126" s="182"/>
      <c r="Q126" s="182"/>
      <c r="R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K127" s="182"/>
      <c r="L127" s="182"/>
      <c r="M127" s="182"/>
      <c r="N127" s="182"/>
      <c r="O127" s="182"/>
      <c r="P127" s="182"/>
      <c r="Q127" s="182"/>
      <c r="R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K128" s="182"/>
      <c r="L128" s="182"/>
      <c r="M128" s="182"/>
      <c r="N128" s="182"/>
      <c r="O128" s="182"/>
      <c r="P128" s="182"/>
      <c r="Q128" s="182"/>
      <c r="R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K129" s="182"/>
      <c r="L129" s="182"/>
      <c r="M129" s="182"/>
      <c r="N129" s="182"/>
      <c r="O129" s="182"/>
      <c r="P129" s="182"/>
      <c r="Q129" s="182"/>
      <c r="R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K130" s="182"/>
      <c r="L130" s="182"/>
      <c r="M130" s="182"/>
      <c r="N130" s="182"/>
      <c r="O130" s="182"/>
      <c r="P130" s="182"/>
      <c r="Q130" s="182"/>
      <c r="R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K131" s="182"/>
      <c r="L131" s="182"/>
      <c r="M131" s="182"/>
      <c r="N131" s="182"/>
      <c r="O131" s="182"/>
      <c r="P131" s="182"/>
      <c r="Q131" s="182"/>
      <c r="R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K132" s="182"/>
      <c r="L132" s="182"/>
      <c r="M132" s="182"/>
      <c r="N132" s="182"/>
      <c r="O132" s="182"/>
      <c r="P132" s="182"/>
      <c r="Q132" s="182"/>
      <c r="R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K133" s="182"/>
      <c r="L133" s="182"/>
      <c r="M133" s="182"/>
      <c r="N133" s="182"/>
      <c r="O133" s="182"/>
      <c r="P133" s="182"/>
      <c r="Q133" s="182"/>
      <c r="R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K134" s="182"/>
      <c r="L134" s="182"/>
      <c r="M134" s="182"/>
      <c r="N134" s="182"/>
      <c r="O134" s="182"/>
      <c r="P134" s="182"/>
      <c r="Q134" s="182"/>
      <c r="R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K135" s="182"/>
      <c r="L135" s="182"/>
      <c r="M135" s="182"/>
      <c r="N135" s="182"/>
      <c r="O135" s="182"/>
      <c r="P135" s="182"/>
      <c r="Q135" s="182"/>
      <c r="R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K136" s="182"/>
      <c r="L136" s="182"/>
      <c r="M136" s="182"/>
      <c r="N136" s="182"/>
      <c r="O136" s="182"/>
      <c r="P136" s="182"/>
      <c r="Q136" s="182"/>
      <c r="R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K137" s="182"/>
      <c r="L137" s="182"/>
      <c r="M137" s="182"/>
      <c r="N137" s="182"/>
      <c r="O137" s="182"/>
      <c r="P137" s="182"/>
      <c r="Q137" s="182"/>
      <c r="R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K138" s="182"/>
      <c r="L138" s="182"/>
      <c r="M138" s="182"/>
      <c r="N138" s="182"/>
      <c r="O138" s="182"/>
      <c r="P138" s="182"/>
      <c r="Q138" s="182"/>
      <c r="R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K139" s="182"/>
      <c r="L139" s="182"/>
      <c r="M139" s="182"/>
      <c r="N139" s="182"/>
      <c r="O139" s="182"/>
      <c r="P139" s="182"/>
      <c r="Q139" s="182"/>
      <c r="R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K140" s="182"/>
      <c r="L140" s="182"/>
      <c r="M140" s="182"/>
      <c r="N140" s="182"/>
      <c r="O140" s="182"/>
      <c r="P140" s="182"/>
      <c r="Q140" s="182"/>
      <c r="R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K141" s="182"/>
      <c r="L141" s="182"/>
      <c r="M141" s="182"/>
      <c r="N141" s="182"/>
      <c r="O141" s="182"/>
      <c r="P141" s="182"/>
      <c r="Q141" s="182"/>
      <c r="R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K142" s="182"/>
      <c r="L142" s="182"/>
      <c r="M142" s="182"/>
      <c r="N142" s="182"/>
      <c r="O142" s="182"/>
      <c r="P142" s="182"/>
      <c r="Q142" s="182"/>
      <c r="R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K143" s="182"/>
      <c r="L143" s="182"/>
      <c r="M143" s="182"/>
      <c r="N143" s="182"/>
      <c r="O143" s="182"/>
      <c r="P143" s="182"/>
      <c r="Q143" s="182"/>
      <c r="R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K144" s="182"/>
      <c r="L144" s="182"/>
      <c r="M144" s="182"/>
      <c r="N144" s="182"/>
      <c r="O144" s="182"/>
      <c r="P144" s="182"/>
      <c r="Q144" s="182"/>
      <c r="R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K145" s="182"/>
      <c r="L145" s="182"/>
      <c r="M145" s="182"/>
      <c r="N145" s="182"/>
      <c r="O145" s="182"/>
      <c r="P145" s="182"/>
      <c r="Q145" s="182"/>
      <c r="R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K146" s="182"/>
      <c r="L146" s="182"/>
      <c r="M146" s="182"/>
      <c r="N146" s="182"/>
      <c r="O146" s="182"/>
      <c r="P146" s="182"/>
      <c r="Q146" s="182"/>
      <c r="R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K147" s="182"/>
      <c r="L147" s="182"/>
      <c r="M147" s="182"/>
      <c r="N147" s="182"/>
      <c r="O147" s="182"/>
      <c r="P147" s="182"/>
      <c r="Q147" s="182"/>
      <c r="R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K148" s="182"/>
      <c r="L148" s="182"/>
      <c r="M148" s="182"/>
      <c r="N148" s="182"/>
      <c r="O148" s="182"/>
      <c r="P148" s="182"/>
      <c r="Q148" s="182"/>
      <c r="R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K149" s="182"/>
      <c r="L149" s="182"/>
      <c r="M149" s="182"/>
      <c r="N149" s="182"/>
      <c r="O149" s="182"/>
      <c r="P149" s="182"/>
      <c r="Q149" s="182"/>
      <c r="R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K150" s="182"/>
      <c r="L150" s="182"/>
      <c r="M150" s="182"/>
      <c r="N150" s="182"/>
      <c r="O150" s="182"/>
      <c r="P150" s="182"/>
      <c r="Q150" s="182"/>
      <c r="R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K151" s="182"/>
      <c r="L151" s="182"/>
      <c r="M151" s="182"/>
      <c r="N151" s="182"/>
      <c r="O151" s="182"/>
      <c r="P151" s="182"/>
      <c r="Q151" s="182"/>
      <c r="R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K152" s="182"/>
      <c r="L152" s="182"/>
      <c r="M152" s="182"/>
      <c r="N152" s="182"/>
      <c r="O152" s="182"/>
      <c r="P152" s="182"/>
      <c r="Q152" s="182"/>
      <c r="R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K153" s="182"/>
      <c r="L153" s="182"/>
      <c r="M153" s="182"/>
      <c r="N153" s="182"/>
      <c r="O153" s="182"/>
      <c r="P153" s="182"/>
      <c r="Q153" s="182"/>
      <c r="R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K154" s="182"/>
      <c r="L154" s="182"/>
      <c r="M154" s="182"/>
      <c r="N154" s="182"/>
      <c r="O154" s="182"/>
      <c r="P154" s="182"/>
      <c r="Q154" s="182"/>
      <c r="R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K155" s="182"/>
      <c r="L155" s="182"/>
      <c r="M155" s="182"/>
      <c r="N155" s="182"/>
      <c r="O155" s="182"/>
      <c r="P155" s="182"/>
      <c r="Q155" s="182"/>
      <c r="R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K156" s="182"/>
      <c r="L156" s="182"/>
      <c r="M156" s="182"/>
      <c r="N156" s="182"/>
      <c r="O156" s="182"/>
      <c r="P156" s="182"/>
      <c r="Q156" s="182"/>
      <c r="R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K157" s="182"/>
      <c r="L157" s="182"/>
      <c r="M157" s="182"/>
      <c r="N157" s="182"/>
      <c r="O157" s="182"/>
      <c r="P157" s="182"/>
      <c r="Q157" s="182"/>
      <c r="R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K158" s="182"/>
      <c r="L158" s="182"/>
      <c r="M158" s="182"/>
      <c r="N158" s="182"/>
      <c r="O158" s="182"/>
      <c r="P158" s="182"/>
      <c r="Q158" s="182"/>
      <c r="R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K159" s="182"/>
      <c r="L159" s="182"/>
      <c r="M159" s="182"/>
      <c r="N159" s="182"/>
      <c r="O159" s="182"/>
      <c r="P159" s="182"/>
      <c r="Q159" s="182"/>
      <c r="R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K160" s="182"/>
      <c r="L160" s="182"/>
      <c r="M160" s="182"/>
      <c r="N160" s="182"/>
      <c r="O160" s="182"/>
      <c r="P160" s="182"/>
      <c r="Q160" s="182"/>
      <c r="R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K161" s="182"/>
      <c r="L161" s="182"/>
      <c r="M161" s="182"/>
      <c r="N161" s="182"/>
      <c r="O161" s="182"/>
      <c r="P161" s="182"/>
      <c r="Q161" s="182"/>
      <c r="R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K162" s="182"/>
      <c r="L162" s="182"/>
      <c r="M162" s="182"/>
      <c r="N162" s="182"/>
      <c r="O162" s="182"/>
      <c r="P162" s="182"/>
      <c r="Q162" s="182"/>
      <c r="R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K163" s="182"/>
      <c r="L163" s="182"/>
      <c r="M163" s="182"/>
      <c r="N163" s="182"/>
      <c r="O163" s="182"/>
      <c r="P163" s="182"/>
      <c r="Q163" s="182"/>
      <c r="R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K164" s="182"/>
      <c r="L164" s="182"/>
      <c r="M164" s="182"/>
      <c r="N164" s="182"/>
      <c r="O164" s="182"/>
      <c r="P164" s="182"/>
      <c r="Q164" s="182"/>
      <c r="R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K165" s="182"/>
      <c r="L165" s="182"/>
      <c r="M165" s="182"/>
      <c r="N165" s="182"/>
      <c r="O165" s="182"/>
      <c r="P165" s="182"/>
      <c r="Q165" s="182"/>
      <c r="R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K166" s="182"/>
      <c r="L166" s="182"/>
      <c r="M166" s="182"/>
      <c r="N166" s="182"/>
      <c r="O166" s="182"/>
      <c r="P166" s="182"/>
      <c r="Q166" s="182"/>
      <c r="R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K167" s="182"/>
      <c r="L167" s="182"/>
      <c r="M167" s="182"/>
      <c r="N167" s="182"/>
      <c r="O167" s="182"/>
      <c r="P167" s="182"/>
      <c r="Q167" s="182"/>
      <c r="R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K168" s="182"/>
      <c r="L168" s="182"/>
      <c r="M168" s="182"/>
      <c r="N168" s="182"/>
      <c r="O168" s="182"/>
      <c r="P168" s="182"/>
      <c r="Q168" s="182"/>
      <c r="R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K169" s="182"/>
      <c r="L169" s="182"/>
      <c r="M169" s="182"/>
      <c r="N169" s="182"/>
      <c r="O169" s="182"/>
      <c r="P169" s="182"/>
      <c r="Q169" s="182"/>
      <c r="R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K170" s="182"/>
      <c r="L170" s="182"/>
      <c r="M170" s="182"/>
      <c r="N170" s="182"/>
      <c r="O170" s="182"/>
      <c r="P170" s="182"/>
      <c r="Q170" s="182"/>
      <c r="R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K171" s="182"/>
      <c r="L171" s="182"/>
      <c r="M171" s="182"/>
      <c r="N171" s="182"/>
      <c r="O171" s="182"/>
      <c r="P171" s="182"/>
      <c r="Q171" s="182"/>
      <c r="R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K172" s="182"/>
      <c r="L172" s="182"/>
      <c r="M172" s="182"/>
      <c r="N172" s="182"/>
      <c r="O172" s="182"/>
      <c r="P172" s="182"/>
      <c r="Q172" s="182"/>
      <c r="R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K173" s="182"/>
      <c r="L173" s="182"/>
      <c r="M173" s="182"/>
      <c r="N173" s="182"/>
      <c r="O173" s="182"/>
      <c r="P173" s="182"/>
      <c r="Q173" s="182"/>
      <c r="R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K174" s="182"/>
      <c r="L174" s="182"/>
      <c r="M174" s="182"/>
      <c r="N174" s="182"/>
      <c r="O174" s="182"/>
      <c r="P174" s="182"/>
      <c r="Q174" s="182"/>
      <c r="R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K175" s="182"/>
      <c r="L175" s="182"/>
      <c r="M175" s="182"/>
      <c r="N175" s="182"/>
      <c r="O175" s="182"/>
      <c r="P175" s="182"/>
      <c r="Q175" s="182"/>
      <c r="R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K176" s="182"/>
      <c r="L176" s="182"/>
      <c r="M176" s="182"/>
      <c r="N176" s="182"/>
      <c r="O176" s="182"/>
      <c r="P176" s="182"/>
      <c r="Q176" s="182"/>
      <c r="R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K177" s="182"/>
      <c r="L177" s="182"/>
      <c r="M177" s="182"/>
      <c r="N177" s="182"/>
      <c r="O177" s="182"/>
      <c r="P177" s="182"/>
      <c r="Q177" s="182"/>
      <c r="R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K178" s="182"/>
      <c r="L178" s="182"/>
      <c r="M178" s="182"/>
      <c r="N178" s="182"/>
      <c r="O178" s="182"/>
      <c r="P178" s="182"/>
      <c r="Q178" s="182"/>
      <c r="R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K179" s="182"/>
      <c r="L179" s="182"/>
      <c r="M179" s="182"/>
      <c r="N179" s="182"/>
      <c r="O179" s="182"/>
      <c r="P179" s="182"/>
      <c r="Q179" s="182"/>
      <c r="R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K180" s="182"/>
      <c r="L180" s="182"/>
      <c r="M180" s="182"/>
      <c r="N180" s="182"/>
      <c r="O180" s="182"/>
      <c r="P180" s="182"/>
      <c r="Q180" s="182"/>
      <c r="R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K181" s="182"/>
      <c r="L181" s="182"/>
      <c r="M181" s="182"/>
      <c r="N181" s="182"/>
      <c r="O181" s="182"/>
      <c r="P181" s="182"/>
      <c r="Q181" s="182"/>
      <c r="R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K182" s="182"/>
      <c r="L182" s="182"/>
      <c r="M182" s="182"/>
      <c r="N182" s="182"/>
      <c r="O182" s="182"/>
      <c r="P182" s="182"/>
      <c r="Q182" s="182"/>
      <c r="R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K183" s="182"/>
      <c r="L183" s="182"/>
      <c r="M183" s="182"/>
      <c r="N183" s="182"/>
      <c r="O183" s="182"/>
      <c r="P183" s="182"/>
      <c r="Q183" s="182"/>
      <c r="R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K184" s="182"/>
      <c r="L184" s="182"/>
      <c r="M184" s="182"/>
      <c r="N184" s="182"/>
      <c r="O184" s="182"/>
      <c r="P184" s="182"/>
      <c r="Q184" s="182"/>
      <c r="R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K185" s="182"/>
      <c r="L185" s="182"/>
      <c r="M185" s="182"/>
      <c r="N185" s="182"/>
      <c r="O185" s="182"/>
      <c r="P185" s="182"/>
      <c r="Q185" s="182"/>
      <c r="R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K186" s="182"/>
      <c r="L186" s="182"/>
      <c r="M186" s="182"/>
      <c r="N186" s="182"/>
      <c r="O186" s="182"/>
      <c r="P186" s="182"/>
      <c r="Q186" s="182"/>
      <c r="R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K187" s="182"/>
      <c r="L187" s="182"/>
      <c r="M187" s="182"/>
      <c r="N187" s="182"/>
      <c r="O187" s="182"/>
      <c r="P187" s="182"/>
      <c r="Q187" s="182"/>
      <c r="R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K188" s="182"/>
      <c r="L188" s="182"/>
      <c r="M188" s="182"/>
      <c r="N188" s="182"/>
      <c r="O188" s="182"/>
      <c r="P188" s="182"/>
      <c r="Q188" s="182"/>
      <c r="R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K189" s="182"/>
      <c r="L189" s="182"/>
      <c r="M189" s="182"/>
      <c r="N189" s="182"/>
      <c r="O189" s="182"/>
      <c r="P189" s="182"/>
      <c r="Q189" s="182"/>
      <c r="R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K190" s="182"/>
      <c r="L190" s="182"/>
      <c r="M190" s="182"/>
      <c r="N190" s="182"/>
      <c r="O190" s="182"/>
      <c r="P190" s="182"/>
      <c r="Q190" s="182"/>
      <c r="R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K191" s="182"/>
      <c r="L191" s="182"/>
      <c r="M191" s="182"/>
      <c r="N191" s="182"/>
      <c r="O191" s="182"/>
      <c r="P191" s="182"/>
      <c r="Q191" s="182"/>
      <c r="R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K192" s="182"/>
      <c r="L192" s="182"/>
      <c r="M192" s="182"/>
      <c r="N192" s="182"/>
      <c r="O192" s="182"/>
      <c r="P192" s="182"/>
      <c r="Q192" s="182"/>
      <c r="R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K193" s="182"/>
      <c r="L193" s="182"/>
      <c r="M193" s="182"/>
      <c r="N193" s="182"/>
      <c r="O193" s="182"/>
      <c r="P193" s="182"/>
      <c r="Q193" s="182"/>
      <c r="R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K194" s="182"/>
      <c r="L194" s="182"/>
      <c r="M194" s="182"/>
      <c r="N194" s="182"/>
      <c r="O194" s="182"/>
      <c r="P194" s="182"/>
      <c r="Q194" s="182"/>
      <c r="R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K195" s="182"/>
      <c r="L195" s="182"/>
      <c r="M195" s="182"/>
      <c r="N195" s="182"/>
      <c r="O195" s="182"/>
      <c r="P195" s="182"/>
      <c r="Q195" s="182"/>
      <c r="R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K196" s="182"/>
      <c r="L196" s="182"/>
      <c r="M196" s="182"/>
      <c r="N196" s="182"/>
      <c r="O196" s="182"/>
      <c r="P196" s="182"/>
      <c r="Q196" s="182"/>
      <c r="R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K197" s="182"/>
      <c r="L197" s="182"/>
      <c r="M197" s="182"/>
      <c r="N197" s="182"/>
      <c r="O197" s="182"/>
      <c r="P197" s="182"/>
      <c r="Q197" s="182"/>
      <c r="R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K198" s="182"/>
      <c r="L198" s="182"/>
      <c r="M198" s="182"/>
      <c r="N198" s="182"/>
      <c r="O198" s="182"/>
      <c r="P198" s="182"/>
      <c r="Q198" s="182"/>
      <c r="R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K199" s="182"/>
      <c r="L199" s="182"/>
      <c r="M199" s="182"/>
      <c r="N199" s="182"/>
      <c r="O199" s="182"/>
      <c r="P199" s="182"/>
      <c r="Q199" s="182"/>
      <c r="R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K200" s="182"/>
      <c r="L200" s="182"/>
      <c r="M200" s="182"/>
      <c r="N200" s="182"/>
      <c r="O200" s="182"/>
      <c r="P200" s="182"/>
      <c r="Q200" s="182"/>
      <c r="R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K201" s="182"/>
      <c r="L201" s="182"/>
      <c r="M201" s="182"/>
      <c r="N201" s="182"/>
      <c r="O201" s="182"/>
      <c r="P201" s="182"/>
      <c r="Q201" s="182"/>
      <c r="R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K202" s="182"/>
      <c r="L202" s="182"/>
      <c r="M202" s="182"/>
      <c r="N202" s="182"/>
      <c r="O202" s="182"/>
      <c r="P202" s="182"/>
      <c r="Q202" s="182"/>
      <c r="R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K203" s="182"/>
      <c r="L203" s="182"/>
      <c r="M203" s="182"/>
      <c r="N203" s="182"/>
      <c r="O203" s="182"/>
      <c r="P203" s="182"/>
      <c r="Q203" s="182"/>
      <c r="R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K204" s="182"/>
      <c r="L204" s="182"/>
      <c r="M204" s="182"/>
      <c r="N204" s="182"/>
      <c r="O204" s="182"/>
      <c r="P204" s="182"/>
      <c r="Q204" s="182"/>
      <c r="R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K205" s="182"/>
      <c r="L205" s="182"/>
      <c r="M205" s="182"/>
      <c r="N205" s="182"/>
      <c r="O205" s="182"/>
      <c r="P205" s="182"/>
      <c r="Q205" s="182"/>
      <c r="R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K206" s="182"/>
      <c r="L206" s="182"/>
      <c r="M206" s="182"/>
      <c r="N206" s="182"/>
      <c r="O206" s="182"/>
      <c r="P206" s="182"/>
      <c r="Q206" s="182"/>
      <c r="R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K207" s="182"/>
      <c r="L207" s="182"/>
      <c r="M207" s="182"/>
      <c r="N207" s="182"/>
      <c r="O207" s="182"/>
      <c r="P207" s="182"/>
      <c r="Q207" s="182"/>
      <c r="R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K208" s="182"/>
      <c r="L208" s="182"/>
      <c r="M208" s="182"/>
      <c r="N208" s="182"/>
      <c r="O208" s="182"/>
      <c r="P208" s="182"/>
      <c r="Q208" s="182"/>
      <c r="R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K209" s="182"/>
      <c r="L209" s="182"/>
      <c r="M209" s="182"/>
      <c r="N209" s="182"/>
      <c r="O209" s="182"/>
      <c r="P209" s="182"/>
      <c r="Q209" s="182"/>
      <c r="R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K210" s="182"/>
      <c r="L210" s="182"/>
      <c r="M210" s="182"/>
      <c r="N210" s="182"/>
      <c r="O210" s="182"/>
      <c r="P210" s="182"/>
      <c r="Q210" s="182"/>
      <c r="R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K211" s="182"/>
      <c r="L211" s="182"/>
      <c r="M211" s="182"/>
      <c r="N211" s="182"/>
      <c r="O211" s="182"/>
      <c r="P211" s="182"/>
      <c r="Q211" s="182"/>
      <c r="R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K212" s="182"/>
      <c r="L212" s="182"/>
      <c r="M212" s="182"/>
      <c r="N212" s="182"/>
      <c r="O212" s="182"/>
      <c r="P212" s="182"/>
      <c r="Q212" s="182"/>
      <c r="R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K213" s="182"/>
      <c r="L213" s="182"/>
      <c r="M213" s="182"/>
      <c r="N213" s="182"/>
      <c r="O213" s="182"/>
      <c r="P213" s="182"/>
      <c r="Q213" s="182"/>
      <c r="R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K214" s="182"/>
      <c r="L214" s="182"/>
      <c r="M214" s="182"/>
      <c r="N214" s="182"/>
      <c r="O214" s="182"/>
      <c r="P214" s="182"/>
      <c r="Q214" s="182"/>
      <c r="R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K215" s="182"/>
      <c r="L215" s="182"/>
      <c r="M215" s="182"/>
      <c r="N215" s="182"/>
      <c r="O215" s="182"/>
      <c r="P215" s="182"/>
      <c r="Q215" s="182"/>
      <c r="R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K216" s="182"/>
      <c r="L216" s="182"/>
      <c r="M216" s="182"/>
      <c r="N216" s="182"/>
      <c r="O216" s="182"/>
      <c r="P216" s="182"/>
      <c r="Q216" s="182"/>
      <c r="R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K217" s="182"/>
      <c r="L217" s="182"/>
      <c r="M217" s="182"/>
      <c r="N217" s="182"/>
      <c r="O217" s="182"/>
      <c r="P217" s="182"/>
      <c r="Q217" s="182"/>
      <c r="R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K218" s="182"/>
      <c r="L218" s="182"/>
      <c r="M218" s="182"/>
      <c r="N218" s="182"/>
      <c r="O218" s="182"/>
      <c r="P218" s="182"/>
      <c r="Q218" s="182"/>
      <c r="R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K219" s="182"/>
      <c r="L219" s="182"/>
      <c r="M219" s="182"/>
      <c r="N219" s="182"/>
      <c r="O219" s="182"/>
      <c r="P219" s="182"/>
      <c r="Q219" s="182"/>
      <c r="R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K220" s="182"/>
      <c r="L220" s="182"/>
      <c r="M220" s="182"/>
      <c r="N220" s="182"/>
      <c r="O220" s="182"/>
      <c r="P220" s="182"/>
      <c r="Q220" s="182"/>
      <c r="R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K221" s="182"/>
      <c r="L221" s="182"/>
      <c r="M221" s="182"/>
      <c r="N221" s="182"/>
      <c r="O221" s="182"/>
      <c r="P221" s="182"/>
      <c r="Q221" s="182"/>
      <c r="R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K222" s="182"/>
      <c r="L222" s="182"/>
      <c r="M222" s="182"/>
      <c r="N222" s="182"/>
      <c r="O222" s="182"/>
      <c r="P222" s="182"/>
      <c r="Q222" s="182"/>
      <c r="R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K223" s="182"/>
      <c r="L223" s="182"/>
      <c r="M223" s="182"/>
      <c r="N223" s="182"/>
      <c r="O223" s="182"/>
      <c r="P223" s="182"/>
      <c r="Q223" s="182"/>
      <c r="R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K224" s="182"/>
      <c r="L224" s="182"/>
      <c r="M224" s="182"/>
      <c r="N224" s="182"/>
      <c r="O224" s="182"/>
      <c r="P224" s="182"/>
      <c r="Q224" s="182"/>
      <c r="R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K225" s="182"/>
      <c r="L225" s="182"/>
      <c r="M225" s="182"/>
      <c r="N225" s="182"/>
      <c r="O225" s="182"/>
      <c r="P225" s="182"/>
      <c r="Q225" s="182"/>
      <c r="R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K226" s="182"/>
      <c r="L226" s="182"/>
      <c r="M226" s="182"/>
      <c r="N226" s="182"/>
      <c r="O226" s="182"/>
      <c r="P226" s="182"/>
      <c r="Q226" s="182"/>
      <c r="R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K227" s="182"/>
      <c r="L227" s="182"/>
      <c r="M227" s="182"/>
      <c r="N227" s="182"/>
      <c r="O227" s="182"/>
      <c r="P227" s="182"/>
      <c r="Q227" s="182"/>
      <c r="R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K228" s="182"/>
      <c r="L228" s="182"/>
      <c r="M228" s="182"/>
      <c r="N228" s="182"/>
      <c r="O228" s="182"/>
      <c r="P228" s="182"/>
      <c r="Q228" s="182"/>
      <c r="R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K229" s="182"/>
      <c r="L229" s="182"/>
      <c r="M229" s="182"/>
      <c r="N229" s="182"/>
      <c r="O229" s="182"/>
      <c r="P229" s="182"/>
      <c r="Q229" s="182"/>
      <c r="R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K230" s="182"/>
      <c r="L230" s="182"/>
      <c r="M230" s="182"/>
      <c r="N230" s="182"/>
      <c r="O230" s="182"/>
      <c r="P230" s="182"/>
      <c r="Q230" s="182"/>
      <c r="R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K231" s="182"/>
      <c r="L231" s="182"/>
      <c r="M231" s="182"/>
      <c r="N231" s="182"/>
      <c r="O231" s="182"/>
      <c r="P231" s="182"/>
      <c r="Q231" s="182"/>
      <c r="R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K232" s="182"/>
      <c r="L232" s="182"/>
      <c r="M232" s="182"/>
      <c r="N232" s="182"/>
      <c r="O232" s="182"/>
      <c r="P232" s="182"/>
      <c r="Q232" s="182"/>
      <c r="R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K233" s="182"/>
      <c r="L233" s="182"/>
      <c r="M233" s="182"/>
      <c r="N233" s="182"/>
      <c r="O233" s="182"/>
      <c r="P233" s="182"/>
      <c r="Q233" s="182"/>
      <c r="R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K234" s="182"/>
      <c r="L234" s="182"/>
      <c r="M234" s="182"/>
      <c r="N234" s="182"/>
      <c r="O234" s="182"/>
      <c r="P234" s="182"/>
      <c r="Q234" s="182"/>
      <c r="R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K235" s="182"/>
      <c r="L235" s="182"/>
      <c r="M235" s="182"/>
      <c r="N235" s="182"/>
      <c r="O235" s="182"/>
      <c r="P235" s="182"/>
      <c r="Q235" s="182"/>
      <c r="R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K236" s="182"/>
      <c r="L236" s="182"/>
      <c r="M236" s="182"/>
      <c r="N236" s="182"/>
      <c r="O236" s="182"/>
      <c r="P236" s="182"/>
      <c r="Q236" s="182"/>
      <c r="R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K237" s="182"/>
      <c r="L237" s="182"/>
      <c r="M237" s="182"/>
      <c r="N237" s="182"/>
      <c r="O237" s="182"/>
      <c r="P237" s="182"/>
      <c r="Q237" s="182"/>
      <c r="R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K238" s="182"/>
      <c r="L238" s="182"/>
      <c r="M238" s="182"/>
      <c r="N238" s="182"/>
      <c r="O238" s="182"/>
      <c r="P238" s="182"/>
      <c r="Q238" s="182"/>
      <c r="R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K239" s="182"/>
      <c r="L239" s="182"/>
      <c r="M239" s="182"/>
      <c r="N239" s="182"/>
      <c r="O239" s="182"/>
      <c r="P239" s="182"/>
      <c r="Q239" s="182"/>
      <c r="R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K240" s="182"/>
      <c r="L240" s="182"/>
      <c r="M240" s="182"/>
      <c r="N240" s="182"/>
      <c r="O240" s="182"/>
      <c r="P240" s="182"/>
      <c r="Q240" s="182"/>
      <c r="R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K241" s="182"/>
      <c r="L241" s="182"/>
      <c r="M241" s="182"/>
      <c r="N241" s="182"/>
      <c r="O241" s="182"/>
      <c r="P241" s="182"/>
      <c r="Q241" s="182"/>
      <c r="R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K242" s="182"/>
      <c r="L242" s="182"/>
      <c r="M242" s="182"/>
      <c r="N242" s="182"/>
      <c r="O242" s="182"/>
      <c r="P242" s="182"/>
      <c r="Q242" s="182"/>
      <c r="R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K243" s="182"/>
      <c r="L243" s="182"/>
      <c r="M243" s="182"/>
      <c r="N243" s="182"/>
      <c r="O243" s="182"/>
      <c r="P243" s="182"/>
      <c r="Q243" s="182"/>
      <c r="R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K244" s="182"/>
      <c r="L244" s="182"/>
      <c r="M244" s="182"/>
      <c r="N244" s="182"/>
      <c r="O244" s="182"/>
      <c r="P244" s="182"/>
      <c r="Q244" s="182"/>
      <c r="R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K245" s="182"/>
      <c r="L245" s="182"/>
      <c r="M245" s="182"/>
      <c r="N245" s="182"/>
      <c r="O245" s="182"/>
      <c r="P245" s="182"/>
      <c r="Q245" s="182"/>
      <c r="R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K246" s="182"/>
      <c r="L246" s="182"/>
      <c r="M246" s="182"/>
      <c r="N246" s="182"/>
      <c r="O246" s="182"/>
      <c r="P246" s="182"/>
      <c r="Q246" s="182"/>
      <c r="R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K247" s="182"/>
      <c r="L247" s="182"/>
      <c r="M247" s="182"/>
      <c r="N247" s="182"/>
      <c r="O247" s="182"/>
      <c r="P247" s="182"/>
      <c r="Q247" s="182"/>
      <c r="R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K248" s="182"/>
      <c r="L248" s="182"/>
      <c r="M248" s="182"/>
      <c r="N248" s="182"/>
      <c r="O248" s="182"/>
      <c r="P248" s="182"/>
      <c r="Q248" s="182"/>
      <c r="R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K249" s="182"/>
      <c r="L249" s="182"/>
      <c r="M249" s="182"/>
      <c r="N249" s="182"/>
      <c r="O249" s="182"/>
      <c r="P249" s="182"/>
      <c r="Q249" s="182"/>
      <c r="R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K250" s="182"/>
      <c r="L250" s="182"/>
      <c r="M250" s="182"/>
      <c r="N250" s="182"/>
      <c r="O250" s="182"/>
      <c r="P250" s="182"/>
      <c r="Q250" s="182"/>
      <c r="R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K251" s="182"/>
      <c r="L251" s="182"/>
      <c r="M251" s="182"/>
      <c r="N251" s="182"/>
      <c r="O251" s="182"/>
      <c r="P251" s="182"/>
      <c r="Q251" s="182"/>
      <c r="R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K252" s="182"/>
      <c r="L252" s="182"/>
      <c r="M252" s="182"/>
      <c r="N252" s="182"/>
      <c r="O252" s="182"/>
      <c r="P252" s="182"/>
      <c r="Q252" s="182"/>
      <c r="R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K253" s="182"/>
      <c r="L253" s="182"/>
      <c r="M253" s="182"/>
      <c r="N253" s="182"/>
      <c r="O253" s="182"/>
      <c r="P253" s="182"/>
      <c r="Q253" s="182"/>
      <c r="R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K254" s="182"/>
      <c r="L254" s="182"/>
      <c r="M254" s="182"/>
      <c r="N254" s="182"/>
      <c r="O254" s="182"/>
      <c r="P254" s="182"/>
      <c r="Q254" s="182"/>
      <c r="R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K255" s="182"/>
      <c r="L255" s="182"/>
      <c r="M255" s="182"/>
      <c r="N255" s="182"/>
      <c r="O255" s="182"/>
      <c r="P255" s="182"/>
      <c r="Q255" s="182"/>
      <c r="R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K256" s="182"/>
      <c r="L256" s="182"/>
      <c r="M256" s="182"/>
      <c r="N256" s="182"/>
      <c r="O256" s="182"/>
      <c r="P256" s="182"/>
      <c r="Q256" s="182"/>
      <c r="R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K257" s="182"/>
      <c r="L257" s="182"/>
      <c r="M257" s="182"/>
      <c r="N257" s="182"/>
      <c r="O257" s="182"/>
      <c r="P257" s="182"/>
      <c r="Q257" s="182"/>
      <c r="R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K258" s="182"/>
      <c r="L258" s="182"/>
      <c r="M258" s="182"/>
      <c r="N258" s="182"/>
      <c r="O258" s="182"/>
      <c r="P258" s="182"/>
      <c r="Q258" s="182"/>
      <c r="R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K259" s="182"/>
      <c r="L259" s="182"/>
      <c r="M259" s="182"/>
      <c r="N259" s="182"/>
      <c r="O259" s="182"/>
      <c r="P259" s="182"/>
      <c r="Q259" s="182"/>
      <c r="R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K260" s="182"/>
      <c r="L260" s="182"/>
      <c r="M260" s="182"/>
      <c r="N260" s="182"/>
      <c r="O260" s="182"/>
      <c r="P260" s="182"/>
      <c r="Q260" s="182"/>
      <c r="R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K261" s="182"/>
      <c r="L261" s="182"/>
      <c r="M261" s="182"/>
      <c r="N261" s="182"/>
      <c r="O261" s="182"/>
      <c r="P261" s="182"/>
      <c r="Q261" s="182"/>
      <c r="R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K262" s="182"/>
      <c r="L262" s="182"/>
      <c r="M262" s="182"/>
      <c r="N262" s="182"/>
      <c r="O262" s="182"/>
      <c r="P262" s="182"/>
      <c r="Q262" s="182"/>
      <c r="R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K263" s="182"/>
      <c r="L263" s="182"/>
      <c r="M263" s="182"/>
      <c r="N263" s="182"/>
      <c r="O263" s="182"/>
      <c r="P263" s="182"/>
      <c r="Q263" s="182"/>
      <c r="R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K264" s="182"/>
      <c r="L264" s="182"/>
      <c r="M264" s="182"/>
      <c r="N264" s="182"/>
      <c r="O264" s="182"/>
      <c r="P264" s="182"/>
      <c r="Q264" s="182"/>
      <c r="R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K265" s="182"/>
      <c r="L265" s="182"/>
      <c r="M265" s="182"/>
      <c r="N265" s="182"/>
      <c r="O265" s="182"/>
      <c r="P265" s="182"/>
      <c r="Q265" s="182"/>
      <c r="R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K266" s="182"/>
      <c r="L266" s="182"/>
      <c r="M266" s="182"/>
      <c r="N266" s="182"/>
      <c r="O266" s="182"/>
      <c r="P266" s="182"/>
      <c r="Q266" s="182"/>
      <c r="R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K267" s="182"/>
      <c r="L267" s="182"/>
      <c r="M267" s="182"/>
      <c r="N267" s="182"/>
      <c r="O267" s="182"/>
      <c r="P267" s="182"/>
      <c r="Q267" s="182"/>
      <c r="R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K268" s="182"/>
      <c r="L268" s="182"/>
      <c r="M268" s="182"/>
      <c r="N268" s="182"/>
      <c r="O268" s="182"/>
      <c r="P268" s="182"/>
      <c r="Q268" s="182"/>
      <c r="R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K269" s="182"/>
      <c r="L269" s="182"/>
      <c r="M269" s="182"/>
      <c r="N269" s="182"/>
      <c r="O269" s="182"/>
      <c r="P269" s="182"/>
      <c r="Q269" s="182"/>
      <c r="R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K270" s="182"/>
      <c r="L270" s="182"/>
      <c r="M270" s="182"/>
      <c r="N270" s="182"/>
      <c r="O270" s="182"/>
      <c r="P270" s="182"/>
      <c r="Q270" s="182"/>
      <c r="R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K271" s="182"/>
      <c r="L271" s="182"/>
      <c r="M271" s="182"/>
      <c r="N271" s="182"/>
      <c r="O271" s="182"/>
      <c r="P271" s="182"/>
      <c r="Q271" s="182"/>
      <c r="R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K272" s="182"/>
      <c r="L272" s="182"/>
      <c r="M272" s="182"/>
      <c r="N272" s="182"/>
      <c r="O272" s="182"/>
      <c r="P272" s="182"/>
      <c r="Q272" s="182"/>
      <c r="R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K273" s="182"/>
      <c r="L273" s="182"/>
      <c r="M273" s="182"/>
      <c r="N273" s="182"/>
      <c r="O273" s="182"/>
      <c r="P273" s="182"/>
      <c r="Q273" s="182"/>
      <c r="R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K274" s="182"/>
      <c r="L274" s="182"/>
      <c r="M274" s="182"/>
      <c r="N274" s="182"/>
      <c r="O274" s="182"/>
      <c r="P274" s="182"/>
      <c r="Q274" s="182"/>
      <c r="R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K275" s="182"/>
      <c r="L275" s="182"/>
      <c r="M275" s="182"/>
      <c r="N275" s="182"/>
      <c r="O275" s="182"/>
      <c r="P275" s="182"/>
      <c r="Q275" s="182"/>
      <c r="R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K276" s="182"/>
      <c r="L276" s="182"/>
      <c r="M276" s="182"/>
      <c r="N276" s="182"/>
      <c r="O276" s="182"/>
      <c r="P276" s="182"/>
      <c r="Q276" s="182"/>
      <c r="R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K277" s="182"/>
      <c r="L277" s="182"/>
      <c r="M277" s="182"/>
      <c r="N277" s="182"/>
      <c r="O277" s="182"/>
      <c r="P277" s="182"/>
      <c r="Q277" s="182"/>
      <c r="R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K278" s="182"/>
      <c r="L278" s="182"/>
      <c r="M278" s="182"/>
      <c r="N278" s="182"/>
      <c r="O278" s="182"/>
      <c r="P278" s="182"/>
      <c r="Q278" s="182"/>
      <c r="R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K279" s="182"/>
      <c r="L279" s="182"/>
      <c r="M279" s="182"/>
      <c r="N279" s="182"/>
      <c r="O279" s="182"/>
      <c r="P279" s="182"/>
      <c r="Q279" s="182"/>
      <c r="R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K280" s="182"/>
      <c r="L280" s="182"/>
      <c r="M280" s="182"/>
      <c r="N280" s="182"/>
      <c r="O280" s="182"/>
      <c r="P280" s="182"/>
      <c r="Q280" s="182"/>
      <c r="R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K281" s="182"/>
      <c r="L281" s="182"/>
      <c r="M281" s="182"/>
      <c r="N281" s="182"/>
      <c r="O281" s="182"/>
      <c r="P281" s="182"/>
      <c r="Q281" s="182"/>
      <c r="R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K282" s="182"/>
      <c r="L282" s="182"/>
      <c r="M282" s="182"/>
      <c r="N282" s="182"/>
      <c r="O282" s="182"/>
      <c r="P282" s="182"/>
      <c r="Q282" s="182"/>
      <c r="R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K283" s="182"/>
      <c r="L283" s="182"/>
      <c r="M283" s="182"/>
      <c r="N283" s="182"/>
      <c r="O283" s="182"/>
      <c r="P283" s="182"/>
      <c r="Q283" s="182"/>
      <c r="R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K284" s="182"/>
      <c r="L284" s="182"/>
      <c r="M284" s="182"/>
      <c r="N284" s="182"/>
      <c r="O284" s="182"/>
      <c r="P284" s="182"/>
      <c r="Q284" s="182"/>
      <c r="R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K285" s="182"/>
      <c r="L285" s="182"/>
      <c r="M285" s="182"/>
      <c r="N285" s="182"/>
      <c r="O285" s="182"/>
      <c r="P285" s="182"/>
      <c r="Q285" s="182"/>
      <c r="R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K286" s="182"/>
      <c r="L286" s="182"/>
      <c r="M286" s="182"/>
      <c r="N286" s="182"/>
      <c r="O286" s="182"/>
      <c r="P286" s="182"/>
      <c r="Q286" s="182"/>
      <c r="R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K287" s="182"/>
      <c r="L287" s="182"/>
      <c r="M287" s="182"/>
      <c r="N287" s="182"/>
      <c r="O287" s="182"/>
      <c r="P287" s="182"/>
      <c r="Q287" s="182"/>
      <c r="R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K288" s="182"/>
      <c r="L288" s="182"/>
      <c r="M288" s="182"/>
      <c r="N288" s="182"/>
      <c r="O288" s="182"/>
      <c r="P288" s="182"/>
      <c r="Q288" s="182"/>
      <c r="R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K289" s="182"/>
      <c r="L289" s="182"/>
      <c r="M289" s="182"/>
      <c r="N289" s="182"/>
      <c r="O289" s="182"/>
      <c r="P289" s="182"/>
      <c r="Q289" s="182"/>
      <c r="R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K290" s="182"/>
      <c r="L290" s="182"/>
      <c r="M290" s="182"/>
      <c r="N290" s="182"/>
      <c r="O290" s="182"/>
      <c r="P290" s="182"/>
      <c r="Q290" s="182"/>
      <c r="R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K291" s="182"/>
      <c r="L291" s="182"/>
      <c r="M291" s="182"/>
      <c r="N291" s="182"/>
      <c r="O291" s="182"/>
      <c r="P291" s="182"/>
      <c r="Q291" s="182"/>
      <c r="R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K292" s="182"/>
      <c r="L292" s="182"/>
      <c r="M292" s="182"/>
      <c r="N292" s="182"/>
      <c r="O292" s="182"/>
      <c r="P292" s="182"/>
      <c r="Q292" s="182"/>
      <c r="R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K293" s="182"/>
      <c r="L293" s="182"/>
      <c r="M293" s="182"/>
      <c r="N293" s="182"/>
      <c r="O293" s="182"/>
      <c r="P293" s="182"/>
      <c r="Q293" s="182"/>
      <c r="R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K294" s="182"/>
      <c r="L294" s="182"/>
      <c r="M294" s="182"/>
      <c r="N294" s="182"/>
      <c r="O294" s="182"/>
      <c r="P294" s="182"/>
      <c r="Q294" s="182"/>
      <c r="R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K295" s="182"/>
      <c r="L295" s="182"/>
      <c r="M295" s="182"/>
      <c r="N295" s="182"/>
      <c r="O295" s="182"/>
      <c r="P295" s="182"/>
      <c r="Q295" s="182"/>
      <c r="R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K296" s="182"/>
      <c r="L296" s="182"/>
      <c r="M296" s="182"/>
      <c r="N296" s="182"/>
      <c r="O296" s="182"/>
      <c r="P296" s="182"/>
      <c r="Q296" s="182"/>
      <c r="R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K297" s="182"/>
      <c r="L297" s="182"/>
      <c r="M297" s="182"/>
      <c r="N297" s="182"/>
      <c r="O297" s="182"/>
      <c r="P297" s="182"/>
      <c r="Q297" s="182"/>
      <c r="R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K298" s="182"/>
      <c r="L298" s="182"/>
      <c r="M298" s="182"/>
      <c r="N298" s="182"/>
      <c r="O298" s="182"/>
      <c r="P298" s="182"/>
      <c r="Q298" s="182"/>
      <c r="R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K299" s="182"/>
      <c r="L299" s="182"/>
      <c r="M299" s="182"/>
      <c r="N299" s="182"/>
      <c r="O299" s="182"/>
      <c r="P299" s="182"/>
      <c r="Q299" s="182"/>
      <c r="R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K300" s="182"/>
      <c r="L300" s="182"/>
      <c r="M300" s="182"/>
      <c r="N300" s="182"/>
      <c r="O300" s="182"/>
      <c r="P300" s="182"/>
      <c r="Q300" s="182"/>
      <c r="R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K301" s="182"/>
      <c r="L301" s="182"/>
      <c r="M301" s="182"/>
      <c r="N301" s="182"/>
      <c r="O301" s="182"/>
      <c r="P301" s="182"/>
      <c r="Q301" s="182"/>
      <c r="R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K302" s="182"/>
      <c r="L302" s="182"/>
      <c r="M302" s="182"/>
      <c r="N302" s="182"/>
      <c r="O302" s="182"/>
      <c r="P302" s="182"/>
      <c r="Q302" s="182"/>
      <c r="R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K303" s="182"/>
      <c r="L303" s="182"/>
      <c r="M303" s="182"/>
      <c r="N303" s="182"/>
      <c r="O303" s="182"/>
      <c r="P303" s="182"/>
      <c r="Q303" s="182"/>
      <c r="R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K304" s="182"/>
      <c r="L304" s="182"/>
      <c r="M304" s="182"/>
      <c r="N304" s="182"/>
      <c r="O304" s="182"/>
      <c r="P304" s="182"/>
      <c r="Q304" s="182"/>
      <c r="R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K305" s="182"/>
      <c r="L305" s="182"/>
      <c r="M305" s="182"/>
      <c r="N305" s="182"/>
      <c r="O305" s="182"/>
      <c r="P305" s="182"/>
      <c r="Q305" s="182"/>
      <c r="R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K306" s="182"/>
      <c r="L306" s="182"/>
      <c r="M306" s="182"/>
      <c r="N306" s="182"/>
      <c r="O306" s="182"/>
      <c r="P306" s="182"/>
      <c r="Q306" s="182"/>
      <c r="R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K307" s="182"/>
      <c r="L307" s="182"/>
      <c r="M307" s="182"/>
      <c r="N307" s="182"/>
      <c r="O307" s="182"/>
      <c r="P307" s="182"/>
      <c r="Q307" s="182"/>
      <c r="R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K308" s="182"/>
      <c r="L308" s="182"/>
      <c r="M308" s="182"/>
      <c r="N308" s="182"/>
      <c r="O308" s="182"/>
      <c r="P308" s="182"/>
      <c r="Q308" s="182"/>
      <c r="R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K309" s="182"/>
      <c r="L309" s="182"/>
      <c r="M309" s="182"/>
      <c r="N309" s="182"/>
      <c r="O309" s="182"/>
      <c r="P309" s="182"/>
      <c r="Q309" s="182"/>
      <c r="R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K310" s="182"/>
      <c r="L310" s="182"/>
      <c r="M310" s="182"/>
      <c r="N310" s="182"/>
      <c r="O310" s="182"/>
      <c r="P310" s="182"/>
      <c r="Q310" s="182"/>
      <c r="R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K311" s="182"/>
      <c r="L311" s="182"/>
      <c r="M311" s="182"/>
      <c r="N311" s="182"/>
      <c r="O311" s="182"/>
      <c r="P311" s="182"/>
      <c r="Q311" s="182"/>
      <c r="R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K312" s="182"/>
      <c r="L312" s="182"/>
      <c r="M312" s="182"/>
      <c r="N312" s="182"/>
      <c r="O312" s="182"/>
      <c r="P312" s="182"/>
      <c r="Q312" s="182"/>
      <c r="R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K313" s="182"/>
      <c r="L313" s="182"/>
      <c r="M313" s="182"/>
      <c r="N313" s="182"/>
      <c r="O313" s="182"/>
      <c r="P313" s="182"/>
      <c r="Q313" s="182"/>
      <c r="R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K314" s="182"/>
      <c r="L314" s="182"/>
      <c r="M314" s="182"/>
      <c r="N314" s="182"/>
      <c r="O314" s="182"/>
      <c r="P314" s="182"/>
      <c r="Q314" s="182"/>
      <c r="R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K315" s="182"/>
      <c r="L315" s="182"/>
      <c r="M315" s="182"/>
      <c r="N315" s="182"/>
      <c r="O315" s="182"/>
      <c r="P315" s="182"/>
      <c r="Q315" s="182"/>
      <c r="R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K316" s="182"/>
      <c r="L316" s="182"/>
      <c r="M316" s="182"/>
      <c r="N316" s="182"/>
      <c r="O316" s="182"/>
      <c r="P316" s="182"/>
      <c r="Q316" s="182"/>
      <c r="R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K317" s="182"/>
      <c r="L317" s="182"/>
      <c r="M317" s="182"/>
      <c r="N317" s="182"/>
      <c r="O317" s="182"/>
      <c r="P317" s="182"/>
      <c r="Q317" s="182"/>
      <c r="R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K318" s="182"/>
      <c r="L318" s="182"/>
      <c r="M318" s="182"/>
      <c r="N318" s="182"/>
      <c r="O318" s="182"/>
      <c r="P318" s="182"/>
      <c r="Q318" s="182"/>
      <c r="R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K319" s="182"/>
      <c r="L319" s="182"/>
      <c r="M319" s="182"/>
      <c r="N319" s="182"/>
      <c r="O319" s="182"/>
      <c r="P319" s="182"/>
      <c r="Q319" s="182"/>
      <c r="R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K320" s="182"/>
      <c r="L320" s="182"/>
      <c r="M320" s="182"/>
      <c r="N320" s="182"/>
      <c r="O320" s="182"/>
      <c r="P320" s="182"/>
      <c r="Q320" s="182"/>
      <c r="R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K321" s="182"/>
      <c r="L321" s="182"/>
      <c r="M321" s="182"/>
      <c r="N321" s="182"/>
      <c r="O321" s="182"/>
      <c r="P321" s="182"/>
      <c r="Q321" s="182"/>
      <c r="R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K322" s="182"/>
      <c r="L322" s="182"/>
      <c r="M322" s="182"/>
      <c r="N322" s="182"/>
      <c r="O322" s="182"/>
      <c r="P322" s="182"/>
      <c r="Q322" s="182"/>
      <c r="R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K323" s="182"/>
      <c r="L323" s="182"/>
      <c r="M323" s="182"/>
      <c r="N323" s="182"/>
      <c r="O323" s="182"/>
      <c r="P323" s="182"/>
      <c r="Q323" s="182"/>
      <c r="R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K324" s="182"/>
      <c r="L324" s="182"/>
      <c r="M324" s="182"/>
      <c r="N324" s="182"/>
      <c r="O324" s="182"/>
      <c r="P324" s="182"/>
      <c r="Q324" s="182"/>
      <c r="R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K325" s="182"/>
      <c r="L325" s="182"/>
      <c r="M325" s="182"/>
      <c r="N325" s="182"/>
      <c r="O325" s="182"/>
      <c r="P325" s="182"/>
      <c r="Q325" s="182"/>
      <c r="R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K326" s="182"/>
      <c r="L326" s="182"/>
      <c r="M326" s="182"/>
      <c r="N326" s="182"/>
      <c r="O326" s="182"/>
      <c r="P326" s="182"/>
      <c r="Q326" s="182"/>
      <c r="R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K327" s="182"/>
      <c r="L327" s="182"/>
      <c r="M327" s="182"/>
      <c r="N327" s="182"/>
      <c r="O327" s="182"/>
      <c r="P327" s="182"/>
      <c r="Q327" s="182"/>
      <c r="R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K328" s="182"/>
      <c r="L328" s="182"/>
      <c r="M328" s="182"/>
      <c r="N328" s="182"/>
      <c r="O328" s="182"/>
      <c r="P328" s="182"/>
      <c r="Q328" s="182"/>
      <c r="R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K329" s="182"/>
      <c r="L329" s="182"/>
      <c r="M329" s="182"/>
      <c r="N329" s="182"/>
      <c r="O329" s="182"/>
      <c r="P329" s="182"/>
      <c r="Q329" s="182"/>
      <c r="R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K330" s="182"/>
      <c r="L330" s="182"/>
      <c r="M330" s="182"/>
      <c r="N330" s="182"/>
      <c r="O330" s="182"/>
      <c r="P330" s="182"/>
      <c r="Q330" s="182"/>
      <c r="R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K331" s="182"/>
      <c r="L331" s="182"/>
      <c r="M331" s="182"/>
      <c r="N331" s="182"/>
      <c r="O331" s="182"/>
      <c r="P331" s="182"/>
      <c r="Q331" s="182"/>
      <c r="R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K332" s="182"/>
      <c r="L332" s="182"/>
      <c r="M332" s="182"/>
      <c r="N332" s="182"/>
      <c r="O332" s="182"/>
      <c r="P332" s="182"/>
      <c r="Q332" s="182"/>
      <c r="R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K333" s="182"/>
      <c r="L333" s="182"/>
      <c r="M333" s="182"/>
      <c r="N333" s="182"/>
      <c r="O333" s="182"/>
      <c r="P333" s="182"/>
      <c r="Q333" s="182"/>
      <c r="R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K334" s="182"/>
      <c r="L334" s="182"/>
      <c r="M334" s="182"/>
      <c r="N334" s="182"/>
      <c r="O334" s="182"/>
      <c r="P334" s="182"/>
      <c r="Q334" s="182"/>
      <c r="R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K335" s="182"/>
      <c r="L335" s="182"/>
      <c r="M335" s="182"/>
      <c r="N335" s="182"/>
      <c r="O335" s="182"/>
      <c r="P335" s="182"/>
      <c r="Q335" s="182"/>
      <c r="R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K336" s="182"/>
      <c r="L336" s="182"/>
      <c r="M336" s="182"/>
      <c r="N336" s="182"/>
      <c r="O336" s="182"/>
      <c r="P336" s="182"/>
      <c r="Q336" s="182"/>
      <c r="R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K337" s="182"/>
      <c r="L337" s="182"/>
      <c r="M337" s="182"/>
      <c r="N337" s="182"/>
      <c r="O337" s="182"/>
      <c r="P337" s="182"/>
      <c r="Q337" s="182"/>
      <c r="R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K338" s="182"/>
      <c r="L338" s="182"/>
      <c r="M338" s="182"/>
      <c r="N338" s="182"/>
      <c r="O338" s="182"/>
      <c r="P338" s="182"/>
      <c r="Q338" s="182"/>
      <c r="R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K339" s="182"/>
      <c r="L339" s="182"/>
      <c r="M339" s="182"/>
      <c r="N339" s="182"/>
      <c r="O339" s="182"/>
      <c r="P339" s="182"/>
      <c r="Q339" s="182"/>
      <c r="R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K340" s="182"/>
      <c r="L340" s="182"/>
      <c r="M340" s="182"/>
      <c r="N340" s="182"/>
      <c r="O340" s="182"/>
      <c r="P340" s="182"/>
      <c r="Q340" s="182"/>
      <c r="R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K341" s="182"/>
      <c r="L341" s="182"/>
      <c r="M341" s="182"/>
      <c r="N341" s="182"/>
      <c r="O341" s="182"/>
      <c r="P341" s="182"/>
      <c r="Q341" s="182"/>
      <c r="R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K342" s="182"/>
      <c r="L342" s="182"/>
      <c r="M342" s="182"/>
      <c r="N342" s="182"/>
      <c r="O342" s="182"/>
      <c r="P342" s="182"/>
      <c r="Q342" s="182"/>
      <c r="R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K343" s="182"/>
      <c r="L343" s="182"/>
      <c r="M343" s="182"/>
      <c r="N343" s="182"/>
      <c r="O343" s="182"/>
      <c r="P343" s="182"/>
      <c r="Q343" s="182"/>
      <c r="R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K344" s="182"/>
      <c r="L344" s="182"/>
      <c r="M344" s="182"/>
      <c r="N344" s="182"/>
      <c r="O344" s="182"/>
      <c r="P344" s="182"/>
      <c r="Q344" s="182"/>
      <c r="R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K345" s="182"/>
      <c r="L345" s="182"/>
      <c r="M345" s="182"/>
      <c r="N345" s="182"/>
      <c r="O345" s="182"/>
      <c r="P345" s="182"/>
      <c r="Q345" s="182"/>
      <c r="R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K346" s="182"/>
      <c r="L346" s="182"/>
      <c r="M346" s="182"/>
      <c r="N346" s="182"/>
      <c r="O346" s="182"/>
      <c r="P346" s="182"/>
      <c r="Q346" s="182"/>
      <c r="R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K347" s="182"/>
      <c r="L347" s="182"/>
      <c r="M347" s="182"/>
      <c r="N347" s="182"/>
      <c r="O347" s="182"/>
      <c r="P347" s="182"/>
      <c r="Q347" s="182"/>
      <c r="R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K348" s="182"/>
      <c r="L348" s="182"/>
      <c r="M348" s="182"/>
      <c r="N348" s="182"/>
      <c r="O348" s="182"/>
      <c r="P348" s="182"/>
      <c r="Q348" s="182"/>
      <c r="R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K349" s="182"/>
      <c r="L349" s="182"/>
      <c r="M349" s="182"/>
      <c r="N349" s="182"/>
      <c r="O349" s="182"/>
      <c r="P349" s="182"/>
      <c r="Q349" s="182"/>
      <c r="R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K350" s="182"/>
      <c r="L350" s="182"/>
      <c r="M350" s="182"/>
      <c r="N350" s="182"/>
      <c r="O350" s="182"/>
      <c r="P350" s="182"/>
      <c r="Q350" s="182"/>
      <c r="R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K351" s="182"/>
      <c r="L351" s="182"/>
      <c r="M351" s="182"/>
      <c r="N351" s="182"/>
      <c r="O351" s="182"/>
      <c r="P351" s="182"/>
      <c r="Q351" s="182"/>
      <c r="R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K352" s="182"/>
      <c r="L352" s="182"/>
      <c r="M352" s="182"/>
      <c r="N352" s="182"/>
      <c r="O352" s="182"/>
      <c r="P352" s="182"/>
      <c r="Q352" s="182"/>
      <c r="R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K353" s="182"/>
      <c r="L353" s="182"/>
      <c r="M353" s="182"/>
      <c r="N353" s="182"/>
      <c r="O353" s="182"/>
      <c r="P353" s="182"/>
      <c r="Q353" s="182"/>
      <c r="R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K354" s="182"/>
      <c r="L354" s="182"/>
      <c r="M354" s="182"/>
      <c r="N354" s="182"/>
      <c r="O354" s="182"/>
      <c r="P354" s="182"/>
      <c r="Q354" s="182"/>
      <c r="R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K355" s="182"/>
      <c r="L355" s="182"/>
      <c r="M355" s="182"/>
      <c r="N355" s="182"/>
      <c r="O355" s="182"/>
      <c r="P355" s="182"/>
      <c r="Q355" s="182"/>
      <c r="R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K356" s="182"/>
      <c r="L356" s="182"/>
      <c r="M356" s="182"/>
      <c r="N356" s="182"/>
      <c r="O356" s="182"/>
      <c r="P356" s="182"/>
      <c r="Q356" s="182"/>
      <c r="R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K357" s="182"/>
      <c r="L357" s="182"/>
      <c r="M357" s="182"/>
      <c r="N357" s="182"/>
      <c r="O357" s="182"/>
      <c r="P357" s="182"/>
      <c r="Q357" s="182"/>
      <c r="R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K358" s="182"/>
      <c r="L358" s="182"/>
      <c r="M358" s="182"/>
      <c r="N358" s="182"/>
      <c r="O358" s="182"/>
      <c r="P358" s="182"/>
      <c r="Q358" s="182"/>
      <c r="R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K359" s="182"/>
      <c r="L359" s="182"/>
      <c r="M359" s="182"/>
      <c r="N359" s="182"/>
      <c r="O359" s="182"/>
      <c r="P359" s="182"/>
      <c r="Q359" s="182"/>
      <c r="R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K360" s="182"/>
      <c r="L360" s="182"/>
      <c r="M360" s="182"/>
      <c r="N360" s="182"/>
      <c r="O360" s="182"/>
      <c r="P360" s="182"/>
      <c r="Q360" s="182"/>
      <c r="R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K361" s="182"/>
      <c r="L361" s="182"/>
      <c r="M361" s="182"/>
      <c r="N361" s="182"/>
      <c r="O361" s="182"/>
      <c r="P361" s="182"/>
      <c r="Q361" s="182"/>
      <c r="R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K362" s="182"/>
      <c r="L362" s="182"/>
      <c r="M362" s="182"/>
      <c r="N362" s="182"/>
      <c r="O362" s="182"/>
      <c r="P362" s="182"/>
      <c r="Q362" s="182"/>
      <c r="R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K363" s="182"/>
      <c r="L363" s="182"/>
      <c r="M363" s="182"/>
      <c r="N363" s="182"/>
      <c r="O363" s="182"/>
      <c r="P363" s="182"/>
      <c r="Q363" s="182"/>
      <c r="R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K364" s="182"/>
      <c r="L364" s="182"/>
      <c r="M364" s="182"/>
      <c r="N364" s="182"/>
      <c r="O364" s="182"/>
      <c r="P364" s="182"/>
      <c r="Q364" s="182"/>
      <c r="R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K365" s="182"/>
      <c r="L365" s="182"/>
      <c r="M365" s="182"/>
      <c r="N365" s="182"/>
      <c r="O365" s="182"/>
      <c r="P365" s="182"/>
      <c r="Q365" s="182"/>
      <c r="R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K366" s="182"/>
      <c r="L366" s="182"/>
      <c r="M366" s="182"/>
      <c r="N366" s="182"/>
      <c r="O366" s="182"/>
      <c r="P366" s="182"/>
      <c r="Q366" s="182"/>
      <c r="R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K367" s="182"/>
      <c r="L367" s="182"/>
      <c r="M367" s="182"/>
      <c r="N367" s="182"/>
      <c r="O367" s="182"/>
      <c r="P367" s="182"/>
      <c r="Q367" s="182"/>
      <c r="R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K368" s="182"/>
      <c r="L368" s="182"/>
      <c r="M368" s="182"/>
      <c r="N368" s="182"/>
      <c r="O368" s="182"/>
      <c r="P368" s="182"/>
      <c r="Q368" s="182"/>
      <c r="R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K369" s="182"/>
      <c r="L369" s="182"/>
      <c r="M369" s="182"/>
      <c r="N369" s="182"/>
      <c r="O369" s="182"/>
      <c r="P369" s="182"/>
      <c r="Q369" s="182"/>
      <c r="R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K370" s="182"/>
      <c r="L370" s="182"/>
      <c r="M370" s="182"/>
      <c r="N370" s="182"/>
      <c r="O370" s="182"/>
      <c r="P370" s="182"/>
      <c r="Q370" s="182"/>
      <c r="R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K371" s="182"/>
      <c r="L371" s="182"/>
      <c r="M371" s="182"/>
      <c r="N371" s="182"/>
      <c r="O371" s="182"/>
      <c r="P371" s="182"/>
      <c r="Q371" s="182"/>
      <c r="R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K372" s="182"/>
      <c r="L372" s="182"/>
      <c r="M372" s="182"/>
      <c r="N372" s="182"/>
      <c r="O372" s="182"/>
      <c r="P372" s="182"/>
      <c r="Q372" s="182"/>
      <c r="R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K373" s="182"/>
      <c r="L373" s="182"/>
      <c r="M373" s="182"/>
      <c r="N373" s="182"/>
      <c r="O373" s="182"/>
      <c r="P373" s="182"/>
      <c r="Q373" s="182"/>
      <c r="R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K374" s="182"/>
      <c r="L374" s="182"/>
      <c r="M374" s="182"/>
      <c r="N374" s="182"/>
      <c r="O374" s="182"/>
      <c r="P374" s="182"/>
      <c r="Q374" s="182"/>
      <c r="R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K375" s="182"/>
      <c r="L375" s="182"/>
      <c r="M375" s="182"/>
      <c r="N375" s="182"/>
      <c r="O375" s="182"/>
      <c r="P375" s="182"/>
      <c r="Q375" s="182"/>
      <c r="R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K376" s="182"/>
      <c r="L376" s="182"/>
      <c r="M376" s="182"/>
      <c r="N376" s="182"/>
      <c r="O376" s="182"/>
      <c r="P376" s="182"/>
      <c r="Q376" s="182"/>
      <c r="R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K377" s="182"/>
      <c r="L377" s="182"/>
      <c r="M377" s="182"/>
      <c r="N377" s="182"/>
      <c r="O377" s="182"/>
      <c r="P377" s="182"/>
      <c r="Q377" s="182"/>
      <c r="R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K378" s="182"/>
      <c r="L378" s="182"/>
      <c r="M378" s="182"/>
      <c r="N378" s="182"/>
      <c r="O378" s="182"/>
      <c r="P378" s="182"/>
      <c r="Q378" s="182"/>
      <c r="R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K379" s="182"/>
      <c r="L379" s="182"/>
      <c r="M379" s="182"/>
      <c r="N379" s="182"/>
      <c r="O379" s="182"/>
      <c r="P379" s="182"/>
      <c r="Q379" s="182"/>
      <c r="R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K380" s="182"/>
      <c r="L380" s="182"/>
      <c r="M380" s="182"/>
      <c r="N380" s="182"/>
      <c r="O380" s="182"/>
      <c r="P380" s="182"/>
      <c r="Q380" s="182"/>
      <c r="R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K381" s="182"/>
      <c r="L381" s="182"/>
      <c r="M381" s="182"/>
      <c r="N381" s="182"/>
      <c r="O381" s="182"/>
      <c r="P381" s="182"/>
      <c r="Q381" s="182"/>
      <c r="R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K382" s="182"/>
      <c r="L382" s="182"/>
      <c r="M382" s="182"/>
      <c r="N382" s="182"/>
      <c r="O382" s="182"/>
      <c r="P382" s="182"/>
      <c r="Q382" s="182"/>
      <c r="R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K383" s="182"/>
      <c r="L383" s="182"/>
      <c r="M383" s="182"/>
      <c r="N383" s="182"/>
      <c r="O383" s="182"/>
      <c r="P383" s="182"/>
      <c r="Q383" s="182"/>
      <c r="R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K384" s="182"/>
      <c r="L384" s="182"/>
      <c r="M384" s="182"/>
      <c r="N384" s="182"/>
      <c r="O384" s="182"/>
      <c r="P384" s="182"/>
      <c r="Q384" s="182"/>
      <c r="R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K385" s="182"/>
      <c r="L385" s="182"/>
      <c r="M385" s="182"/>
      <c r="N385" s="182"/>
      <c r="O385" s="182"/>
      <c r="P385" s="182"/>
      <c r="Q385" s="182"/>
      <c r="R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K386" s="182"/>
      <c r="L386" s="182"/>
      <c r="M386" s="182"/>
      <c r="N386" s="182"/>
      <c r="O386" s="182"/>
      <c r="P386" s="182"/>
      <c r="Q386" s="182"/>
      <c r="R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K387" s="182"/>
      <c r="L387" s="182"/>
      <c r="M387" s="182"/>
      <c r="N387" s="182"/>
      <c r="O387" s="182"/>
      <c r="P387" s="182"/>
      <c r="Q387" s="182"/>
      <c r="R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K388" s="182"/>
      <c r="L388" s="182"/>
      <c r="M388" s="182"/>
      <c r="N388" s="182"/>
      <c r="O388" s="182"/>
      <c r="P388" s="182"/>
      <c r="Q388" s="182"/>
      <c r="R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K389" s="182"/>
      <c r="L389" s="182"/>
      <c r="M389" s="182"/>
      <c r="N389" s="182"/>
      <c r="O389" s="182"/>
      <c r="P389" s="182"/>
      <c r="Q389" s="182"/>
      <c r="R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K390" s="182"/>
      <c r="L390" s="182"/>
      <c r="M390" s="182"/>
      <c r="N390" s="182"/>
      <c r="O390" s="182"/>
      <c r="P390" s="182"/>
      <c r="Q390" s="182"/>
      <c r="R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K391" s="182"/>
      <c r="L391" s="182"/>
      <c r="M391" s="182"/>
      <c r="N391" s="182"/>
      <c r="O391" s="182"/>
      <c r="P391" s="182"/>
      <c r="Q391" s="182"/>
      <c r="R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K392" s="182"/>
      <c r="L392" s="182"/>
      <c r="M392" s="182"/>
      <c r="N392" s="182"/>
      <c r="O392" s="182"/>
      <c r="P392" s="182"/>
      <c r="Q392" s="182"/>
      <c r="R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K393" s="182"/>
      <c r="L393" s="182"/>
      <c r="M393" s="182"/>
      <c r="N393" s="182"/>
      <c r="O393" s="182"/>
      <c r="P393" s="182"/>
      <c r="Q393" s="182"/>
      <c r="R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K394" s="182"/>
      <c r="L394" s="182"/>
      <c r="M394" s="182"/>
      <c r="N394" s="182"/>
      <c r="O394" s="182"/>
      <c r="P394" s="182"/>
      <c r="Q394" s="182"/>
      <c r="R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K395" s="182"/>
      <c r="L395" s="182"/>
      <c r="M395" s="182"/>
      <c r="N395" s="182"/>
      <c r="O395" s="182"/>
      <c r="P395" s="182"/>
      <c r="Q395" s="182"/>
      <c r="R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K396" s="182"/>
      <c r="L396" s="182"/>
      <c r="M396" s="182"/>
      <c r="N396" s="182"/>
      <c r="O396" s="182"/>
      <c r="P396" s="182"/>
      <c r="Q396" s="182"/>
      <c r="R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K397" s="182"/>
      <c r="L397" s="182"/>
      <c r="M397" s="182"/>
      <c r="N397" s="182"/>
      <c r="O397" s="182"/>
      <c r="P397" s="182"/>
      <c r="Q397" s="182"/>
      <c r="R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K398" s="182"/>
      <c r="L398" s="182"/>
      <c r="M398" s="182"/>
      <c r="N398" s="182"/>
      <c r="O398" s="182"/>
      <c r="P398" s="182"/>
      <c r="Q398" s="182"/>
      <c r="R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K399" s="182"/>
      <c r="L399" s="182"/>
      <c r="M399" s="182"/>
      <c r="N399" s="182"/>
      <c r="O399" s="182"/>
      <c r="P399" s="182"/>
      <c r="Q399" s="182"/>
      <c r="R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K400" s="182"/>
      <c r="L400" s="182"/>
      <c r="M400" s="182"/>
      <c r="N400" s="182"/>
      <c r="O400" s="182"/>
      <c r="P400" s="182"/>
      <c r="Q400" s="182"/>
      <c r="R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K401" s="182"/>
      <c r="L401" s="182"/>
      <c r="M401" s="182"/>
      <c r="N401" s="182"/>
      <c r="O401" s="182"/>
      <c r="P401" s="182"/>
      <c r="Q401" s="182"/>
      <c r="R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K402" s="182"/>
      <c r="L402" s="182"/>
      <c r="M402" s="182"/>
      <c r="N402" s="182"/>
      <c r="O402" s="182"/>
      <c r="P402" s="182"/>
      <c r="Q402" s="182"/>
      <c r="R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K403" s="182"/>
      <c r="L403" s="182"/>
      <c r="M403" s="182"/>
      <c r="N403" s="182"/>
      <c r="O403" s="182"/>
      <c r="P403" s="182"/>
      <c r="Q403" s="182"/>
      <c r="R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K404" s="182"/>
      <c r="L404" s="182"/>
      <c r="M404" s="182"/>
      <c r="N404" s="182"/>
      <c r="O404" s="182"/>
      <c r="P404" s="182"/>
      <c r="Q404" s="182"/>
      <c r="R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K405" s="182"/>
      <c r="L405" s="182"/>
      <c r="M405" s="182"/>
      <c r="N405" s="182"/>
      <c r="O405" s="182"/>
      <c r="P405" s="182"/>
      <c r="Q405" s="182"/>
      <c r="R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K406" s="182"/>
      <c r="L406" s="182"/>
      <c r="M406" s="182"/>
      <c r="N406" s="182"/>
      <c r="O406" s="182"/>
      <c r="P406" s="182"/>
      <c r="Q406" s="182"/>
      <c r="R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K407" s="182"/>
      <c r="L407" s="182"/>
      <c r="M407" s="182"/>
      <c r="N407" s="182"/>
      <c r="O407" s="182"/>
      <c r="P407" s="182"/>
      <c r="Q407" s="182"/>
      <c r="R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K408" s="182"/>
      <c r="L408" s="182"/>
      <c r="M408" s="182"/>
      <c r="N408" s="182"/>
      <c r="O408" s="182"/>
      <c r="P408" s="182"/>
      <c r="Q408" s="182"/>
      <c r="R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K409" s="182"/>
      <c r="L409" s="182"/>
      <c r="M409" s="182"/>
      <c r="N409" s="182"/>
      <c r="O409" s="182"/>
      <c r="P409" s="182"/>
      <c r="Q409" s="182"/>
      <c r="R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K410" s="182"/>
      <c r="L410" s="182"/>
      <c r="M410" s="182"/>
      <c r="N410" s="182"/>
      <c r="O410" s="182"/>
      <c r="P410" s="182"/>
      <c r="Q410" s="182"/>
      <c r="R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K411" s="182"/>
      <c r="L411" s="182"/>
      <c r="M411" s="182"/>
      <c r="N411" s="182"/>
      <c r="O411" s="182"/>
      <c r="P411" s="182"/>
      <c r="Q411" s="182"/>
      <c r="R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K412" s="182"/>
      <c r="L412" s="182"/>
      <c r="M412" s="182"/>
      <c r="N412" s="182"/>
      <c r="O412" s="182"/>
      <c r="P412" s="182"/>
      <c r="Q412" s="182"/>
      <c r="R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K413" s="182"/>
      <c r="L413" s="182"/>
      <c r="M413" s="182"/>
      <c r="N413" s="182"/>
      <c r="O413" s="182"/>
      <c r="P413" s="182"/>
      <c r="Q413" s="182"/>
      <c r="R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K414" s="182"/>
      <c r="L414" s="182"/>
      <c r="M414" s="182"/>
      <c r="N414" s="182"/>
      <c r="O414" s="182"/>
      <c r="P414" s="182"/>
      <c r="Q414" s="182"/>
      <c r="R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K415" s="182"/>
      <c r="L415" s="182"/>
      <c r="M415" s="182"/>
      <c r="N415" s="182"/>
      <c r="O415" s="182"/>
      <c r="P415" s="182"/>
      <c r="Q415" s="182"/>
      <c r="R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K416" s="182"/>
      <c r="L416" s="182"/>
      <c r="M416" s="182"/>
      <c r="N416" s="182"/>
      <c r="O416" s="182"/>
      <c r="P416" s="182"/>
      <c r="Q416" s="182"/>
      <c r="R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K417" s="182"/>
      <c r="L417" s="182"/>
      <c r="M417" s="182"/>
      <c r="N417" s="182"/>
      <c r="O417" s="182"/>
      <c r="P417" s="182"/>
      <c r="Q417" s="182"/>
      <c r="R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K418" s="182"/>
      <c r="L418" s="182"/>
      <c r="M418" s="182"/>
      <c r="N418" s="182"/>
      <c r="O418" s="182"/>
      <c r="P418" s="182"/>
      <c r="Q418" s="182"/>
      <c r="R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K419" s="182"/>
      <c r="L419" s="182"/>
      <c r="M419" s="182"/>
      <c r="N419" s="182"/>
      <c r="O419" s="182"/>
      <c r="P419" s="182"/>
      <c r="Q419" s="182"/>
      <c r="R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K420" s="182"/>
      <c r="L420" s="182"/>
      <c r="M420" s="182"/>
      <c r="N420" s="182"/>
      <c r="O420" s="182"/>
      <c r="P420" s="182"/>
      <c r="Q420" s="182"/>
      <c r="R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K421" s="182"/>
      <c r="L421" s="182"/>
      <c r="M421" s="182"/>
      <c r="N421" s="182"/>
      <c r="O421" s="182"/>
      <c r="P421" s="182"/>
      <c r="Q421" s="182"/>
      <c r="R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K422" s="182"/>
      <c r="L422" s="182"/>
      <c r="M422" s="182"/>
      <c r="N422" s="182"/>
      <c r="O422" s="182"/>
      <c r="P422" s="182"/>
      <c r="Q422" s="182"/>
      <c r="R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K423" s="182"/>
      <c r="L423" s="182"/>
      <c r="M423" s="182"/>
      <c r="N423" s="182"/>
      <c r="O423" s="182"/>
      <c r="P423" s="182"/>
      <c r="Q423" s="182"/>
      <c r="R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K424" s="182"/>
      <c r="L424" s="182"/>
      <c r="M424" s="182"/>
      <c r="N424" s="182"/>
      <c r="O424" s="182"/>
      <c r="P424" s="182"/>
      <c r="Q424" s="182"/>
      <c r="R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K425" s="182"/>
      <c r="L425" s="182"/>
      <c r="M425" s="182"/>
      <c r="N425" s="182"/>
      <c r="O425" s="182"/>
      <c r="P425" s="182"/>
      <c r="Q425" s="182"/>
      <c r="R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K426" s="182"/>
      <c r="L426" s="182"/>
      <c r="M426" s="182"/>
      <c r="N426" s="182"/>
      <c r="O426" s="182"/>
      <c r="P426" s="182"/>
      <c r="Q426" s="182"/>
      <c r="R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K427" s="182"/>
      <c r="L427" s="182"/>
      <c r="M427" s="182"/>
      <c r="N427" s="182"/>
      <c r="O427" s="182"/>
      <c r="P427" s="182"/>
      <c r="Q427" s="182"/>
      <c r="R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K428" s="182"/>
      <c r="L428" s="182"/>
      <c r="M428" s="182"/>
      <c r="N428" s="182"/>
      <c r="O428" s="182"/>
      <c r="P428" s="182"/>
      <c r="Q428" s="182"/>
      <c r="R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K429" s="182"/>
      <c r="L429" s="182"/>
      <c r="M429" s="182"/>
      <c r="N429" s="182"/>
      <c r="O429" s="182"/>
      <c r="P429" s="182"/>
      <c r="Q429" s="182"/>
      <c r="R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K430" s="182"/>
      <c r="L430" s="182"/>
      <c r="M430" s="182"/>
      <c r="N430" s="182"/>
      <c r="O430" s="182"/>
      <c r="P430" s="182"/>
      <c r="Q430" s="182"/>
      <c r="R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K431" s="182"/>
      <c r="L431" s="182"/>
      <c r="M431" s="182"/>
      <c r="N431" s="182"/>
      <c r="O431" s="182"/>
      <c r="P431" s="182"/>
      <c r="Q431" s="182"/>
      <c r="R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K432" s="182"/>
      <c r="L432" s="182"/>
      <c r="M432" s="182"/>
      <c r="N432" s="182"/>
      <c r="O432" s="182"/>
      <c r="P432" s="182"/>
      <c r="Q432" s="182"/>
      <c r="R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K433" s="182"/>
      <c r="L433" s="182"/>
      <c r="M433" s="182"/>
      <c r="N433" s="182"/>
      <c r="O433" s="182"/>
      <c r="P433" s="182"/>
      <c r="Q433" s="182"/>
      <c r="R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K434" s="182"/>
      <c r="L434" s="182"/>
      <c r="M434" s="182"/>
      <c r="N434" s="182"/>
      <c r="O434" s="182"/>
      <c r="P434" s="182"/>
      <c r="Q434" s="182"/>
      <c r="R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K435" s="182"/>
      <c r="L435" s="182"/>
      <c r="M435" s="182"/>
      <c r="N435" s="182"/>
      <c r="O435" s="182"/>
      <c r="P435" s="182"/>
      <c r="Q435" s="182"/>
      <c r="R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K436" s="182"/>
      <c r="L436" s="182"/>
      <c r="M436" s="182"/>
      <c r="N436" s="182"/>
      <c r="O436" s="182"/>
      <c r="P436" s="182"/>
      <c r="Q436" s="182"/>
      <c r="R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K437" s="182"/>
      <c r="L437" s="182"/>
      <c r="M437" s="182"/>
      <c r="N437" s="182"/>
      <c r="O437" s="182"/>
      <c r="P437" s="182"/>
      <c r="Q437" s="182"/>
      <c r="R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K438" s="182"/>
      <c r="L438" s="182"/>
      <c r="M438" s="182"/>
      <c r="N438" s="182"/>
      <c r="O438" s="182"/>
      <c r="P438" s="182"/>
      <c r="Q438" s="182"/>
      <c r="R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K439" s="182"/>
      <c r="L439" s="182"/>
      <c r="M439" s="182"/>
      <c r="N439" s="182"/>
      <c r="O439" s="182"/>
      <c r="P439" s="182"/>
      <c r="Q439" s="182"/>
      <c r="R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K440" s="182"/>
      <c r="L440" s="182"/>
      <c r="M440" s="182"/>
      <c r="N440" s="182"/>
      <c r="O440" s="182"/>
      <c r="P440" s="182"/>
      <c r="Q440" s="182"/>
      <c r="R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K441" s="182"/>
      <c r="L441" s="182"/>
      <c r="M441" s="182"/>
      <c r="N441" s="182"/>
      <c r="O441" s="182"/>
      <c r="P441" s="182"/>
      <c r="Q441" s="182"/>
      <c r="R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K442" s="182"/>
      <c r="L442" s="182"/>
      <c r="M442" s="182"/>
      <c r="N442" s="182"/>
      <c r="O442" s="182"/>
      <c r="P442" s="182"/>
      <c r="Q442" s="182"/>
      <c r="R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K443" s="182"/>
      <c r="L443" s="182"/>
      <c r="M443" s="182"/>
      <c r="N443" s="182"/>
      <c r="O443" s="182"/>
      <c r="P443" s="182"/>
      <c r="Q443" s="182"/>
      <c r="R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K444" s="182"/>
      <c r="L444" s="182"/>
      <c r="M444" s="182"/>
      <c r="N444" s="182"/>
      <c r="O444" s="182"/>
      <c r="P444" s="182"/>
      <c r="Q444" s="182"/>
      <c r="R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K445" s="182"/>
      <c r="L445" s="182"/>
      <c r="M445" s="182"/>
      <c r="N445" s="182"/>
      <c r="O445" s="182"/>
      <c r="P445" s="182"/>
      <c r="Q445" s="182"/>
      <c r="R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K446" s="182"/>
      <c r="L446" s="182"/>
      <c r="M446" s="182"/>
      <c r="N446" s="182"/>
      <c r="O446" s="182"/>
      <c r="P446" s="182"/>
      <c r="Q446" s="182"/>
      <c r="R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K447" s="182"/>
      <c r="L447" s="182"/>
      <c r="M447" s="182"/>
      <c r="N447" s="182"/>
      <c r="O447" s="182"/>
      <c r="P447" s="182"/>
      <c r="Q447" s="182"/>
      <c r="R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K448" s="182"/>
      <c r="L448" s="182"/>
      <c r="M448" s="182"/>
      <c r="N448" s="182"/>
      <c r="O448" s="182"/>
      <c r="P448" s="182"/>
      <c r="Q448" s="182"/>
      <c r="R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K449" s="182"/>
      <c r="L449" s="182"/>
      <c r="M449" s="182"/>
      <c r="N449" s="182"/>
      <c r="O449" s="182"/>
      <c r="P449" s="182"/>
      <c r="Q449" s="182"/>
      <c r="R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K450" s="182"/>
      <c r="L450" s="182"/>
      <c r="M450" s="182"/>
      <c r="N450" s="182"/>
      <c r="O450" s="182"/>
      <c r="P450" s="182"/>
      <c r="Q450" s="182"/>
      <c r="R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K451" s="182"/>
      <c r="L451" s="182"/>
      <c r="M451" s="182"/>
      <c r="N451" s="182"/>
      <c r="O451" s="182"/>
      <c r="P451" s="182"/>
      <c r="Q451" s="182"/>
      <c r="R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K452" s="182"/>
      <c r="L452" s="182"/>
      <c r="M452" s="182"/>
      <c r="N452" s="182"/>
      <c r="O452" s="182"/>
      <c r="P452" s="182"/>
      <c r="Q452" s="182"/>
      <c r="R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K453" s="182"/>
      <c r="L453" s="182"/>
      <c r="M453" s="182"/>
      <c r="N453" s="182"/>
      <c r="O453" s="182"/>
      <c r="P453" s="182"/>
      <c r="Q453" s="182"/>
      <c r="R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K454" s="182"/>
      <c r="L454" s="182"/>
      <c r="M454" s="182"/>
      <c r="N454" s="182"/>
      <c r="O454" s="182"/>
      <c r="P454" s="182"/>
      <c r="Q454" s="182"/>
      <c r="R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K455" s="182"/>
      <c r="L455" s="182"/>
      <c r="M455" s="182"/>
      <c r="N455" s="182"/>
      <c r="O455" s="182"/>
      <c r="P455" s="182"/>
      <c r="Q455" s="182"/>
      <c r="R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K456" s="182"/>
      <c r="L456" s="182"/>
      <c r="M456" s="182"/>
      <c r="N456" s="182"/>
      <c r="O456" s="182"/>
      <c r="P456" s="182"/>
      <c r="Q456" s="182"/>
      <c r="R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K457" s="182"/>
      <c r="L457" s="182"/>
      <c r="M457" s="182"/>
      <c r="N457" s="182"/>
      <c r="O457" s="182"/>
      <c r="P457" s="182"/>
      <c r="Q457" s="182"/>
      <c r="R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K458" s="182"/>
      <c r="L458" s="182"/>
      <c r="M458" s="182"/>
      <c r="N458" s="182"/>
      <c r="O458" s="182"/>
      <c r="P458" s="182"/>
      <c r="Q458" s="182"/>
      <c r="R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K459" s="182"/>
      <c r="L459" s="182"/>
      <c r="M459" s="182"/>
      <c r="N459" s="182"/>
      <c r="O459" s="182"/>
      <c r="P459" s="182"/>
      <c r="Q459" s="182"/>
      <c r="R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K460" s="182"/>
      <c r="L460" s="182"/>
      <c r="M460" s="182"/>
      <c r="N460" s="182"/>
      <c r="O460" s="182"/>
      <c r="P460" s="182"/>
      <c r="Q460" s="182"/>
      <c r="R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K461" s="182"/>
      <c r="L461" s="182"/>
      <c r="M461" s="182"/>
      <c r="N461" s="182"/>
      <c r="O461" s="182"/>
      <c r="P461" s="182"/>
      <c r="Q461" s="182"/>
      <c r="R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K462" s="182"/>
      <c r="L462" s="182"/>
      <c r="M462" s="182"/>
      <c r="N462" s="182"/>
      <c r="O462" s="182"/>
      <c r="P462" s="182"/>
      <c r="Q462" s="182"/>
      <c r="R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K463" s="182"/>
      <c r="L463" s="182"/>
      <c r="M463" s="182"/>
      <c r="N463" s="182"/>
      <c r="O463" s="182"/>
      <c r="P463" s="182"/>
      <c r="Q463" s="182"/>
      <c r="R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K464" s="182"/>
      <c r="L464" s="182"/>
      <c r="M464" s="182"/>
      <c r="N464" s="182"/>
      <c r="O464" s="182"/>
      <c r="P464" s="182"/>
      <c r="Q464" s="182"/>
      <c r="R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K465" s="182"/>
      <c r="L465" s="182"/>
      <c r="M465" s="182"/>
      <c r="N465" s="182"/>
      <c r="O465" s="182"/>
      <c r="P465" s="182"/>
      <c r="Q465" s="182"/>
      <c r="R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K466" s="182"/>
      <c r="L466" s="182"/>
      <c r="M466" s="182"/>
      <c r="N466" s="182"/>
      <c r="O466" s="182"/>
      <c r="P466" s="182"/>
      <c r="Q466" s="182"/>
      <c r="R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K467" s="182"/>
      <c r="L467" s="182"/>
      <c r="M467" s="182"/>
      <c r="N467" s="182"/>
      <c r="O467" s="182"/>
      <c r="P467" s="182"/>
      <c r="Q467" s="182"/>
      <c r="R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K468" s="182"/>
      <c r="L468" s="182"/>
      <c r="M468" s="182"/>
      <c r="N468" s="182"/>
      <c r="O468" s="182"/>
      <c r="P468" s="182"/>
      <c r="Q468" s="182"/>
      <c r="R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K469" s="182"/>
      <c r="L469" s="182"/>
      <c r="M469" s="182"/>
      <c r="N469" s="182"/>
      <c r="O469" s="182"/>
      <c r="P469" s="182"/>
      <c r="Q469" s="182"/>
      <c r="R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K470" s="182"/>
      <c r="L470" s="182"/>
      <c r="M470" s="182"/>
      <c r="N470" s="182"/>
      <c r="O470" s="182"/>
      <c r="P470" s="182"/>
      <c r="Q470" s="182"/>
      <c r="R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K471" s="182"/>
      <c r="L471" s="182"/>
      <c r="M471" s="182"/>
      <c r="N471" s="182"/>
      <c r="O471" s="182"/>
      <c r="P471" s="182"/>
      <c r="Q471" s="182"/>
      <c r="R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K472" s="182"/>
      <c r="L472" s="182"/>
      <c r="M472" s="182"/>
      <c r="N472" s="182"/>
      <c r="O472" s="182"/>
      <c r="P472" s="182"/>
      <c r="Q472" s="182"/>
      <c r="R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K473" s="182"/>
      <c r="L473" s="182"/>
      <c r="M473" s="182"/>
      <c r="N473" s="182"/>
      <c r="O473" s="182"/>
      <c r="P473" s="182"/>
      <c r="Q473" s="182"/>
      <c r="R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K474" s="182"/>
      <c r="L474" s="182"/>
      <c r="M474" s="182"/>
      <c r="N474" s="182"/>
      <c r="O474" s="182"/>
      <c r="P474" s="182"/>
      <c r="Q474" s="182"/>
      <c r="R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K475" s="182"/>
      <c r="L475" s="182"/>
      <c r="M475" s="182"/>
      <c r="N475" s="182"/>
      <c r="O475" s="182"/>
      <c r="P475" s="182"/>
      <c r="Q475" s="182"/>
      <c r="R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K476" s="182"/>
      <c r="L476" s="182"/>
      <c r="M476" s="182"/>
      <c r="N476" s="182"/>
      <c r="O476" s="182"/>
      <c r="P476" s="182"/>
      <c r="Q476" s="182"/>
      <c r="R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K477" s="182"/>
      <c r="L477" s="182"/>
      <c r="M477" s="182"/>
      <c r="N477" s="182"/>
      <c r="O477" s="182"/>
      <c r="P477" s="182"/>
      <c r="Q477" s="182"/>
      <c r="R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K478" s="182"/>
      <c r="L478" s="182"/>
      <c r="M478" s="182"/>
      <c r="N478" s="182"/>
      <c r="O478" s="182"/>
      <c r="P478" s="182"/>
      <c r="Q478" s="182"/>
      <c r="R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K479" s="182"/>
      <c r="L479" s="182"/>
      <c r="M479" s="182"/>
      <c r="N479" s="182"/>
      <c r="O479" s="182"/>
      <c r="P479" s="182"/>
      <c r="Q479" s="182"/>
      <c r="R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K480" s="182"/>
      <c r="L480" s="182"/>
      <c r="M480" s="182"/>
      <c r="N480" s="182"/>
      <c r="O480" s="182"/>
      <c r="P480" s="182"/>
      <c r="Q480" s="182"/>
      <c r="R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K481" s="182"/>
      <c r="L481" s="182"/>
      <c r="M481" s="182"/>
      <c r="N481" s="182"/>
      <c r="O481" s="182"/>
      <c r="P481" s="182"/>
      <c r="Q481" s="182"/>
      <c r="R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K482" s="182"/>
      <c r="L482" s="182"/>
      <c r="M482" s="182"/>
      <c r="N482" s="182"/>
      <c r="O482" s="182"/>
      <c r="P482" s="182"/>
      <c r="Q482" s="182"/>
      <c r="R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K483" s="182"/>
      <c r="L483" s="182"/>
      <c r="M483" s="182"/>
      <c r="N483" s="182"/>
      <c r="O483" s="182"/>
      <c r="P483" s="182"/>
      <c r="Q483" s="182"/>
      <c r="R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K484" s="182"/>
      <c r="L484" s="182"/>
      <c r="M484" s="182"/>
      <c r="N484" s="182"/>
      <c r="O484" s="182"/>
      <c r="P484" s="182"/>
      <c r="Q484" s="182"/>
      <c r="R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K485" s="182"/>
      <c r="L485" s="182"/>
      <c r="M485" s="182"/>
      <c r="N485" s="182"/>
      <c r="O485" s="182"/>
      <c r="P485" s="182"/>
      <c r="Q485" s="182"/>
      <c r="R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K486" s="182"/>
      <c r="L486" s="182"/>
      <c r="M486" s="182"/>
      <c r="N486" s="182"/>
      <c r="O486" s="182"/>
      <c r="P486" s="182"/>
      <c r="Q486" s="182"/>
      <c r="R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K487" s="182"/>
      <c r="L487" s="182"/>
      <c r="M487" s="182"/>
      <c r="N487" s="182"/>
      <c r="O487" s="182"/>
      <c r="P487" s="182"/>
      <c r="Q487" s="182"/>
      <c r="R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K488" s="182"/>
      <c r="L488" s="182"/>
      <c r="M488" s="182"/>
      <c r="N488" s="182"/>
      <c r="O488" s="182"/>
      <c r="P488" s="182"/>
      <c r="Q488" s="182"/>
      <c r="R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K489" s="182"/>
      <c r="L489" s="182"/>
      <c r="M489" s="182"/>
      <c r="N489" s="182"/>
      <c r="O489" s="182"/>
      <c r="P489" s="182"/>
      <c r="Q489" s="182"/>
      <c r="R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K490" s="182"/>
      <c r="L490" s="182"/>
      <c r="M490" s="182"/>
      <c r="N490" s="182"/>
      <c r="O490" s="182"/>
      <c r="P490" s="182"/>
      <c r="Q490" s="182"/>
      <c r="R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K491" s="182"/>
      <c r="L491" s="182"/>
      <c r="M491" s="182"/>
      <c r="N491" s="182"/>
      <c r="O491" s="182"/>
      <c r="P491" s="182"/>
      <c r="Q491" s="182"/>
      <c r="R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K492" s="182"/>
      <c r="L492" s="182"/>
      <c r="M492" s="182"/>
      <c r="N492" s="182"/>
      <c r="O492" s="182"/>
      <c r="P492" s="182"/>
      <c r="Q492" s="182"/>
      <c r="R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K493" s="182"/>
      <c r="L493" s="182"/>
      <c r="M493" s="182"/>
      <c r="N493" s="182"/>
      <c r="O493" s="182"/>
      <c r="P493" s="182"/>
      <c r="Q493" s="182"/>
      <c r="R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K494" s="182"/>
      <c r="L494" s="182"/>
      <c r="M494" s="182"/>
      <c r="N494" s="182"/>
      <c r="O494" s="182"/>
      <c r="P494" s="182"/>
      <c r="Q494" s="182"/>
      <c r="R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K495" s="182"/>
      <c r="L495" s="182"/>
      <c r="M495" s="182"/>
      <c r="N495" s="182"/>
      <c r="O495" s="182"/>
      <c r="P495" s="182"/>
      <c r="Q495" s="182"/>
      <c r="R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K496" s="182"/>
      <c r="L496" s="182"/>
      <c r="M496" s="182"/>
      <c r="N496" s="182"/>
      <c r="O496" s="182"/>
      <c r="P496" s="182"/>
      <c r="Q496" s="182"/>
      <c r="R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K497" s="182"/>
      <c r="L497" s="182"/>
      <c r="M497" s="182"/>
      <c r="N497" s="182"/>
      <c r="O497" s="182"/>
      <c r="P497" s="182"/>
      <c r="Q497" s="182"/>
      <c r="R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K498" s="182"/>
      <c r="L498" s="182"/>
      <c r="M498" s="182"/>
      <c r="N498" s="182"/>
      <c r="O498" s="182"/>
      <c r="P498" s="182"/>
      <c r="Q498" s="182"/>
      <c r="R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K499" s="182"/>
      <c r="L499" s="182"/>
      <c r="M499" s="182"/>
      <c r="N499" s="182"/>
      <c r="O499" s="182"/>
      <c r="P499" s="182"/>
      <c r="Q499" s="182"/>
      <c r="R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K500" s="182"/>
      <c r="L500" s="182"/>
      <c r="M500" s="182"/>
      <c r="N500" s="182"/>
      <c r="O500" s="182"/>
      <c r="P500" s="182"/>
      <c r="Q500" s="182"/>
      <c r="R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K501" s="182"/>
      <c r="L501" s="182"/>
      <c r="M501" s="182"/>
      <c r="N501" s="182"/>
      <c r="O501" s="182"/>
      <c r="P501" s="182"/>
      <c r="Q501" s="182"/>
      <c r="R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K502" s="182"/>
      <c r="L502" s="182"/>
      <c r="M502" s="182"/>
      <c r="N502" s="182"/>
      <c r="O502" s="182"/>
      <c r="P502" s="182"/>
      <c r="Q502" s="182"/>
      <c r="R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K503" s="182"/>
      <c r="L503" s="182"/>
      <c r="M503" s="182"/>
      <c r="N503" s="182"/>
      <c r="O503" s="182"/>
      <c r="P503" s="182"/>
      <c r="Q503" s="182"/>
      <c r="R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K504" s="182"/>
      <c r="L504" s="182"/>
      <c r="M504" s="182"/>
      <c r="N504" s="182"/>
      <c r="O504" s="182"/>
      <c r="P504" s="182"/>
      <c r="Q504" s="182"/>
      <c r="R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K505" s="182"/>
      <c r="L505" s="182"/>
      <c r="M505" s="182"/>
      <c r="N505" s="182"/>
      <c r="O505" s="182"/>
      <c r="P505" s="182"/>
      <c r="Q505" s="182"/>
      <c r="R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K506" s="182"/>
      <c r="L506" s="182"/>
      <c r="M506" s="182"/>
      <c r="N506" s="182"/>
      <c r="O506" s="182"/>
      <c r="P506" s="182"/>
      <c r="Q506" s="182"/>
      <c r="R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K507" s="182"/>
      <c r="L507" s="182"/>
      <c r="M507" s="182"/>
      <c r="N507" s="182"/>
      <c r="O507" s="182"/>
      <c r="P507" s="182"/>
      <c r="Q507" s="182"/>
      <c r="R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K508" s="182"/>
      <c r="L508" s="182"/>
      <c r="M508" s="182"/>
      <c r="N508" s="182"/>
      <c r="O508" s="182"/>
      <c r="P508" s="182"/>
      <c r="Q508" s="182"/>
      <c r="R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K509" s="182"/>
      <c r="L509" s="182"/>
      <c r="M509" s="182"/>
      <c r="N509" s="182"/>
      <c r="O509" s="182"/>
      <c r="P509" s="182"/>
      <c r="Q509" s="182"/>
      <c r="R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K510" s="182"/>
      <c r="L510" s="182"/>
      <c r="M510" s="182"/>
      <c r="N510" s="182"/>
      <c r="O510" s="182"/>
      <c r="P510" s="182"/>
      <c r="Q510" s="182"/>
      <c r="R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K511" s="182"/>
      <c r="L511" s="182"/>
      <c r="M511" s="182"/>
      <c r="N511" s="182"/>
      <c r="O511" s="182"/>
      <c r="P511" s="182"/>
      <c r="Q511" s="182"/>
      <c r="R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K512" s="182"/>
      <c r="L512" s="182"/>
      <c r="M512" s="182"/>
      <c r="N512" s="182"/>
      <c r="O512" s="182"/>
      <c r="P512" s="182"/>
      <c r="Q512" s="182"/>
      <c r="R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K513" s="182"/>
      <c r="L513" s="182"/>
      <c r="M513" s="182"/>
      <c r="N513" s="182"/>
      <c r="O513" s="182"/>
      <c r="P513" s="182"/>
      <c r="Q513" s="182"/>
      <c r="R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K514" s="182"/>
      <c r="L514" s="182"/>
      <c r="M514" s="182"/>
      <c r="N514" s="182"/>
      <c r="O514" s="182"/>
      <c r="P514" s="182"/>
      <c r="Q514" s="182"/>
      <c r="R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K515" s="182"/>
      <c r="L515" s="182"/>
      <c r="M515" s="182"/>
      <c r="N515" s="182"/>
      <c r="O515" s="182"/>
      <c r="P515" s="182"/>
      <c r="Q515" s="182"/>
      <c r="R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K516" s="182"/>
      <c r="L516" s="182"/>
      <c r="M516" s="182"/>
      <c r="N516" s="182"/>
      <c r="O516" s="182"/>
      <c r="P516" s="182"/>
      <c r="Q516" s="182"/>
      <c r="R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K517" s="182"/>
      <c r="L517" s="182"/>
      <c r="M517" s="182"/>
      <c r="N517" s="182"/>
      <c r="O517" s="182"/>
      <c r="P517" s="182"/>
      <c r="Q517" s="182"/>
      <c r="R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K518" s="182"/>
      <c r="L518" s="182"/>
      <c r="M518" s="182"/>
      <c r="N518" s="182"/>
      <c r="O518" s="182"/>
      <c r="P518" s="182"/>
      <c r="Q518" s="182"/>
      <c r="R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K519" s="182"/>
      <c r="L519" s="182"/>
      <c r="M519" s="182"/>
      <c r="N519" s="182"/>
      <c r="O519" s="182"/>
      <c r="P519" s="182"/>
      <c r="Q519" s="182"/>
      <c r="R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K520" s="182"/>
      <c r="L520" s="182"/>
      <c r="M520" s="182"/>
      <c r="N520" s="182"/>
      <c r="O520" s="182"/>
      <c r="P520" s="182"/>
      <c r="Q520" s="182"/>
      <c r="R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K521" s="182"/>
      <c r="L521" s="182"/>
      <c r="M521" s="182"/>
      <c r="N521" s="182"/>
      <c r="O521" s="182"/>
      <c r="P521" s="182"/>
      <c r="Q521" s="182"/>
      <c r="R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K522" s="182"/>
      <c r="L522" s="182"/>
      <c r="M522" s="182"/>
      <c r="N522" s="182"/>
      <c r="O522" s="182"/>
      <c r="P522" s="182"/>
      <c r="Q522" s="182"/>
      <c r="R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K523" s="182"/>
      <c r="L523" s="182"/>
      <c r="M523" s="182"/>
      <c r="N523" s="182"/>
      <c r="O523" s="182"/>
      <c r="P523" s="182"/>
      <c r="Q523" s="182"/>
      <c r="R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K524" s="182"/>
      <c r="L524" s="182"/>
      <c r="M524" s="182"/>
      <c r="N524" s="182"/>
      <c r="O524" s="182"/>
      <c r="P524" s="182"/>
      <c r="Q524" s="182"/>
      <c r="R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K525" s="182"/>
      <c r="L525" s="182"/>
      <c r="M525" s="182"/>
      <c r="N525" s="182"/>
      <c r="O525" s="182"/>
      <c r="P525" s="182"/>
      <c r="Q525" s="182"/>
      <c r="R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K526" s="182"/>
      <c r="L526" s="182"/>
      <c r="M526" s="182"/>
      <c r="N526" s="182"/>
      <c r="O526" s="182"/>
      <c r="P526" s="182"/>
      <c r="Q526" s="182"/>
      <c r="R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K527" s="182"/>
      <c r="L527" s="182"/>
      <c r="M527" s="182"/>
      <c r="N527" s="182"/>
      <c r="O527" s="182"/>
      <c r="P527" s="182"/>
      <c r="Q527" s="182"/>
      <c r="R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K528" s="182"/>
      <c r="L528" s="182"/>
      <c r="M528" s="182"/>
      <c r="N528" s="182"/>
      <c r="O528" s="182"/>
      <c r="P528" s="182"/>
      <c r="Q528" s="182"/>
      <c r="R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K529" s="182"/>
      <c r="L529" s="182"/>
      <c r="M529" s="182"/>
      <c r="N529" s="182"/>
      <c r="O529" s="182"/>
      <c r="P529" s="182"/>
      <c r="Q529" s="182"/>
      <c r="R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K530" s="182"/>
      <c r="L530" s="182"/>
      <c r="M530" s="182"/>
      <c r="N530" s="182"/>
      <c r="O530" s="182"/>
      <c r="P530" s="182"/>
      <c r="Q530" s="182"/>
      <c r="R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K531" s="182"/>
      <c r="L531" s="182"/>
      <c r="M531" s="182"/>
      <c r="N531" s="182"/>
      <c r="O531" s="182"/>
      <c r="P531" s="182"/>
      <c r="Q531" s="182"/>
      <c r="R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K532" s="182"/>
      <c r="L532" s="182"/>
      <c r="M532" s="182"/>
      <c r="N532" s="182"/>
      <c r="O532" s="182"/>
      <c r="P532" s="182"/>
      <c r="Q532" s="182"/>
      <c r="R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K533" s="182"/>
      <c r="L533" s="182"/>
      <c r="M533" s="182"/>
      <c r="N533" s="182"/>
      <c r="O533" s="182"/>
      <c r="P533" s="182"/>
      <c r="Q533" s="182"/>
      <c r="R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K534" s="182"/>
      <c r="L534" s="182"/>
      <c r="M534" s="182"/>
      <c r="N534" s="182"/>
      <c r="O534" s="182"/>
      <c r="P534" s="182"/>
      <c r="Q534" s="182"/>
      <c r="R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K535" s="182"/>
      <c r="L535" s="182"/>
      <c r="M535" s="182"/>
      <c r="N535" s="182"/>
      <c r="O535" s="182"/>
      <c r="P535" s="182"/>
      <c r="Q535" s="182"/>
      <c r="R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K536" s="182"/>
      <c r="L536" s="182"/>
      <c r="M536" s="182"/>
      <c r="N536" s="182"/>
      <c r="O536" s="182"/>
      <c r="P536" s="182"/>
      <c r="Q536" s="182"/>
      <c r="R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K537" s="182"/>
      <c r="L537" s="182"/>
      <c r="M537" s="182"/>
      <c r="N537" s="182"/>
      <c r="O537" s="182"/>
      <c r="P537" s="182"/>
      <c r="Q537" s="182"/>
      <c r="R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K538" s="182"/>
      <c r="L538" s="182"/>
      <c r="M538" s="182"/>
      <c r="N538" s="182"/>
      <c r="O538" s="182"/>
      <c r="P538" s="182"/>
      <c r="Q538" s="182"/>
      <c r="R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K539" s="182"/>
      <c r="L539" s="182"/>
      <c r="M539" s="182"/>
      <c r="N539" s="182"/>
      <c r="O539" s="182"/>
      <c r="P539" s="182"/>
      <c r="Q539" s="182"/>
      <c r="R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K540" s="182"/>
      <c r="L540" s="182"/>
      <c r="M540" s="182"/>
      <c r="N540" s="182"/>
      <c r="O540" s="182"/>
      <c r="P540" s="182"/>
      <c r="Q540" s="182"/>
      <c r="R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K541" s="182"/>
      <c r="L541" s="182"/>
      <c r="M541" s="182"/>
      <c r="N541" s="182"/>
      <c r="O541" s="182"/>
      <c r="P541" s="182"/>
      <c r="Q541" s="182"/>
      <c r="R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K542" s="182"/>
      <c r="L542" s="182"/>
      <c r="M542" s="182"/>
      <c r="N542" s="182"/>
      <c r="O542" s="182"/>
      <c r="P542" s="182"/>
      <c r="Q542" s="182"/>
      <c r="R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K543" s="182"/>
      <c r="L543" s="182"/>
      <c r="M543" s="182"/>
      <c r="N543" s="182"/>
      <c r="O543" s="182"/>
      <c r="P543" s="182"/>
      <c r="Q543" s="182"/>
      <c r="R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K544" s="182"/>
      <c r="L544" s="182"/>
      <c r="M544" s="182"/>
      <c r="N544" s="182"/>
      <c r="O544" s="182"/>
      <c r="P544" s="182"/>
      <c r="Q544" s="182"/>
      <c r="R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K545" s="182"/>
      <c r="L545" s="182"/>
      <c r="M545" s="182"/>
      <c r="N545" s="182"/>
      <c r="O545" s="182"/>
      <c r="P545" s="182"/>
      <c r="Q545" s="182"/>
      <c r="R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K546" s="182"/>
      <c r="L546" s="182"/>
      <c r="M546" s="182"/>
      <c r="N546" s="182"/>
      <c r="O546" s="182"/>
      <c r="P546" s="182"/>
      <c r="Q546" s="182"/>
      <c r="R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K547" s="182"/>
      <c r="L547" s="182"/>
      <c r="M547" s="182"/>
      <c r="N547" s="182"/>
      <c r="O547" s="182"/>
      <c r="P547" s="182"/>
      <c r="Q547" s="182"/>
      <c r="R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K548" s="182"/>
      <c r="L548" s="182"/>
      <c r="M548" s="182"/>
      <c r="N548" s="182"/>
      <c r="O548" s="182"/>
      <c r="P548" s="182"/>
      <c r="Q548" s="182"/>
      <c r="R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K549" s="182"/>
      <c r="L549" s="182"/>
      <c r="M549" s="182"/>
      <c r="N549" s="182"/>
      <c r="O549" s="182"/>
      <c r="P549" s="182"/>
      <c r="Q549" s="182"/>
      <c r="R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K550" s="182"/>
      <c r="L550" s="182"/>
      <c r="M550" s="182"/>
      <c r="N550" s="182"/>
      <c r="O550" s="182"/>
      <c r="P550" s="182"/>
      <c r="Q550" s="182"/>
      <c r="R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K551" s="182"/>
      <c r="L551" s="182"/>
      <c r="M551" s="182"/>
      <c r="N551" s="182"/>
      <c r="O551" s="182"/>
      <c r="P551" s="182"/>
      <c r="Q551" s="182"/>
      <c r="R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K552" s="182"/>
      <c r="L552" s="182"/>
      <c r="M552" s="182"/>
      <c r="N552" s="182"/>
      <c r="O552" s="182"/>
      <c r="P552" s="182"/>
      <c r="Q552" s="182"/>
      <c r="R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K553" s="182"/>
      <c r="L553" s="182"/>
      <c r="M553" s="182"/>
      <c r="N553" s="182"/>
      <c r="O553" s="182"/>
      <c r="P553" s="182"/>
      <c r="Q553" s="182"/>
      <c r="R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K554" s="182"/>
      <c r="L554" s="182"/>
      <c r="M554" s="182"/>
      <c r="N554" s="182"/>
      <c r="O554" s="182"/>
      <c r="P554" s="182"/>
      <c r="Q554" s="182"/>
      <c r="R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K555" s="182"/>
      <c r="L555" s="182"/>
      <c r="M555" s="182"/>
      <c r="N555" s="182"/>
      <c r="O555" s="182"/>
      <c r="P555" s="182"/>
      <c r="Q555" s="182"/>
      <c r="R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K556" s="182"/>
      <c r="L556" s="182"/>
      <c r="M556" s="182"/>
      <c r="N556" s="182"/>
      <c r="O556" s="182"/>
      <c r="P556" s="182"/>
      <c r="Q556" s="182"/>
      <c r="R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K557" s="182"/>
      <c r="L557" s="182"/>
      <c r="M557" s="182"/>
      <c r="N557" s="182"/>
      <c r="O557" s="182"/>
      <c r="P557" s="182"/>
      <c r="Q557" s="182"/>
      <c r="R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K558" s="182"/>
      <c r="L558" s="182"/>
      <c r="M558" s="182"/>
      <c r="N558" s="182"/>
      <c r="O558" s="182"/>
      <c r="P558" s="182"/>
      <c r="Q558" s="182"/>
      <c r="R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K559" s="182"/>
      <c r="L559" s="182"/>
      <c r="M559" s="182"/>
      <c r="N559" s="182"/>
      <c r="O559" s="182"/>
      <c r="P559" s="182"/>
      <c r="Q559" s="182"/>
      <c r="R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K560" s="182"/>
      <c r="L560" s="182"/>
      <c r="M560" s="182"/>
      <c r="N560" s="182"/>
      <c r="O560" s="182"/>
      <c r="P560" s="182"/>
      <c r="Q560" s="182"/>
      <c r="R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K561" s="182"/>
      <c r="L561" s="182"/>
      <c r="M561" s="182"/>
      <c r="N561" s="182"/>
      <c r="O561" s="182"/>
      <c r="P561" s="182"/>
      <c r="Q561" s="182"/>
      <c r="R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K562" s="182"/>
      <c r="L562" s="182"/>
      <c r="M562" s="182"/>
      <c r="N562" s="182"/>
      <c r="O562" s="182"/>
      <c r="P562" s="182"/>
      <c r="Q562" s="182"/>
      <c r="R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K563" s="182"/>
      <c r="L563" s="182"/>
      <c r="M563" s="182"/>
      <c r="N563" s="182"/>
      <c r="O563" s="182"/>
      <c r="P563" s="182"/>
      <c r="Q563" s="182"/>
      <c r="R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K564" s="182"/>
      <c r="L564" s="182"/>
      <c r="M564" s="182"/>
      <c r="N564" s="182"/>
      <c r="O564" s="182"/>
      <c r="P564" s="182"/>
      <c r="Q564" s="182"/>
      <c r="R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K565" s="182"/>
      <c r="L565" s="182"/>
      <c r="M565" s="182"/>
      <c r="N565" s="182"/>
      <c r="O565" s="182"/>
      <c r="P565" s="182"/>
      <c r="Q565" s="182"/>
      <c r="R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K566" s="182"/>
      <c r="L566" s="182"/>
      <c r="M566" s="182"/>
      <c r="N566" s="182"/>
      <c r="O566" s="182"/>
      <c r="P566" s="182"/>
      <c r="Q566" s="182"/>
      <c r="R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K567" s="182"/>
      <c r="L567" s="182"/>
      <c r="M567" s="182"/>
      <c r="N567" s="182"/>
      <c r="O567" s="182"/>
      <c r="P567" s="182"/>
      <c r="Q567" s="182"/>
      <c r="R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K568" s="182"/>
      <c r="L568" s="182"/>
      <c r="M568" s="182"/>
      <c r="N568" s="182"/>
      <c r="O568" s="182"/>
      <c r="P568" s="182"/>
      <c r="Q568" s="182"/>
      <c r="R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K569" s="182"/>
      <c r="L569" s="182"/>
      <c r="M569" s="182"/>
      <c r="N569" s="182"/>
      <c r="O569" s="182"/>
      <c r="P569" s="182"/>
      <c r="Q569" s="182"/>
      <c r="R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K570" s="182"/>
      <c r="L570" s="182"/>
      <c r="M570" s="182"/>
      <c r="N570" s="182"/>
      <c r="O570" s="182"/>
      <c r="P570" s="182"/>
      <c r="Q570" s="182"/>
      <c r="R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K571" s="182"/>
      <c r="L571" s="182"/>
      <c r="M571" s="182"/>
      <c r="N571" s="182"/>
      <c r="O571" s="182"/>
      <c r="P571" s="182"/>
      <c r="Q571" s="182"/>
      <c r="R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K572" s="182"/>
      <c r="L572" s="182"/>
      <c r="M572" s="182"/>
      <c r="N572" s="182"/>
      <c r="O572" s="182"/>
      <c r="P572" s="182"/>
      <c r="Q572" s="182"/>
      <c r="R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K573" s="182"/>
      <c r="L573" s="182"/>
      <c r="M573" s="182"/>
      <c r="N573" s="182"/>
      <c r="O573" s="182"/>
      <c r="P573" s="182"/>
      <c r="Q573" s="182"/>
      <c r="R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K574" s="182"/>
      <c r="L574" s="182"/>
      <c r="M574" s="182"/>
      <c r="N574" s="182"/>
      <c r="O574" s="182"/>
      <c r="P574" s="182"/>
      <c r="Q574" s="182"/>
      <c r="R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K575" s="182"/>
      <c r="L575" s="182"/>
      <c r="M575" s="182"/>
      <c r="N575" s="182"/>
      <c r="O575" s="182"/>
      <c r="P575" s="182"/>
      <c r="Q575" s="182"/>
      <c r="R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K576" s="182"/>
      <c r="L576" s="182"/>
      <c r="M576" s="182"/>
      <c r="N576" s="182"/>
      <c r="O576" s="182"/>
      <c r="P576" s="182"/>
      <c r="Q576" s="182"/>
      <c r="R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K577" s="182"/>
      <c r="L577" s="182"/>
      <c r="M577" s="182"/>
      <c r="N577" s="182"/>
      <c r="O577" s="182"/>
      <c r="P577" s="182"/>
      <c r="Q577" s="182"/>
      <c r="R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K578" s="182"/>
      <c r="L578" s="182"/>
      <c r="M578" s="182"/>
      <c r="N578" s="182"/>
      <c r="O578" s="182"/>
      <c r="P578" s="182"/>
      <c r="Q578" s="182"/>
      <c r="R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K579" s="182"/>
      <c r="L579" s="182"/>
      <c r="M579" s="182"/>
      <c r="N579" s="182"/>
      <c r="O579" s="182"/>
      <c r="P579" s="182"/>
      <c r="Q579" s="182"/>
      <c r="R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K580" s="182"/>
      <c r="L580" s="182"/>
      <c r="M580" s="182"/>
      <c r="N580" s="182"/>
      <c r="O580" s="182"/>
      <c r="P580" s="182"/>
      <c r="Q580" s="182"/>
      <c r="R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K581" s="182"/>
      <c r="L581" s="182"/>
      <c r="M581" s="182"/>
      <c r="N581" s="182"/>
      <c r="O581" s="182"/>
      <c r="P581" s="182"/>
      <c r="Q581" s="182"/>
      <c r="R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K582" s="182"/>
      <c r="L582" s="182"/>
      <c r="M582" s="182"/>
      <c r="N582" s="182"/>
      <c r="O582" s="182"/>
      <c r="P582" s="182"/>
      <c r="Q582" s="182"/>
      <c r="R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K583" s="182"/>
      <c r="L583" s="182"/>
      <c r="M583" s="182"/>
      <c r="N583" s="182"/>
      <c r="O583" s="182"/>
      <c r="P583" s="182"/>
      <c r="Q583" s="182"/>
      <c r="R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K584" s="182"/>
      <c r="L584" s="182"/>
      <c r="M584" s="182"/>
      <c r="N584" s="182"/>
      <c r="O584" s="182"/>
      <c r="P584" s="182"/>
      <c r="Q584" s="182"/>
      <c r="R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K585" s="182"/>
      <c r="L585" s="182"/>
      <c r="M585" s="182"/>
      <c r="N585" s="182"/>
      <c r="O585" s="182"/>
      <c r="P585" s="182"/>
      <c r="Q585" s="182"/>
      <c r="R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K586" s="182"/>
      <c r="L586" s="182"/>
      <c r="M586" s="182"/>
      <c r="N586" s="182"/>
      <c r="O586" s="182"/>
      <c r="P586" s="182"/>
      <c r="Q586" s="182"/>
      <c r="R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K587" s="182"/>
      <c r="L587" s="182"/>
      <c r="M587" s="182"/>
      <c r="N587" s="182"/>
      <c r="O587" s="182"/>
      <c r="P587" s="182"/>
      <c r="Q587" s="182"/>
      <c r="R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K588" s="182"/>
      <c r="L588" s="182"/>
      <c r="M588" s="182"/>
      <c r="N588" s="182"/>
      <c r="O588" s="182"/>
      <c r="P588" s="182"/>
      <c r="Q588" s="182"/>
      <c r="R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K589" s="182"/>
      <c r="L589" s="182"/>
      <c r="M589" s="182"/>
      <c r="N589" s="182"/>
      <c r="O589" s="182"/>
      <c r="P589" s="182"/>
      <c r="Q589" s="182"/>
      <c r="R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K590" s="182"/>
      <c r="L590" s="182"/>
      <c r="M590" s="182"/>
      <c r="N590" s="182"/>
      <c r="O590" s="182"/>
      <c r="P590" s="182"/>
      <c r="Q590" s="182"/>
      <c r="R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K591" s="182"/>
      <c r="L591" s="182"/>
      <c r="M591" s="182"/>
      <c r="N591" s="182"/>
      <c r="O591" s="182"/>
      <c r="P591" s="182"/>
      <c r="Q591" s="182"/>
      <c r="R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K592" s="182"/>
      <c r="L592" s="182"/>
      <c r="M592" s="182"/>
      <c r="N592" s="182"/>
      <c r="O592" s="182"/>
      <c r="P592" s="182"/>
      <c r="Q592" s="182"/>
      <c r="R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K593" s="182"/>
      <c r="L593" s="182"/>
      <c r="M593" s="182"/>
      <c r="N593" s="182"/>
      <c r="O593" s="182"/>
      <c r="P593" s="182"/>
      <c r="Q593" s="182"/>
      <c r="R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K594" s="182"/>
      <c r="L594" s="182"/>
      <c r="M594" s="182"/>
      <c r="N594" s="182"/>
      <c r="O594" s="182"/>
      <c r="P594" s="182"/>
      <c r="Q594" s="182"/>
      <c r="R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K595" s="182"/>
      <c r="L595" s="182"/>
      <c r="M595" s="182"/>
      <c r="N595" s="182"/>
      <c r="O595" s="182"/>
      <c r="P595" s="182"/>
      <c r="Q595" s="182"/>
      <c r="R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K596" s="182"/>
      <c r="L596" s="182"/>
      <c r="M596" s="182"/>
      <c r="N596" s="182"/>
      <c r="O596" s="182"/>
      <c r="P596" s="182"/>
      <c r="Q596" s="182"/>
      <c r="R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K597" s="182"/>
      <c r="L597" s="182"/>
      <c r="M597" s="182"/>
      <c r="N597" s="182"/>
      <c r="O597" s="182"/>
      <c r="P597" s="182"/>
      <c r="Q597" s="182"/>
      <c r="R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K598" s="182"/>
      <c r="L598" s="182"/>
      <c r="M598" s="182"/>
      <c r="N598" s="182"/>
      <c r="O598" s="182"/>
      <c r="P598" s="182"/>
      <c r="Q598" s="182"/>
      <c r="R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K599" s="182"/>
      <c r="L599" s="182"/>
      <c r="M599" s="182"/>
      <c r="N599" s="182"/>
      <c r="O599" s="182"/>
      <c r="P599" s="182"/>
      <c r="Q599" s="182"/>
      <c r="R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K600" s="182"/>
      <c r="L600" s="182"/>
      <c r="M600" s="182"/>
      <c r="N600" s="182"/>
      <c r="O600" s="182"/>
      <c r="P600" s="182"/>
      <c r="Q600" s="182"/>
      <c r="R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K601" s="182"/>
      <c r="L601" s="182"/>
      <c r="M601" s="182"/>
      <c r="N601" s="182"/>
      <c r="O601" s="182"/>
      <c r="P601" s="182"/>
      <c r="Q601" s="182"/>
      <c r="R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K602" s="182"/>
      <c r="L602" s="182"/>
      <c r="M602" s="182"/>
      <c r="N602" s="182"/>
      <c r="O602" s="182"/>
      <c r="P602" s="182"/>
      <c r="Q602" s="182"/>
      <c r="R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K603" s="182"/>
      <c r="L603" s="182"/>
      <c r="M603" s="182"/>
      <c r="N603" s="182"/>
      <c r="O603" s="182"/>
      <c r="P603" s="182"/>
      <c r="Q603" s="182"/>
      <c r="R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K604" s="182"/>
      <c r="L604" s="182"/>
      <c r="M604" s="182"/>
      <c r="N604" s="182"/>
      <c r="O604" s="182"/>
      <c r="P604" s="182"/>
      <c r="Q604" s="182"/>
      <c r="R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K605" s="182"/>
      <c r="L605" s="182"/>
      <c r="M605" s="182"/>
      <c r="N605" s="182"/>
      <c r="O605" s="182"/>
      <c r="P605" s="182"/>
      <c r="Q605" s="182"/>
      <c r="R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K606" s="182"/>
      <c r="L606" s="182"/>
      <c r="M606" s="182"/>
      <c r="N606" s="182"/>
      <c r="O606" s="182"/>
      <c r="P606" s="182"/>
      <c r="Q606" s="182"/>
      <c r="R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K607" s="182"/>
      <c r="L607" s="182"/>
      <c r="M607" s="182"/>
      <c r="N607" s="182"/>
      <c r="O607" s="182"/>
      <c r="P607" s="182"/>
      <c r="Q607" s="182"/>
      <c r="R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K608" s="182"/>
      <c r="L608" s="182"/>
      <c r="M608" s="182"/>
      <c r="N608" s="182"/>
      <c r="O608" s="182"/>
      <c r="P608" s="182"/>
      <c r="Q608" s="182"/>
      <c r="R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K609" s="182"/>
      <c r="L609" s="182"/>
      <c r="M609" s="182"/>
      <c r="N609" s="182"/>
      <c r="O609" s="182"/>
      <c r="P609" s="182"/>
      <c r="Q609" s="182"/>
      <c r="R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K610" s="182"/>
      <c r="L610" s="182"/>
      <c r="M610" s="182"/>
      <c r="N610" s="182"/>
      <c r="O610" s="182"/>
      <c r="P610" s="182"/>
      <c r="Q610" s="182"/>
      <c r="R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K611" s="182"/>
      <c r="L611" s="182"/>
      <c r="M611" s="182"/>
      <c r="N611" s="182"/>
      <c r="O611" s="182"/>
      <c r="P611" s="182"/>
      <c r="Q611" s="182"/>
      <c r="R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K612" s="182"/>
      <c r="L612" s="182"/>
      <c r="M612" s="182"/>
      <c r="N612" s="182"/>
      <c r="O612" s="182"/>
      <c r="P612" s="182"/>
      <c r="Q612" s="182"/>
      <c r="R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K613" s="182"/>
      <c r="L613" s="182"/>
      <c r="M613" s="182"/>
      <c r="N613" s="182"/>
      <c r="O613" s="182"/>
      <c r="P613" s="182"/>
      <c r="Q613" s="182"/>
      <c r="R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K614" s="182"/>
      <c r="L614" s="182"/>
      <c r="M614" s="182"/>
      <c r="N614" s="182"/>
      <c r="O614" s="182"/>
      <c r="P614" s="182"/>
      <c r="Q614" s="182"/>
      <c r="R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K615" s="182"/>
      <c r="L615" s="182"/>
      <c r="M615" s="182"/>
      <c r="N615" s="182"/>
      <c r="O615" s="182"/>
      <c r="P615" s="182"/>
      <c r="Q615" s="182"/>
      <c r="R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K616" s="182"/>
      <c r="L616" s="182"/>
      <c r="M616" s="182"/>
      <c r="N616" s="182"/>
      <c r="O616" s="182"/>
      <c r="P616" s="182"/>
      <c r="Q616" s="182"/>
      <c r="R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K617" s="182"/>
      <c r="L617" s="182"/>
      <c r="M617" s="182"/>
      <c r="N617" s="182"/>
      <c r="O617" s="182"/>
      <c r="P617" s="182"/>
      <c r="Q617" s="182"/>
      <c r="R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K618" s="182"/>
      <c r="L618" s="182"/>
      <c r="M618" s="182"/>
      <c r="N618" s="182"/>
      <c r="O618" s="182"/>
      <c r="P618" s="182"/>
      <c r="Q618" s="182"/>
      <c r="R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K619" s="182"/>
      <c r="L619" s="182"/>
      <c r="M619" s="182"/>
      <c r="N619" s="182"/>
      <c r="O619" s="182"/>
      <c r="P619" s="182"/>
      <c r="Q619" s="182"/>
      <c r="R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K620" s="182"/>
      <c r="L620" s="182"/>
      <c r="M620" s="182"/>
      <c r="N620" s="182"/>
      <c r="O620" s="182"/>
      <c r="P620" s="182"/>
      <c r="Q620" s="182"/>
      <c r="R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K621" s="182"/>
      <c r="L621" s="182"/>
      <c r="M621" s="182"/>
      <c r="N621" s="182"/>
      <c r="O621" s="182"/>
      <c r="P621" s="182"/>
      <c r="Q621" s="182"/>
      <c r="R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K622" s="182"/>
      <c r="L622" s="182"/>
      <c r="M622" s="182"/>
      <c r="N622" s="182"/>
      <c r="O622" s="182"/>
      <c r="P622" s="182"/>
      <c r="Q622" s="182"/>
      <c r="R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K623" s="182"/>
      <c r="L623" s="182"/>
      <c r="M623" s="182"/>
      <c r="N623" s="182"/>
      <c r="O623" s="182"/>
      <c r="P623" s="182"/>
      <c r="Q623" s="182"/>
      <c r="R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K624" s="182"/>
      <c r="L624" s="182"/>
      <c r="M624" s="182"/>
      <c r="N624" s="182"/>
      <c r="O624" s="182"/>
      <c r="P624" s="182"/>
      <c r="Q624" s="182"/>
      <c r="R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K625" s="182"/>
      <c r="L625" s="182"/>
      <c r="M625" s="182"/>
      <c r="N625" s="182"/>
      <c r="O625" s="182"/>
      <c r="P625" s="182"/>
      <c r="Q625" s="182"/>
      <c r="R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K626" s="182"/>
      <c r="L626" s="182"/>
      <c r="M626" s="182"/>
      <c r="N626" s="182"/>
      <c r="O626" s="182"/>
      <c r="P626" s="182"/>
      <c r="Q626" s="182"/>
      <c r="R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K627" s="182"/>
      <c r="L627" s="182"/>
      <c r="M627" s="182"/>
      <c r="N627" s="182"/>
      <c r="O627" s="182"/>
      <c r="P627" s="182"/>
      <c r="Q627" s="182"/>
      <c r="R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K628" s="182"/>
      <c r="L628" s="182"/>
      <c r="M628" s="182"/>
      <c r="N628" s="182"/>
      <c r="O628" s="182"/>
      <c r="P628" s="182"/>
      <c r="Q628" s="182"/>
      <c r="R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K629" s="182"/>
      <c r="L629" s="182"/>
      <c r="M629" s="182"/>
      <c r="N629" s="182"/>
      <c r="O629" s="182"/>
      <c r="P629" s="182"/>
      <c r="Q629" s="182"/>
      <c r="R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K630" s="182"/>
      <c r="L630" s="182"/>
      <c r="M630" s="182"/>
      <c r="N630" s="182"/>
      <c r="O630" s="182"/>
      <c r="P630" s="182"/>
      <c r="Q630" s="182"/>
      <c r="R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K631" s="182"/>
      <c r="L631" s="182"/>
      <c r="M631" s="182"/>
      <c r="N631" s="182"/>
      <c r="O631" s="182"/>
      <c r="P631" s="182"/>
      <c r="Q631" s="182"/>
      <c r="R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K632" s="182"/>
      <c r="L632" s="182"/>
      <c r="M632" s="182"/>
      <c r="N632" s="182"/>
      <c r="O632" s="182"/>
      <c r="P632" s="182"/>
      <c r="Q632" s="182"/>
      <c r="R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K633" s="182"/>
      <c r="L633" s="182"/>
      <c r="M633" s="182"/>
      <c r="N633" s="182"/>
      <c r="O633" s="182"/>
      <c r="P633" s="182"/>
      <c r="Q633" s="182"/>
      <c r="R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K634" s="182"/>
      <c r="L634" s="182"/>
      <c r="M634" s="182"/>
      <c r="N634" s="182"/>
      <c r="O634" s="182"/>
      <c r="P634" s="182"/>
      <c r="Q634" s="182"/>
      <c r="R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K635" s="182"/>
      <c r="L635" s="182"/>
      <c r="M635" s="182"/>
      <c r="N635" s="182"/>
      <c r="O635" s="182"/>
      <c r="P635" s="182"/>
      <c r="Q635" s="182"/>
      <c r="R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K636" s="182"/>
      <c r="L636" s="182"/>
      <c r="M636" s="182"/>
      <c r="N636" s="182"/>
      <c r="O636" s="182"/>
      <c r="P636" s="182"/>
      <c r="Q636" s="182"/>
      <c r="R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K637" s="182"/>
      <c r="L637" s="182"/>
      <c r="M637" s="182"/>
      <c r="N637" s="182"/>
      <c r="O637" s="182"/>
      <c r="P637" s="182"/>
      <c r="Q637" s="182"/>
      <c r="R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K638" s="182"/>
      <c r="L638" s="182"/>
      <c r="M638" s="182"/>
      <c r="N638" s="182"/>
      <c r="O638" s="182"/>
      <c r="P638" s="182"/>
      <c r="Q638" s="182"/>
      <c r="R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K639" s="182"/>
      <c r="L639" s="182"/>
      <c r="M639" s="182"/>
      <c r="N639" s="182"/>
      <c r="O639" s="182"/>
      <c r="P639" s="182"/>
      <c r="Q639" s="182"/>
      <c r="R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K640" s="182"/>
      <c r="L640" s="182"/>
      <c r="M640" s="182"/>
      <c r="N640" s="182"/>
      <c r="O640" s="182"/>
      <c r="P640" s="182"/>
      <c r="Q640" s="182"/>
      <c r="R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K641" s="182"/>
      <c r="L641" s="182"/>
      <c r="M641" s="182"/>
      <c r="N641" s="182"/>
      <c r="O641" s="182"/>
      <c r="P641" s="182"/>
      <c r="Q641" s="182"/>
      <c r="R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K642" s="182"/>
      <c r="L642" s="182"/>
      <c r="M642" s="182"/>
      <c r="N642" s="182"/>
      <c r="O642" s="182"/>
      <c r="P642" s="182"/>
      <c r="Q642" s="182"/>
      <c r="R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K643" s="182"/>
      <c r="L643" s="182"/>
      <c r="M643" s="182"/>
      <c r="N643" s="182"/>
      <c r="O643" s="182"/>
      <c r="P643" s="182"/>
      <c r="Q643" s="182"/>
      <c r="R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K644" s="182"/>
      <c r="L644" s="182"/>
      <c r="M644" s="182"/>
      <c r="N644" s="182"/>
      <c r="O644" s="182"/>
      <c r="P644" s="182"/>
      <c r="Q644" s="182"/>
      <c r="R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K645" s="182"/>
      <c r="L645" s="182"/>
      <c r="M645" s="182"/>
      <c r="N645" s="182"/>
      <c r="O645" s="182"/>
      <c r="P645" s="182"/>
      <c r="Q645" s="182"/>
      <c r="R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K646" s="182"/>
      <c r="L646" s="182"/>
      <c r="M646" s="182"/>
      <c r="N646" s="182"/>
      <c r="O646" s="182"/>
      <c r="P646" s="182"/>
      <c r="Q646" s="182"/>
      <c r="R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K647" s="182"/>
      <c r="L647" s="182"/>
      <c r="M647" s="182"/>
      <c r="N647" s="182"/>
      <c r="O647" s="182"/>
      <c r="P647" s="182"/>
      <c r="Q647" s="182"/>
      <c r="R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K648" s="182"/>
      <c r="L648" s="182"/>
      <c r="M648" s="182"/>
      <c r="N648" s="182"/>
      <c r="O648" s="182"/>
      <c r="P648" s="182"/>
      <c r="Q648" s="182"/>
      <c r="R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K649" s="182"/>
      <c r="L649" s="182"/>
      <c r="M649" s="182"/>
      <c r="N649" s="182"/>
      <c r="O649" s="182"/>
      <c r="P649" s="182"/>
      <c r="Q649" s="182"/>
      <c r="R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K650" s="182"/>
      <c r="L650" s="182"/>
      <c r="M650" s="182"/>
      <c r="N650" s="182"/>
      <c r="O650" s="182"/>
      <c r="P650" s="182"/>
      <c r="Q650" s="182"/>
      <c r="R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K651" s="182"/>
      <c r="L651" s="182"/>
      <c r="M651" s="182"/>
      <c r="N651" s="182"/>
      <c r="O651" s="182"/>
      <c r="P651" s="182"/>
      <c r="Q651" s="182"/>
      <c r="R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K652" s="182"/>
      <c r="L652" s="182"/>
      <c r="M652" s="182"/>
      <c r="N652" s="182"/>
      <c r="O652" s="182"/>
      <c r="P652" s="182"/>
      <c r="Q652" s="182"/>
      <c r="R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K653" s="182"/>
      <c r="L653" s="182"/>
      <c r="M653" s="182"/>
      <c r="N653" s="182"/>
      <c r="O653" s="182"/>
      <c r="P653" s="182"/>
      <c r="Q653" s="182"/>
      <c r="R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K654" s="182"/>
      <c r="L654" s="182"/>
      <c r="M654" s="182"/>
      <c r="N654" s="182"/>
      <c r="O654" s="182"/>
      <c r="P654" s="182"/>
      <c r="Q654" s="182"/>
      <c r="R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K655" s="182"/>
      <c r="L655" s="182"/>
      <c r="M655" s="182"/>
      <c r="N655" s="182"/>
      <c r="O655" s="182"/>
      <c r="P655" s="182"/>
      <c r="Q655" s="182"/>
      <c r="R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K656" s="182"/>
      <c r="L656" s="182"/>
      <c r="M656" s="182"/>
      <c r="N656" s="182"/>
      <c r="O656" s="182"/>
      <c r="P656" s="182"/>
      <c r="Q656" s="182"/>
      <c r="R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K657" s="182"/>
      <c r="L657" s="182"/>
      <c r="M657" s="182"/>
      <c r="N657" s="182"/>
      <c r="O657" s="182"/>
      <c r="P657" s="182"/>
      <c r="Q657" s="182"/>
      <c r="R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K658" s="182"/>
      <c r="L658" s="182"/>
      <c r="M658" s="182"/>
      <c r="N658" s="182"/>
      <c r="O658" s="182"/>
      <c r="P658" s="182"/>
      <c r="Q658" s="182"/>
      <c r="R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K659" s="182"/>
      <c r="L659" s="182"/>
      <c r="M659" s="182"/>
      <c r="N659" s="182"/>
      <c r="O659" s="182"/>
      <c r="P659" s="182"/>
      <c r="Q659" s="182"/>
      <c r="R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K660" s="182"/>
      <c r="L660" s="182"/>
      <c r="M660" s="182"/>
      <c r="N660" s="182"/>
      <c r="O660" s="182"/>
      <c r="P660" s="182"/>
      <c r="Q660" s="182"/>
      <c r="R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K661" s="182"/>
      <c r="L661" s="182"/>
      <c r="M661" s="182"/>
      <c r="N661" s="182"/>
      <c r="O661" s="182"/>
      <c r="P661" s="182"/>
      <c r="Q661" s="182"/>
      <c r="R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K662" s="182"/>
      <c r="L662" s="182"/>
      <c r="M662" s="182"/>
      <c r="N662" s="182"/>
      <c r="O662" s="182"/>
      <c r="P662" s="182"/>
      <c r="Q662" s="182"/>
      <c r="R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K663" s="182"/>
      <c r="L663" s="182"/>
      <c r="M663" s="182"/>
      <c r="N663" s="182"/>
      <c r="O663" s="182"/>
      <c r="P663" s="182"/>
      <c r="Q663" s="182"/>
      <c r="R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K664" s="182"/>
      <c r="L664" s="182"/>
      <c r="M664" s="182"/>
      <c r="N664" s="182"/>
      <c r="O664" s="182"/>
      <c r="P664" s="182"/>
      <c r="Q664" s="182"/>
      <c r="R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K665" s="182"/>
      <c r="L665" s="182"/>
      <c r="M665" s="182"/>
      <c r="N665" s="182"/>
      <c r="O665" s="182"/>
      <c r="P665" s="182"/>
      <c r="Q665" s="182"/>
      <c r="R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K666" s="182"/>
      <c r="L666" s="182"/>
      <c r="M666" s="182"/>
      <c r="N666" s="182"/>
      <c r="O666" s="182"/>
      <c r="P666" s="182"/>
      <c r="Q666" s="182"/>
      <c r="R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K667" s="182"/>
      <c r="L667" s="182"/>
      <c r="M667" s="182"/>
      <c r="N667" s="182"/>
      <c r="O667" s="182"/>
      <c r="P667" s="182"/>
      <c r="Q667" s="182"/>
      <c r="R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K668" s="182"/>
      <c r="L668" s="182"/>
      <c r="M668" s="182"/>
      <c r="N668" s="182"/>
      <c r="O668" s="182"/>
      <c r="P668" s="182"/>
      <c r="Q668" s="182"/>
      <c r="R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K669" s="182"/>
      <c r="L669" s="182"/>
      <c r="M669" s="182"/>
      <c r="N669" s="182"/>
      <c r="O669" s="182"/>
      <c r="P669" s="182"/>
      <c r="Q669" s="182"/>
      <c r="R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K670" s="182"/>
      <c r="L670" s="182"/>
      <c r="M670" s="182"/>
      <c r="N670" s="182"/>
      <c r="O670" s="182"/>
      <c r="P670" s="182"/>
      <c r="Q670" s="182"/>
      <c r="R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K671" s="182"/>
      <c r="L671" s="182"/>
      <c r="M671" s="182"/>
      <c r="N671" s="182"/>
      <c r="O671" s="182"/>
      <c r="P671" s="182"/>
      <c r="Q671" s="182"/>
      <c r="R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K672" s="182"/>
      <c r="L672" s="182"/>
      <c r="M672" s="182"/>
      <c r="N672" s="182"/>
      <c r="O672" s="182"/>
      <c r="P672" s="182"/>
      <c r="Q672" s="182"/>
      <c r="R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K673" s="182"/>
      <c r="L673" s="182"/>
      <c r="M673" s="182"/>
      <c r="N673" s="182"/>
      <c r="O673" s="182"/>
      <c r="P673" s="182"/>
      <c r="Q673" s="182"/>
      <c r="R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K674" s="182"/>
      <c r="L674" s="182"/>
      <c r="M674" s="182"/>
      <c r="N674" s="182"/>
      <c r="O674" s="182"/>
      <c r="P674" s="182"/>
      <c r="Q674" s="182"/>
      <c r="R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K675" s="182"/>
      <c r="L675" s="182"/>
      <c r="M675" s="182"/>
      <c r="N675" s="182"/>
      <c r="O675" s="182"/>
      <c r="P675" s="182"/>
      <c r="Q675" s="182"/>
      <c r="R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K676" s="182"/>
      <c r="L676" s="182"/>
      <c r="M676" s="182"/>
      <c r="N676" s="182"/>
      <c r="O676" s="182"/>
      <c r="P676" s="182"/>
      <c r="Q676" s="182"/>
      <c r="R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K677" s="182"/>
      <c r="L677" s="182"/>
      <c r="M677" s="182"/>
      <c r="N677" s="182"/>
      <c r="O677" s="182"/>
      <c r="P677" s="182"/>
      <c r="Q677" s="182"/>
      <c r="R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K678" s="182"/>
      <c r="L678" s="182"/>
      <c r="M678" s="182"/>
      <c r="N678" s="182"/>
      <c r="O678" s="182"/>
      <c r="P678" s="182"/>
      <c r="Q678" s="182"/>
      <c r="R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K679" s="182"/>
      <c r="L679" s="182"/>
      <c r="M679" s="182"/>
      <c r="N679" s="182"/>
      <c r="O679" s="182"/>
      <c r="P679" s="182"/>
      <c r="Q679" s="182"/>
      <c r="R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K680" s="182"/>
      <c r="L680" s="182"/>
      <c r="M680" s="182"/>
      <c r="N680" s="182"/>
      <c r="O680" s="182"/>
      <c r="P680" s="182"/>
      <c r="Q680" s="182"/>
      <c r="R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K681" s="182"/>
      <c r="L681" s="182"/>
      <c r="M681" s="182"/>
      <c r="N681" s="182"/>
      <c r="O681" s="182"/>
      <c r="P681" s="182"/>
      <c r="Q681" s="182"/>
      <c r="R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K682" s="182"/>
      <c r="L682" s="182"/>
      <c r="M682" s="182"/>
      <c r="N682" s="182"/>
      <c r="O682" s="182"/>
      <c r="P682" s="182"/>
      <c r="Q682" s="182"/>
      <c r="R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K683" s="182"/>
      <c r="L683" s="182"/>
      <c r="M683" s="182"/>
      <c r="N683" s="182"/>
      <c r="O683" s="182"/>
      <c r="P683" s="182"/>
      <c r="Q683" s="182"/>
      <c r="R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K684" s="182"/>
      <c r="L684" s="182"/>
      <c r="M684" s="182"/>
      <c r="N684" s="182"/>
      <c r="O684" s="182"/>
      <c r="P684" s="182"/>
      <c r="Q684" s="182"/>
      <c r="R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K685" s="182"/>
      <c r="L685" s="182"/>
      <c r="M685" s="182"/>
      <c r="N685" s="182"/>
      <c r="O685" s="182"/>
      <c r="P685" s="182"/>
      <c r="Q685" s="182"/>
      <c r="R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K686" s="182"/>
      <c r="L686" s="182"/>
      <c r="M686" s="182"/>
      <c r="N686" s="182"/>
      <c r="O686" s="182"/>
      <c r="P686" s="182"/>
      <c r="Q686" s="182"/>
      <c r="R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K687" s="182"/>
      <c r="L687" s="182"/>
      <c r="M687" s="182"/>
      <c r="N687" s="182"/>
      <c r="O687" s="182"/>
      <c r="P687" s="182"/>
      <c r="Q687" s="182"/>
      <c r="R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K688" s="182"/>
      <c r="L688" s="182"/>
      <c r="M688" s="182"/>
      <c r="N688" s="182"/>
      <c r="O688" s="182"/>
      <c r="P688" s="182"/>
      <c r="Q688" s="182"/>
      <c r="R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K689" s="182"/>
      <c r="L689" s="182"/>
      <c r="M689" s="182"/>
      <c r="N689" s="182"/>
      <c r="O689" s="182"/>
      <c r="P689" s="182"/>
      <c r="Q689" s="182"/>
      <c r="R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K690" s="182"/>
      <c r="L690" s="182"/>
      <c r="M690" s="182"/>
      <c r="N690" s="182"/>
      <c r="O690" s="182"/>
      <c r="P690" s="182"/>
      <c r="Q690" s="182"/>
      <c r="R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K691" s="182"/>
      <c r="L691" s="182"/>
      <c r="M691" s="182"/>
      <c r="N691" s="182"/>
      <c r="O691" s="182"/>
      <c r="P691" s="182"/>
      <c r="Q691" s="182"/>
      <c r="R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K692" s="182"/>
      <c r="L692" s="182"/>
      <c r="M692" s="182"/>
      <c r="N692" s="182"/>
      <c r="O692" s="182"/>
      <c r="P692" s="182"/>
      <c r="Q692" s="182"/>
      <c r="R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K693" s="182"/>
      <c r="L693" s="182"/>
      <c r="M693" s="182"/>
      <c r="N693" s="182"/>
      <c r="O693" s="182"/>
      <c r="P693" s="182"/>
      <c r="Q693" s="182"/>
      <c r="R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K694" s="182"/>
      <c r="L694" s="182"/>
      <c r="M694" s="182"/>
      <c r="N694" s="182"/>
      <c r="O694" s="182"/>
      <c r="P694" s="182"/>
      <c r="Q694" s="182"/>
      <c r="R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K695" s="182"/>
      <c r="L695" s="182"/>
      <c r="M695" s="182"/>
      <c r="N695" s="182"/>
      <c r="O695" s="182"/>
      <c r="P695" s="182"/>
      <c r="Q695" s="182"/>
      <c r="R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K696" s="182"/>
      <c r="L696" s="182"/>
      <c r="M696" s="182"/>
      <c r="N696" s="182"/>
      <c r="O696" s="182"/>
      <c r="P696" s="182"/>
      <c r="Q696" s="182"/>
      <c r="R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K697" s="182"/>
      <c r="L697" s="182"/>
      <c r="M697" s="182"/>
      <c r="N697" s="182"/>
      <c r="O697" s="182"/>
      <c r="P697" s="182"/>
      <c r="Q697" s="182"/>
      <c r="R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K698" s="182"/>
      <c r="L698" s="182"/>
      <c r="M698" s="182"/>
      <c r="N698" s="182"/>
      <c r="O698" s="182"/>
      <c r="P698" s="182"/>
      <c r="Q698" s="182"/>
      <c r="R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K699" s="182"/>
      <c r="L699" s="182"/>
      <c r="M699" s="182"/>
      <c r="N699" s="182"/>
      <c r="O699" s="182"/>
      <c r="P699" s="182"/>
      <c r="Q699" s="182"/>
      <c r="R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K700" s="182"/>
      <c r="L700" s="182"/>
      <c r="M700" s="182"/>
      <c r="N700" s="182"/>
      <c r="O700" s="182"/>
      <c r="P700" s="182"/>
      <c r="Q700" s="182"/>
      <c r="R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K701" s="182"/>
      <c r="L701" s="182"/>
      <c r="M701" s="182"/>
      <c r="N701" s="182"/>
      <c r="O701" s="182"/>
      <c r="P701" s="182"/>
      <c r="Q701" s="182"/>
      <c r="R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K702" s="182"/>
      <c r="L702" s="182"/>
      <c r="M702" s="182"/>
      <c r="N702" s="182"/>
      <c r="O702" s="182"/>
      <c r="P702" s="182"/>
      <c r="Q702" s="182"/>
      <c r="R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K703" s="182"/>
      <c r="L703" s="182"/>
      <c r="M703" s="182"/>
      <c r="N703" s="182"/>
      <c r="O703" s="182"/>
      <c r="P703" s="182"/>
      <c r="Q703" s="182"/>
      <c r="R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K704" s="182"/>
      <c r="L704" s="182"/>
      <c r="M704" s="182"/>
      <c r="N704" s="182"/>
      <c r="O704" s="182"/>
      <c r="P704" s="182"/>
      <c r="Q704" s="182"/>
      <c r="R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K705" s="182"/>
      <c r="L705" s="182"/>
      <c r="M705" s="182"/>
      <c r="N705" s="182"/>
      <c r="O705" s="182"/>
      <c r="P705" s="182"/>
      <c r="Q705" s="182"/>
      <c r="R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K706" s="182"/>
      <c r="L706" s="182"/>
      <c r="M706" s="182"/>
      <c r="N706" s="182"/>
      <c r="O706" s="182"/>
      <c r="P706" s="182"/>
      <c r="Q706" s="182"/>
      <c r="R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K707" s="182"/>
      <c r="L707" s="182"/>
      <c r="M707" s="182"/>
      <c r="N707" s="182"/>
      <c r="O707" s="182"/>
      <c r="P707" s="182"/>
      <c r="Q707" s="182"/>
      <c r="R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K708" s="182"/>
      <c r="L708" s="182"/>
      <c r="M708" s="182"/>
      <c r="N708" s="182"/>
      <c r="O708" s="182"/>
      <c r="P708" s="182"/>
      <c r="Q708" s="182"/>
      <c r="R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K709" s="182"/>
      <c r="L709" s="182"/>
      <c r="M709" s="182"/>
      <c r="N709" s="182"/>
      <c r="O709" s="182"/>
      <c r="P709" s="182"/>
      <c r="Q709" s="182"/>
      <c r="R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K710" s="182"/>
      <c r="L710" s="182"/>
      <c r="M710" s="182"/>
      <c r="N710" s="182"/>
      <c r="O710" s="182"/>
      <c r="P710" s="182"/>
      <c r="Q710" s="182"/>
      <c r="R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K711" s="182"/>
      <c r="L711" s="182"/>
      <c r="M711" s="182"/>
      <c r="N711" s="182"/>
      <c r="O711" s="182"/>
      <c r="P711" s="182"/>
      <c r="Q711" s="182"/>
      <c r="R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K712" s="182"/>
      <c r="L712" s="182"/>
      <c r="M712" s="182"/>
      <c r="N712" s="182"/>
      <c r="O712" s="182"/>
      <c r="P712" s="182"/>
      <c r="Q712" s="182"/>
      <c r="R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K713" s="182"/>
      <c r="L713" s="182"/>
      <c r="M713" s="182"/>
      <c r="N713" s="182"/>
      <c r="O713" s="182"/>
      <c r="P713" s="182"/>
      <c r="Q713" s="182"/>
      <c r="R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K714" s="182"/>
      <c r="L714" s="182"/>
      <c r="M714" s="182"/>
      <c r="N714" s="182"/>
      <c r="O714" s="182"/>
      <c r="P714" s="182"/>
      <c r="Q714" s="182"/>
      <c r="R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K715" s="182"/>
      <c r="L715" s="182"/>
      <c r="M715" s="182"/>
      <c r="N715" s="182"/>
      <c r="O715" s="182"/>
      <c r="P715" s="182"/>
      <c r="Q715" s="182"/>
      <c r="R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K716" s="182"/>
      <c r="L716" s="182"/>
      <c r="M716" s="182"/>
      <c r="N716" s="182"/>
      <c r="O716" s="182"/>
      <c r="P716" s="182"/>
      <c r="Q716" s="182"/>
      <c r="R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K717" s="182"/>
      <c r="L717" s="182"/>
      <c r="M717" s="182"/>
      <c r="N717" s="182"/>
      <c r="O717" s="182"/>
      <c r="P717" s="182"/>
      <c r="Q717" s="182"/>
      <c r="R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K718" s="182"/>
      <c r="L718" s="182"/>
      <c r="M718" s="182"/>
      <c r="N718" s="182"/>
      <c r="O718" s="182"/>
      <c r="P718" s="182"/>
      <c r="Q718" s="182"/>
      <c r="R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K719" s="182"/>
      <c r="L719" s="182"/>
      <c r="M719" s="182"/>
      <c r="N719" s="182"/>
      <c r="O719" s="182"/>
      <c r="P719" s="182"/>
      <c r="Q719" s="182"/>
      <c r="R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K720" s="182"/>
      <c r="L720" s="182"/>
      <c r="M720" s="182"/>
      <c r="N720" s="182"/>
      <c r="O720" s="182"/>
      <c r="P720" s="182"/>
      <c r="Q720" s="182"/>
      <c r="R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K721" s="182"/>
      <c r="L721" s="182"/>
      <c r="M721" s="182"/>
      <c r="N721" s="182"/>
      <c r="O721" s="182"/>
      <c r="P721" s="182"/>
      <c r="Q721" s="182"/>
      <c r="R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K722" s="182"/>
      <c r="L722" s="182"/>
      <c r="M722" s="182"/>
      <c r="N722" s="182"/>
      <c r="O722" s="182"/>
      <c r="P722" s="182"/>
      <c r="Q722" s="182"/>
      <c r="R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K723" s="182"/>
      <c r="L723" s="182"/>
      <c r="M723" s="182"/>
      <c r="N723" s="182"/>
      <c r="O723" s="182"/>
      <c r="P723" s="182"/>
      <c r="Q723" s="182"/>
      <c r="R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K724" s="182"/>
      <c r="L724" s="182"/>
      <c r="M724" s="182"/>
      <c r="N724" s="182"/>
      <c r="O724" s="182"/>
      <c r="P724" s="182"/>
      <c r="Q724" s="182"/>
      <c r="R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K725" s="182"/>
      <c r="L725" s="182"/>
      <c r="M725" s="182"/>
      <c r="N725" s="182"/>
      <c r="O725" s="182"/>
      <c r="P725" s="182"/>
      <c r="Q725" s="182"/>
      <c r="R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K726" s="182"/>
      <c r="L726" s="182"/>
      <c r="M726" s="182"/>
      <c r="N726" s="182"/>
      <c r="O726" s="182"/>
      <c r="P726" s="182"/>
      <c r="Q726" s="182"/>
      <c r="R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K727" s="182"/>
      <c r="L727" s="182"/>
      <c r="M727" s="182"/>
      <c r="N727" s="182"/>
      <c r="O727" s="182"/>
      <c r="P727" s="182"/>
      <c r="Q727" s="182"/>
      <c r="R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K728" s="182"/>
      <c r="L728" s="182"/>
      <c r="M728" s="182"/>
      <c r="N728" s="182"/>
      <c r="O728" s="182"/>
      <c r="P728" s="182"/>
      <c r="Q728" s="182"/>
      <c r="R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K729" s="182"/>
      <c r="L729" s="182"/>
      <c r="M729" s="182"/>
      <c r="N729" s="182"/>
      <c r="O729" s="182"/>
      <c r="P729" s="182"/>
      <c r="Q729" s="182"/>
      <c r="R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K730" s="182"/>
      <c r="L730" s="182"/>
      <c r="M730" s="182"/>
      <c r="N730" s="182"/>
      <c r="O730" s="182"/>
      <c r="P730" s="182"/>
      <c r="Q730" s="182"/>
      <c r="R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K731" s="182"/>
      <c r="L731" s="182"/>
      <c r="M731" s="182"/>
      <c r="N731" s="182"/>
      <c r="O731" s="182"/>
      <c r="P731" s="182"/>
      <c r="Q731" s="182"/>
      <c r="R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K732" s="182"/>
      <c r="L732" s="182"/>
      <c r="M732" s="182"/>
      <c r="N732" s="182"/>
      <c r="O732" s="182"/>
      <c r="P732" s="182"/>
      <c r="Q732" s="182"/>
      <c r="R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K733" s="182"/>
      <c r="L733" s="182"/>
      <c r="M733" s="182"/>
      <c r="N733" s="182"/>
      <c r="O733" s="182"/>
      <c r="P733" s="182"/>
      <c r="Q733" s="182"/>
      <c r="R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K734" s="182"/>
      <c r="L734" s="182"/>
      <c r="M734" s="182"/>
      <c r="N734" s="182"/>
      <c r="O734" s="182"/>
      <c r="P734" s="182"/>
      <c r="Q734" s="182"/>
      <c r="R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K735" s="182"/>
      <c r="L735" s="182"/>
      <c r="M735" s="182"/>
      <c r="N735" s="182"/>
      <c r="O735" s="182"/>
      <c r="P735" s="182"/>
      <c r="Q735" s="182"/>
      <c r="R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K736" s="182"/>
      <c r="L736" s="182"/>
      <c r="M736" s="182"/>
      <c r="N736" s="182"/>
      <c r="O736" s="182"/>
      <c r="P736" s="182"/>
      <c r="Q736" s="182"/>
      <c r="R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K737" s="182"/>
      <c r="L737" s="182"/>
      <c r="M737" s="182"/>
      <c r="N737" s="182"/>
      <c r="O737" s="182"/>
      <c r="P737" s="182"/>
      <c r="Q737" s="182"/>
      <c r="R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K738" s="182"/>
      <c r="L738" s="182"/>
      <c r="M738" s="182"/>
      <c r="N738" s="182"/>
      <c r="O738" s="182"/>
      <c r="P738" s="182"/>
      <c r="Q738" s="182"/>
      <c r="R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K739" s="182"/>
      <c r="L739" s="182"/>
      <c r="M739" s="182"/>
      <c r="N739" s="182"/>
      <c r="O739" s="182"/>
      <c r="P739" s="182"/>
      <c r="Q739" s="182"/>
      <c r="R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K740" s="182"/>
      <c r="L740" s="182"/>
      <c r="M740" s="182"/>
      <c r="N740" s="182"/>
      <c r="O740" s="182"/>
      <c r="P740" s="182"/>
      <c r="Q740" s="182"/>
      <c r="R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K741" s="182"/>
      <c r="L741" s="182"/>
      <c r="M741" s="182"/>
      <c r="N741" s="182"/>
      <c r="O741" s="182"/>
      <c r="P741" s="182"/>
      <c r="Q741" s="182"/>
      <c r="R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K742" s="182"/>
      <c r="L742" s="182"/>
      <c r="M742" s="182"/>
      <c r="N742" s="182"/>
      <c r="O742" s="182"/>
      <c r="P742" s="182"/>
      <c r="Q742" s="182"/>
      <c r="R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K743" s="182"/>
      <c r="L743" s="182"/>
      <c r="M743" s="182"/>
      <c r="N743" s="182"/>
      <c r="O743" s="182"/>
      <c r="P743" s="182"/>
      <c r="Q743" s="182"/>
      <c r="R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K744" s="182"/>
      <c r="L744" s="182"/>
      <c r="M744" s="182"/>
      <c r="N744" s="182"/>
      <c r="O744" s="182"/>
      <c r="P744" s="182"/>
      <c r="Q744" s="182"/>
      <c r="R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K745" s="182"/>
      <c r="L745" s="182"/>
      <c r="M745" s="182"/>
      <c r="N745" s="182"/>
      <c r="O745" s="182"/>
      <c r="P745" s="182"/>
      <c r="Q745" s="182"/>
      <c r="R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K746" s="182"/>
      <c r="L746" s="182"/>
      <c r="M746" s="182"/>
      <c r="N746" s="182"/>
      <c r="O746" s="182"/>
      <c r="P746" s="182"/>
      <c r="Q746" s="182"/>
      <c r="R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K747" s="182"/>
      <c r="L747" s="182"/>
      <c r="M747" s="182"/>
      <c r="N747" s="182"/>
      <c r="O747" s="182"/>
      <c r="P747" s="182"/>
      <c r="Q747" s="182"/>
      <c r="R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K748" s="182"/>
      <c r="L748" s="182"/>
      <c r="M748" s="182"/>
      <c r="N748" s="182"/>
      <c r="O748" s="182"/>
      <c r="P748" s="182"/>
      <c r="Q748" s="182"/>
      <c r="R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K749" s="182"/>
      <c r="L749" s="182"/>
      <c r="M749" s="182"/>
      <c r="N749" s="182"/>
      <c r="O749" s="182"/>
      <c r="P749" s="182"/>
      <c r="Q749" s="182"/>
      <c r="R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K750" s="182"/>
      <c r="L750" s="182"/>
      <c r="M750" s="182"/>
      <c r="N750" s="182"/>
      <c r="O750" s="182"/>
      <c r="P750" s="182"/>
      <c r="Q750" s="182"/>
      <c r="R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K751" s="182"/>
      <c r="L751" s="182"/>
      <c r="M751" s="182"/>
      <c r="N751" s="182"/>
      <c r="O751" s="182"/>
      <c r="P751" s="182"/>
      <c r="Q751" s="182"/>
      <c r="R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K752" s="182"/>
      <c r="L752" s="182"/>
      <c r="M752" s="182"/>
      <c r="N752" s="182"/>
      <c r="O752" s="182"/>
      <c r="P752" s="182"/>
      <c r="Q752" s="182"/>
      <c r="R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K753" s="182"/>
      <c r="L753" s="182"/>
      <c r="M753" s="182"/>
      <c r="N753" s="182"/>
      <c r="O753" s="182"/>
      <c r="P753" s="182"/>
      <c r="Q753" s="182"/>
      <c r="R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K754" s="182"/>
      <c r="L754" s="182"/>
      <c r="M754" s="182"/>
      <c r="N754" s="182"/>
      <c r="O754" s="182"/>
      <c r="P754" s="182"/>
      <c r="Q754" s="182"/>
      <c r="R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K755" s="182"/>
      <c r="L755" s="182"/>
      <c r="M755" s="182"/>
      <c r="N755" s="182"/>
      <c r="O755" s="182"/>
      <c r="P755" s="182"/>
      <c r="Q755" s="182"/>
      <c r="R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K756" s="182"/>
      <c r="L756" s="182"/>
      <c r="M756" s="182"/>
      <c r="N756" s="182"/>
      <c r="O756" s="182"/>
      <c r="P756" s="182"/>
      <c r="Q756" s="182"/>
      <c r="R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K757" s="182"/>
      <c r="L757" s="182"/>
      <c r="M757" s="182"/>
      <c r="N757" s="182"/>
      <c r="O757" s="182"/>
      <c r="P757" s="182"/>
      <c r="Q757" s="182"/>
      <c r="R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K758" s="182"/>
      <c r="L758" s="182"/>
      <c r="M758" s="182"/>
      <c r="N758" s="182"/>
      <c r="O758" s="182"/>
      <c r="P758" s="182"/>
      <c r="Q758" s="182"/>
      <c r="R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K759" s="182"/>
      <c r="L759" s="182"/>
      <c r="M759" s="182"/>
      <c r="N759" s="182"/>
      <c r="O759" s="182"/>
      <c r="P759" s="182"/>
      <c r="Q759" s="182"/>
      <c r="R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K760" s="182"/>
      <c r="L760" s="182"/>
      <c r="M760" s="182"/>
      <c r="N760" s="182"/>
      <c r="O760" s="182"/>
      <c r="P760" s="182"/>
      <c r="Q760" s="182"/>
      <c r="R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K761" s="182"/>
      <c r="L761" s="182"/>
      <c r="M761" s="182"/>
      <c r="N761" s="182"/>
      <c r="O761" s="182"/>
      <c r="P761" s="182"/>
      <c r="Q761" s="182"/>
      <c r="R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K762" s="182"/>
      <c r="L762" s="182"/>
      <c r="M762" s="182"/>
      <c r="N762" s="182"/>
      <c r="O762" s="182"/>
      <c r="P762" s="182"/>
      <c r="Q762" s="182"/>
      <c r="R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K763" s="182"/>
      <c r="L763" s="182"/>
      <c r="M763" s="182"/>
      <c r="N763" s="182"/>
      <c r="O763" s="182"/>
      <c r="P763" s="182"/>
      <c r="Q763" s="182"/>
      <c r="R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K764" s="182"/>
      <c r="L764" s="182"/>
      <c r="M764" s="182"/>
      <c r="N764" s="182"/>
      <c r="O764" s="182"/>
      <c r="P764" s="182"/>
      <c r="Q764" s="182"/>
      <c r="R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K765" s="182"/>
      <c r="L765" s="182"/>
      <c r="M765" s="182"/>
      <c r="N765" s="182"/>
      <c r="O765" s="182"/>
      <c r="P765" s="182"/>
      <c r="Q765" s="182"/>
      <c r="R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K766" s="182"/>
      <c r="L766" s="182"/>
      <c r="M766" s="182"/>
      <c r="N766" s="182"/>
      <c r="O766" s="182"/>
      <c r="P766" s="182"/>
      <c r="Q766" s="182"/>
      <c r="R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K767" s="182"/>
      <c r="L767" s="182"/>
      <c r="M767" s="182"/>
      <c r="N767" s="182"/>
      <c r="O767" s="182"/>
      <c r="P767" s="182"/>
      <c r="Q767" s="182"/>
      <c r="R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K768" s="182"/>
      <c r="L768" s="182"/>
      <c r="M768" s="182"/>
      <c r="N768" s="182"/>
      <c r="O768" s="182"/>
      <c r="P768" s="182"/>
      <c r="Q768" s="182"/>
      <c r="R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K769" s="182"/>
      <c r="L769" s="182"/>
      <c r="M769" s="182"/>
      <c r="N769" s="182"/>
      <c r="O769" s="182"/>
      <c r="P769" s="182"/>
      <c r="Q769" s="182"/>
      <c r="R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K770" s="182"/>
      <c r="L770" s="182"/>
      <c r="M770" s="182"/>
      <c r="N770" s="182"/>
      <c r="O770" s="182"/>
      <c r="P770" s="182"/>
      <c r="Q770" s="182"/>
      <c r="R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K771" s="182"/>
      <c r="L771" s="182"/>
      <c r="M771" s="182"/>
      <c r="N771" s="182"/>
      <c r="O771" s="182"/>
      <c r="P771" s="182"/>
      <c r="Q771" s="182"/>
      <c r="R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K772" s="182"/>
      <c r="L772" s="182"/>
      <c r="M772" s="182"/>
      <c r="N772" s="182"/>
      <c r="O772" s="182"/>
      <c r="P772" s="182"/>
      <c r="Q772" s="182"/>
      <c r="R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K773" s="182"/>
      <c r="L773" s="182"/>
      <c r="M773" s="182"/>
      <c r="N773" s="182"/>
      <c r="O773" s="182"/>
      <c r="P773" s="182"/>
      <c r="Q773" s="182"/>
      <c r="R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K774" s="182"/>
      <c r="L774" s="182"/>
      <c r="M774" s="182"/>
      <c r="N774" s="182"/>
      <c r="O774" s="182"/>
      <c r="P774" s="182"/>
      <c r="Q774" s="182"/>
      <c r="R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K775" s="182"/>
      <c r="L775" s="182"/>
      <c r="M775" s="182"/>
      <c r="N775" s="182"/>
      <c r="O775" s="182"/>
      <c r="P775" s="182"/>
      <c r="Q775" s="182"/>
      <c r="R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K776" s="182"/>
      <c r="L776" s="182"/>
      <c r="M776" s="182"/>
      <c r="N776" s="182"/>
      <c r="O776" s="182"/>
      <c r="P776" s="182"/>
      <c r="Q776" s="182"/>
      <c r="R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K777" s="182"/>
      <c r="L777" s="182"/>
      <c r="M777" s="182"/>
      <c r="N777" s="182"/>
      <c r="O777" s="182"/>
      <c r="P777" s="182"/>
      <c r="Q777" s="182"/>
      <c r="R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K778" s="182"/>
      <c r="L778" s="182"/>
      <c r="M778" s="182"/>
      <c r="N778" s="182"/>
      <c r="O778" s="182"/>
      <c r="P778" s="182"/>
      <c r="Q778" s="182"/>
      <c r="R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K779" s="182"/>
      <c r="L779" s="182"/>
      <c r="M779" s="182"/>
      <c r="N779" s="182"/>
      <c r="O779" s="182"/>
      <c r="P779" s="182"/>
      <c r="Q779" s="182"/>
      <c r="R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K780" s="182"/>
      <c r="L780" s="182"/>
      <c r="M780" s="182"/>
      <c r="N780" s="182"/>
      <c r="O780" s="182"/>
      <c r="P780" s="182"/>
      <c r="Q780" s="182"/>
      <c r="R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K781" s="182"/>
      <c r="L781" s="182"/>
      <c r="M781" s="182"/>
      <c r="N781" s="182"/>
      <c r="O781" s="182"/>
      <c r="P781" s="182"/>
      <c r="Q781" s="182"/>
      <c r="R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K782" s="182"/>
      <c r="L782" s="182"/>
      <c r="M782" s="182"/>
      <c r="N782" s="182"/>
      <c r="O782" s="182"/>
      <c r="P782" s="182"/>
      <c r="Q782" s="182"/>
      <c r="R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K783" s="182"/>
      <c r="L783" s="182"/>
      <c r="M783" s="182"/>
      <c r="N783" s="182"/>
      <c r="O783" s="182"/>
      <c r="P783" s="182"/>
      <c r="Q783" s="182"/>
      <c r="R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K784" s="182"/>
      <c r="L784" s="182"/>
      <c r="M784" s="182"/>
      <c r="N784" s="182"/>
      <c r="O784" s="182"/>
      <c r="P784" s="182"/>
      <c r="Q784" s="182"/>
      <c r="R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K785" s="182"/>
      <c r="L785" s="182"/>
      <c r="M785" s="182"/>
      <c r="N785" s="182"/>
      <c r="O785" s="182"/>
      <c r="P785" s="182"/>
      <c r="Q785" s="182"/>
      <c r="R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K786" s="182"/>
      <c r="L786" s="182"/>
      <c r="M786" s="182"/>
      <c r="N786" s="182"/>
      <c r="O786" s="182"/>
      <c r="P786" s="182"/>
      <c r="Q786" s="182"/>
      <c r="R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K787" s="182"/>
      <c r="L787" s="182"/>
      <c r="M787" s="182"/>
      <c r="N787" s="182"/>
      <c r="O787" s="182"/>
      <c r="P787" s="182"/>
      <c r="Q787" s="182"/>
      <c r="R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K788" s="182"/>
      <c r="L788" s="182"/>
      <c r="M788" s="182"/>
      <c r="N788" s="182"/>
      <c r="O788" s="182"/>
      <c r="P788" s="182"/>
      <c r="Q788" s="182"/>
      <c r="R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K789" s="182"/>
      <c r="L789" s="182"/>
      <c r="M789" s="182"/>
      <c r="N789" s="182"/>
      <c r="O789" s="182"/>
      <c r="P789" s="182"/>
      <c r="Q789" s="182"/>
      <c r="R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K790" s="182"/>
      <c r="L790" s="182"/>
      <c r="M790" s="182"/>
      <c r="N790" s="182"/>
      <c r="O790" s="182"/>
      <c r="P790" s="182"/>
      <c r="Q790" s="182"/>
      <c r="R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K791" s="182"/>
      <c r="L791" s="182"/>
      <c r="M791" s="182"/>
      <c r="N791" s="182"/>
      <c r="O791" s="182"/>
      <c r="P791" s="182"/>
      <c r="Q791" s="182"/>
      <c r="R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K792" s="182"/>
      <c r="L792" s="182"/>
      <c r="M792" s="182"/>
      <c r="N792" s="182"/>
      <c r="O792" s="182"/>
      <c r="P792" s="182"/>
      <c r="Q792" s="182"/>
      <c r="R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K793" s="182"/>
      <c r="L793" s="182"/>
      <c r="M793" s="182"/>
      <c r="N793" s="182"/>
      <c r="O793" s="182"/>
      <c r="P793" s="182"/>
      <c r="Q793" s="182"/>
      <c r="R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K794" s="182"/>
      <c r="L794" s="182"/>
      <c r="M794" s="182"/>
      <c r="N794" s="182"/>
      <c r="O794" s="182"/>
      <c r="P794" s="182"/>
      <c r="Q794" s="182"/>
      <c r="R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K795" s="182"/>
      <c r="L795" s="182"/>
      <c r="M795" s="182"/>
      <c r="N795" s="182"/>
      <c r="O795" s="182"/>
      <c r="P795" s="182"/>
      <c r="Q795" s="182"/>
      <c r="R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K796" s="182"/>
      <c r="L796" s="182"/>
      <c r="M796" s="182"/>
      <c r="N796" s="182"/>
      <c r="O796" s="182"/>
      <c r="P796" s="182"/>
      <c r="Q796" s="182"/>
      <c r="R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K797" s="182"/>
      <c r="L797" s="182"/>
      <c r="M797" s="182"/>
      <c r="N797" s="182"/>
      <c r="O797" s="182"/>
      <c r="P797" s="182"/>
      <c r="Q797" s="182"/>
      <c r="R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K798" s="182"/>
      <c r="L798" s="182"/>
      <c r="M798" s="182"/>
      <c r="N798" s="182"/>
      <c r="O798" s="182"/>
      <c r="P798" s="182"/>
      <c r="Q798" s="182"/>
      <c r="R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K799" s="182"/>
      <c r="L799" s="182"/>
      <c r="M799" s="182"/>
      <c r="N799" s="182"/>
      <c r="O799" s="182"/>
      <c r="P799" s="182"/>
      <c r="Q799" s="182"/>
      <c r="R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K800" s="182"/>
      <c r="L800" s="182"/>
      <c r="M800" s="182"/>
      <c r="N800" s="182"/>
      <c r="O800" s="182"/>
      <c r="P800" s="182"/>
      <c r="Q800" s="182"/>
      <c r="R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K801" s="182"/>
      <c r="L801" s="182"/>
      <c r="M801" s="182"/>
      <c r="N801" s="182"/>
      <c r="O801" s="182"/>
      <c r="P801" s="182"/>
      <c r="Q801" s="182"/>
      <c r="R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K802" s="182"/>
      <c r="L802" s="182"/>
      <c r="M802" s="182"/>
      <c r="N802" s="182"/>
      <c r="O802" s="182"/>
      <c r="P802" s="182"/>
      <c r="Q802" s="182"/>
      <c r="R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K803" s="182"/>
      <c r="L803" s="182"/>
      <c r="M803" s="182"/>
      <c r="N803" s="182"/>
      <c r="O803" s="182"/>
      <c r="P803" s="182"/>
      <c r="Q803" s="182"/>
      <c r="R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K804" s="182"/>
      <c r="L804" s="182"/>
      <c r="M804" s="182"/>
      <c r="N804" s="182"/>
      <c r="O804" s="182"/>
      <c r="P804" s="182"/>
      <c r="Q804" s="182"/>
      <c r="R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K805" s="182"/>
      <c r="L805" s="182"/>
      <c r="M805" s="182"/>
      <c r="N805" s="182"/>
      <c r="O805" s="182"/>
      <c r="P805" s="182"/>
      <c r="Q805" s="182"/>
      <c r="R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K806" s="182"/>
      <c r="L806" s="182"/>
      <c r="M806" s="182"/>
      <c r="N806" s="182"/>
      <c r="O806" s="182"/>
      <c r="P806" s="182"/>
      <c r="Q806" s="182"/>
      <c r="R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K807" s="182"/>
      <c r="L807" s="182"/>
      <c r="M807" s="182"/>
      <c r="N807" s="182"/>
      <c r="O807" s="182"/>
      <c r="P807" s="182"/>
      <c r="Q807" s="182"/>
      <c r="R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K808" s="182"/>
      <c r="L808" s="182"/>
      <c r="M808" s="182"/>
      <c r="N808" s="182"/>
      <c r="O808" s="182"/>
      <c r="P808" s="182"/>
      <c r="Q808" s="182"/>
      <c r="R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K809" s="182"/>
      <c r="L809" s="182"/>
      <c r="M809" s="182"/>
      <c r="N809" s="182"/>
      <c r="O809" s="182"/>
      <c r="P809" s="182"/>
      <c r="Q809" s="182"/>
      <c r="R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K810" s="182"/>
      <c r="L810" s="182"/>
      <c r="M810" s="182"/>
      <c r="N810" s="182"/>
      <c r="O810" s="182"/>
      <c r="P810" s="182"/>
      <c r="Q810" s="182"/>
      <c r="R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K811" s="182"/>
      <c r="L811" s="182"/>
      <c r="M811" s="182"/>
      <c r="N811" s="182"/>
      <c r="O811" s="182"/>
      <c r="P811" s="182"/>
      <c r="Q811" s="182"/>
      <c r="R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K812" s="182"/>
      <c r="L812" s="182"/>
      <c r="M812" s="182"/>
      <c r="N812" s="182"/>
      <c r="O812" s="182"/>
      <c r="P812" s="182"/>
      <c r="Q812" s="182"/>
      <c r="R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K813" s="182"/>
      <c r="L813" s="182"/>
      <c r="M813" s="182"/>
      <c r="N813" s="182"/>
      <c r="O813" s="182"/>
      <c r="P813" s="182"/>
      <c r="Q813" s="182"/>
      <c r="R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K814" s="182"/>
      <c r="L814" s="182"/>
      <c r="M814" s="182"/>
      <c r="N814" s="182"/>
      <c r="O814" s="182"/>
      <c r="P814" s="182"/>
      <c r="Q814" s="182"/>
      <c r="R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K815" s="182"/>
      <c r="L815" s="182"/>
      <c r="M815" s="182"/>
      <c r="N815" s="182"/>
      <c r="O815" s="182"/>
      <c r="P815" s="182"/>
      <c r="Q815" s="182"/>
      <c r="R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K816" s="182"/>
      <c r="L816" s="182"/>
      <c r="M816" s="182"/>
      <c r="N816" s="182"/>
      <c r="O816" s="182"/>
      <c r="P816" s="182"/>
      <c r="Q816" s="182"/>
      <c r="R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K817" s="182"/>
      <c r="L817" s="182"/>
      <c r="M817" s="182"/>
      <c r="N817" s="182"/>
      <c r="O817" s="182"/>
      <c r="P817" s="182"/>
      <c r="Q817" s="182"/>
      <c r="R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K818" s="182"/>
      <c r="L818" s="182"/>
      <c r="M818" s="182"/>
      <c r="N818" s="182"/>
      <c r="O818" s="182"/>
      <c r="P818" s="182"/>
      <c r="Q818" s="182"/>
      <c r="R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K819" s="182"/>
      <c r="L819" s="182"/>
      <c r="M819" s="182"/>
      <c r="N819" s="182"/>
      <c r="O819" s="182"/>
      <c r="P819" s="182"/>
      <c r="Q819" s="182"/>
      <c r="R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K820" s="182"/>
      <c r="L820" s="182"/>
      <c r="M820" s="182"/>
      <c r="N820" s="182"/>
      <c r="O820" s="182"/>
      <c r="P820" s="182"/>
      <c r="Q820" s="182"/>
      <c r="R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K821" s="182"/>
      <c r="L821" s="182"/>
      <c r="M821" s="182"/>
      <c r="N821" s="182"/>
      <c r="O821" s="182"/>
      <c r="P821" s="182"/>
      <c r="Q821" s="182"/>
      <c r="R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K822" s="182"/>
      <c r="L822" s="182"/>
      <c r="M822" s="182"/>
      <c r="N822" s="182"/>
      <c r="O822" s="182"/>
      <c r="P822" s="182"/>
      <c r="Q822" s="182"/>
      <c r="R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K823" s="182"/>
      <c r="L823" s="182"/>
      <c r="M823" s="182"/>
      <c r="N823" s="182"/>
      <c r="O823" s="182"/>
      <c r="P823" s="182"/>
      <c r="Q823" s="182"/>
      <c r="R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K824" s="182"/>
      <c r="L824" s="182"/>
      <c r="M824" s="182"/>
      <c r="N824" s="182"/>
      <c r="O824" s="182"/>
      <c r="P824" s="182"/>
      <c r="Q824" s="182"/>
      <c r="R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K825" s="182"/>
      <c r="L825" s="182"/>
      <c r="M825" s="182"/>
      <c r="N825" s="182"/>
      <c r="O825" s="182"/>
      <c r="P825" s="182"/>
      <c r="Q825" s="182"/>
      <c r="R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K826" s="182"/>
      <c r="L826" s="182"/>
      <c r="M826" s="182"/>
      <c r="N826" s="182"/>
      <c r="O826" s="182"/>
      <c r="P826" s="182"/>
      <c r="Q826" s="182"/>
      <c r="R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K827" s="182"/>
      <c r="L827" s="182"/>
      <c r="M827" s="182"/>
      <c r="N827" s="182"/>
      <c r="O827" s="182"/>
      <c r="P827" s="182"/>
      <c r="Q827" s="182"/>
      <c r="R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K828" s="182"/>
      <c r="L828" s="182"/>
      <c r="M828" s="182"/>
      <c r="N828" s="182"/>
      <c r="O828" s="182"/>
      <c r="P828" s="182"/>
      <c r="Q828" s="182"/>
      <c r="R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K829" s="182"/>
      <c r="L829" s="182"/>
      <c r="M829" s="182"/>
      <c r="N829" s="182"/>
      <c r="O829" s="182"/>
      <c r="P829" s="182"/>
      <c r="Q829" s="182"/>
      <c r="R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K830" s="182"/>
      <c r="L830" s="182"/>
      <c r="M830" s="182"/>
      <c r="N830" s="182"/>
      <c r="O830" s="182"/>
      <c r="P830" s="182"/>
      <c r="Q830" s="182"/>
      <c r="R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K831" s="182"/>
      <c r="L831" s="182"/>
      <c r="M831" s="182"/>
      <c r="N831" s="182"/>
      <c r="O831" s="182"/>
      <c r="P831" s="182"/>
      <c r="Q831" s="182"/>
      <c r="R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K832" s="182"/>
      <c r="L832" s="182"/>
      <c r="M832" s="182"/>
      <c r="N832" s="182"/>
      <c r="O832" s="182"/>
      <c r="P832" s="182"/>
      <c r="Q832" s="182"/>
      <c r="R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K833" s="182"/>
      <c r="L833" s="182"/>
      <c r="M833" s="182"/>
      <c r="N833" s="182"/>
      <c r="O833" s="182"/>
      <c r="P833" s="182"/>
      <c r="Q833" s="182"/>
      <c r="R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K834" s="182"/>
      <c r="L834" s="182"/>
      <c r="M834" s="182"/>
      <c r="N834" s="182"/>
      <c r="O834" s="182"/>
      <c r="P834" s="182"/>
      <c r="Q834" s="182"/>
      <c r="R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K835" s="182"/>
      <c r="L835" s="182"/>
      <c r="M835" s="182"/>
      <c r="N835" s="182"/>
      <c r="O835" s="182"/>
      <c r="P835" s="182"/>
      <c r="Q835" s="182"/>
      <c r="R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K836" s="182"/>
      <c r="L836" s="182"/>
      <c r="M836" s="182"/>
      <c r="N836" s="182"/>
      <c r="O836" s="182"/>
      <c r="P836" s="182"/>
      <c r="Q836" s="182"/>
      <c r="R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K837" s="182"/>
      <c r="L837" s="182"/>
      <c r="M837" s="182"/>
      <c r="N837" s="182"/>
      <c r="O837" s="182"/>
      <c r="P837" s="182"/>
      <c r="Q837" s="182"/>
      <c r="R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K838" s="182"/>
      <c r="L838" s="182"/>
      <c r="M838" s="182"/>
      <c r="N838" s="182"/>
      <c r="O838" s="182"/>
      <c r="P838" s="182"/>
      <c r="Q838" s="182"/>
      <c r="R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K839" s="182"/>
      <c r="L839" s="182"/>
      <c r="M839" s="182"/>
      <c r="N839" s="182"/>
      <c r="O839" s="182"/>
      <c r="P839" s="182"/>
      <c r="Q839" s="182"/>
      <c r="R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K840" s="182"/>
      <c r="L840" s="182"/>
      <c r="M840" s="182"/>
      <c r="N840" s="182"/>
      <c r="O840" s="182"/>
      <c r="P840" s="182"/>
      <c r="Q840" s="182"/>
      <c r="R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K841" s="182"/>
      <c r="L841" s="182"/>
      <c r="M841" s="182"/>
      <c r="N841" s="182"/>
      <c r="O841" s="182"/>
      <c r="P841" s="182"/>
      <c r="Q841" s="182"/>
      <c r="R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K842" s="182"/>
      <c r="L842" s="182"/>
      <c r="M842" s="182"/>
      <c r="N842" s="182"/>
      <c r="O842" s="182"/>
      <c r="P842" s="182"/>
      <c r="Q842" s="182"/>
      <c r="R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K843" s="182"/>
      <c r="L843" s="182"/>
      <c r="M843" s="182"/>
      <c r="N843" s="182"/>
      <c r="O843" s="182"/>
      <c r="P843" s="182"/>
      <c r="Q843" s="182"/>
      <c r="R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K844" s="182"/>
      <c r="L844" s="182"/>
      <c r="M844" s="182"/>
      <c r="N844" s="182"/>
      <c r="O844" s="182"/>
      <c r="P844" s="182"/>
      <c r="Q844" s="182"/>
      <c r="R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K845" s="182"/>
      <c r="L845" s="182"/>
      <c r="M845" s="182"/>
      <c r="N845" s="182"/>
      <c r="O845" s="182"/>
      <c r="P845" s="182"/>
      <c r="Q845" s="182"/>
      <c r="R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K846" s="182"/>
      <c r="L846" s="182"/>
      <c r="M846" s="182"/>
      <c r="N846" s="182"/>
      <c r="O846" s="182"/>
      <c r="P846" s="182"/>
      <c r="Q846" s="182"/>
      <c r="R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K847" s="182"/>
      <c r="L847" s="182"/>
      <c r="M847" s="182"/>
      <c r="N847" s="182"/>
      <c r="O847" s="182"/>
      <c r="P847" s="182"/>
      <c r="Q847" s="182"/>
      <c r="R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K848" s="182"/>
      <c r="L848" s="182"/>
      <c r="M848" s="182"/>
      <c r="N848" s="182"/>
      <c r="O848" s="182"/>
      <c r="P848" s="182"/>
      <c r="Q848" s="182"/>
      <c r="R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K849" s="182"/>
      <c r="L849" s="182"/>
      <c r="M849" s="182"/>
      <c r="N849" s="182"/>
      <c r="O849" s="182"/>
      <c r="P849" s="182"/>
      <c r="Q849" s="182"/>
      <c r="R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K850" s="182"/>
      <c r="L850" s="182"/>
      <c r="M850" s="182"/>
      <c r="N850" s="182"/>
      <c r="O850" s="182"/>
      <c r="P850" s="182"/>
      <c r="Q850" s="182"/>
      <c r="R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K851" s="182"/>
      <c r="L851" s="182"/>
      <c r="M851" s="182"/>
      <c r="N851" s="182"/>
      <c r="O851" s="182"/>
      <c r="P851" s="182"/>
      <c r="Q851" s="182"/>
      <c r="R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K852" s="182"/>
      <c r="L852" s="182"/>
      <c r="M852" s="182"/>
      <c r="N852" s="182"/>
      <c r="O852" s="182"/>
      <c r="P852" s="182"/>
      <c r="Q852" s="182"/>
      <c r="R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K853" s="182"/>
      <c r="L853" s="182"/>
      <c r="M853" s="182"/>
      <c r="N853" s="182"/>
      <c r="O853" s="182"/>
      <c r="P853" s="182"/>
      <c r="Q853" s="182"/>
      <c r="R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K854" s="182"/>
      <c r="L854" s="182"/>
      <c r="M854" s="182"/>
      <c r="N854" s="182"/>
      <c r="O854" s="182"/>
      <c r="P854" s="182"/>
      <c r="Q854" s="182"/>
      <c r="R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K855" s="182"/>
      <c r="L855" s="182"/>
      <c r="M855" s="182"/>
      <c r="N855" s="182"/>
      <c r="O855" s="182"/>
      <c r="P855" s="182"/>
      <c r="Q855" s="182"/>
      <c r="R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K856" s="182"/>
      <c r="L856" s="182"/>
      <c r="M856" s="182"/>
      <c r="N856" s="182"/>
      <c r="O856" s="182"/>
      <c r="P856" s="182"/>
      <c r="Q856" s="182"/>
      <c r="R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K857" s="182"/>
      <c r="L857" s="182"/>
      <c r="M857" s="182"/>
      <c r="N857" s="182"/>
      <c r="O857" s="182"/>
      <c r="P857" s="182"/>
      <c r="Q857" s="182"/>
      <c r="R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K858" s="182"/>
      <c r="L858" s="182"/>
      <c r="M858" s="182"/>
      <c r="N858" s="182"/>
      <c r="O858" s="182"/>
      <c r="P858" s="182"/>
      <c r="Q858" s="182"/>
      <c r="R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K859" s="182"/>
      <c r="L859" s="182"/>
      <c r="M859" s="182"/>
      <c r="N859" s="182"/>
      <c r="O859" s="182"/>
      <c r="P859" s="182"/>
      <c r="Q859" s="182"/>
      <c r="R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K860" s="182"/>
      <c r="L860" s="182"/>
      <c r="M860" s="182"/>
      <c r="N860" s="182"/>
      <c r="O860" s="182"/>
      <c r="P860" s="182"/>
      <c r="Q860" s="182"/>
      <c r="R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K861" s="182"/>
      <c r="L861" s="182"/>
      <c r="M861" s="182"/>
      <c r="N861" s="182"/>
      <c r="O861" s="182"/>
      <c r="P861" s="182"/>
      <c r="Q861" s="182"/>
      <c r="R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K862" s="182"/>
      <c r="L862" s="182"/>
      <c r="M862" s="182"/>
      <c r="N862" s="182"/>
      <c r="O862" s="182"/>
      <c r="P862" s="182"/>
      <c r="Q862" s="182"/>
      <c r="R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K863" s="182"/>
      <c r="L863" s="182"/>
      <c r="M863" s="182"/>
      <c r="N863" s="182"/>
      <c r="O863" s="182"/>
      <c r="P863" s="182"/>
      <c r="Q863" s="182"/>
      <c r="R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K864" s="182"/>
      <c r="L864" s="182"/>
      <c r="M864" s="182"/>
      <c r="N864" s="182"/>
      <c r="O864" s="182"/>
      <c r="P864" s="182"/>
      <c r="Q864" s="182"/>
      <c r="R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K865" s="182"/>
      <c r="L865" s="182"/>
      <c r="M865" s="182"/>
      <c r="N865" s="182"/>
      <c r="O865" s="182"/>
      <c r="P865" s="182"/>
      <c r="Q865" s="182"/>
      <c r="R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K866" s="182"/>
      <c r="L866" s="182"/>
      <c r="M866" s="182"/>
      <c r="N866" s="182"/>
      <c r="O866" s="182"/>
      <c r="P866" s="182"/>
      <c r="Q866" s="182"/>
      <c r="R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K867" s="182"/>
      <c r="L867" s="182"/>
      <c r="M867" s="182"/>
      <c r="N867" s="182"/>
      <c r="O867" s="182"/>
      <c r="P867" s="182"/>
      <c r="Q867" s="182"/>
      <c r="R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K868" s="182"/>
      <c r="L868" s="182"/>
      <c r="M868" s="182"/>
      <c r="N868" s="182"/>
      <c r="O868" s="182"/>
      <c r="P868" s="182"/>
      <c r="Q868" s="182"/>
      <c r="R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K869" s="182"/>
      <c r="L869" s="182"/>
      <c r="M869" s="182"/>
      <c r="N869" s="182"/>
      <c r="O869" s="182"/>
      <c r="P869" s="182"/>
      <c r="Q869" s="182"/>
      <c r="R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K870" s="182"/>
      <c r="L870" s="182"/>
      <c r="M870" s="182"/>
      <c r="N870" s="182"/>
      <c r="O870" s="182"/>
      <c r="P870" s="182"/>
      <c r="Q870" s="182"/>
      <c r="R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K871" s="182"/>
      <c r="L871" s="182"/>
      <c r="M871" s="182"/>
      <c r="N871" s="182"/>
      <c r="O871" s="182"/>
      <c r="P871" s="182"/>
      <c r="Q871" s="182"/>
      <c r="R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K872" s="182"/>
      <c r="L872" s="182"/>
      <c r="M872" s="182"/>
      <c r="N872" s="182"/>
      <c r="O872" s="182"/>
      <c r="P872" s="182"/>
      <c r="Q872" s="182"/>
      <c r="R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K873" s="182"/>
      <c r="L873" s="182"/>
      <c r="M873" s="182"/>
      <c r="N873" s="182"/>
      <c r="O873" s="182"/>
      <c r="P873" s="182"/>
      <c r="Q873" s="182"/>
      <c r="R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K874" s="182"/>
      <c r="L874" s="182"/>
      <c r="M874" s="182"/>
      <c r="N874" s="182"/>
      <c r="O874" s="182"/>
      <c r="P874" s="182"/>
      <c r="Q874" s="182"/>
      <c r="R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K875" s="182"/>
      <c r="L875" s="182"/>
      <c r="M875" s="182"/>
      <c r="N875" s="182"/>
      <c r="O875" s="182"/>
      <c r="P875" s="182"/>
      <c r="Q875" s="182"/>
      <c r="R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K876" s="182"/>
      <c r="L876" s="182"/>
      <c r="M876" s="182"/>
      <c r="N876" s="182"/>
      <c r="O876" s="182"/>
      <c r="P876" s="182"/>
      <c r="Q876" s="182"/>
      <c r="R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K877" s="182"/>
      <c r="L877" s="182"/>
      <c r="M877" s="182"/>
      <c r="N877" s="182"/>
      <c r="O877" s="182"/>
      <c r="P877" s="182"/>
      <c r="Q877" s="182"/>
      <c r="R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K878" s="182"/>
      <c r="L878" s="182"/>
      <c r="M878" s="182"/>
      <c r="N878" s="182"/>
      <c r="O878" s="182"/>
      <c r="P878" s="182"/>
      <c r="Q878" s="182"/>
      <c r="R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K879" s="182"/>
      <c r="L879" s="182"/>
      <c r="M879" s="182"/>
      <c r="N879" s="182"/>
      <c r="O879" s="182"/>
      <c r="P879" s="182"/>
      <c r="Q879" s="182"/>
      <c r="R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K880" s="182"/>
      <c r="L880" s="182"/>
      <c r="M880" s="182"/>
      <c r="N880" s="182"/>
      <c r="O880" s="182"/>
      <c r="P880" s="182"/>
      <c r="Q880" s="182"/>
      <c r="R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K881" s="182"/>
      <c r="L881" s="182"/>
      <c r="M881" s="182"/>
      <c r="N881" s="182"/>
      <c r="O881" s="182"/>
      <c r="P881" s="182"/>
      <c r="Q881" s="182"/>
      <c r="R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K882" s="182"/>
      <c r="L882" s="182"/>
      <c r="M882" s="182"/>
      <c r="N882" s="182"/>
      <c r="O882" s="182"/>
      <c r="P882" s="182"/>
      <c r="Q882" s="182"/>
      <c r="R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K883" s="182"/>
      <c r="L883" s="182"/>
      <c r="M883" s="182"/>
      <c r="N883" s="182"/>
      <c r="O883" s="182"/>
      <c r="P883" s="182"/>
      <c r="Q883" s="182"/>
      <c r="R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K884" s="182"/>
      <c r="L884" s="182"/>
      <c r="M884" s="182"/>
      <c r="N884" s="182"/>
      <c r="O884" s="182"/>
      <c r="P884" s="182"/>
      <c r="Q884" s="182"/>
      <c r="R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K885" s="182"/>
      <c r="L885" s="182"/>
      <c r="M885" s="182"/>
      <c r="N885" s="182"/>
      <c r="O885" s="182"/>
      <c r="P885" s="182"/>
      <c r="Q885" s="182"/>
      <c r="R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K886" s="182"/>
      <c r="L886" s="182"/>
      <c r="M886" s="182"/>
      <c r="N886" s="182"/>
      <c r="O886" s="182"/>
      <c r="P886" s="182"/>
      <c r="Q886" s="182"/>
      <c r="R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K887" s="182"/>
      <c r="L887" s="182"/>
      <c r="M887" s="182"/>
      <c r="N887" s="182"/>
      <c r="O887" s="182"/>
      <c r="P887" s="182"/>
      <c r="Q887" s="182"/>
      <c r="R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K888" s="182"/>
      <c r="L888" s="182"/>
      <c r="M888" s="182"/>
      <c r="N888" s="182"/>
      <c r="O888" s="182"/>
      <c r="P888" s="182"/>
      <c r="Q888" s="182"/>
      <c r="R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K889" s="182"/>
      <c r="L889" s="182"/>
      <c r="M889" s="182"/>
      <c r="N889" s="182"/>
      <c r="O889" s="182"/>
      <c r="P889" s="182"/>
      <c r="Q889" s="182"/>
      <c r="R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K890" s="182"/>
      <c r="L890" s="182"/>
      <c r="M890" s="182"/>
      <c r="N890" s="182"/>
      <c r="O890" s="182"/>
      <c r="P890" s="182"/>
      <c r="Q890" s="182"/>
      <c r="R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K891" s="182"/>
      <c r="L891" s="182"/>
      <c r="M891" s="182"/>
      <c r="N891" s="182"/>
      <c r="O891" s="182"/>
      <c r="P891" s="182"/>
      <c r="Q891" s="182"/>
      <c r="R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K892" s="182"/>
      <c r="L892" s="182"/>
      <c r="M892" s="182"/>
      <c r="N892" s="182"/>
      <c r="O892" s="182"/>
      <c r="P892" s="182"/>
      <c r="Q892" s="182"/>
      <c r="R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K893" s="182"/>
      <c r="L893" s="182"/>
      <c r="M893" s="182"/>
      <c r="N893" s="182"/>
      <c r="O893" s="182"/>
      <c r="P893" s="182"/>
      <c r="Q893" s="182"/>
      <c r="R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K894" s="182"/>
      <c r="L894" s="182"/>
      <c r="M894" s="182"/>
      <c r="N894" s="182"/>
      <c r="O894" s="182"/>
      <c r="P894" s="182"/>
      <c r="Q894" s="182"/>
      <c r="R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K895" s="182"/>
      <c r="L895" s="182"/>
      <c r="M895" s="182"/>
      <c r="N895" s="182"/>
      <c r="O895" s="182"/>
      <c r="P895" s="182"/>
      <c r="Q895" s="182"/>
      <c r="R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K896" s="182"/>
      <c r="L896" s="182"/>
      <c r="M896" s="182"/>
      <c r="N896" s="182"/>
      <c r="O896" s="182"/>
      <c r="P896" s="182"/>
      <c r="Q896" s="182"/>
      <c r="R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K897" s="182"/>
      <c r="L897" s="182"/>
      <c r="M897" s="182"/>
      <c r="N897" s="182"/>
      <c r="O897" s="182"/>
      <c r="P897" s="182"/>
      <c r="Q897" s="182"/>
      <c r="R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K898" s="182"/>
      <c r="L898" s="182"/>
      <c r="M898" s="182"/>
      <c r="N898" s="182"/>
      <c r="O898" s="182"/>
      <c r="P898" s="182"/>
      <c r="Q898" s="182"/>
      <c r="R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K899" s="182"/>
      <c r="L899" s="182"/>
      <c r="M899" s="182"/>
      <c r="N899" s="182"/>
      <c r="O899" s="182"/>
      <c r="P899" s="182"/>
      <c r="Q899" s="182"/>
      <c r="R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K900" s="182"/>
      <c r="L900" s="182"/>
      <c r="M900" s="182"/>
      <c r="N900" s="182"/>
      <c r="O900" s="182"/>
      <c r="P900" s="182"/>
      <c r="Q900" s="182"/>
      <c r="R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K901" s="182"/>
      <c r="L901" s="182"/>
      <c r="M901" s="182"/>
      <c r="N901" s="182"/>
      <c r="O901" s="182"/>
      <c r="P901" s="182"/>
      <c r="Q901" s="182"/>
      <c r="R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K902" s="182"/>
      <c r="L902" s="182"/>
      <c r="M902" s="182"/>
      <c r="N902" s="182"/>
      <c r="O902" s="182"/>
      <c r="P902" s="182"/>
      <c r="Q902" s="182"/>
      <c r="R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K903" s="182"/>
      <c r="L903" s="182"/>
      <c r="M903" s="182"/>
      <c r="N903" s="182"/>
      <c r="O903" s="182"/>
      <c r="P903" s="182"/>
      <c r="Q903" s="182"/>
      <c r="R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K904" s="182"/>
      <c r="L904" s="182"/>
      <c r="M904" s="182"/>
      <c r="N904" s="182"/>
      <c r="O904" s="182"/>
      <c r="P904" s="182"/>
      <c r="Q904" s="182"/>
      <c r="R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K905" s="182"/>
      <c r="L905" s="182"/>
      <c r="M905" s="182"/>
      <c r="N905" s="182"/>
      <c r="O905" s="182"/>
      <c r="P905" s="182"/>
      <c r="Q905" s="182"/>
      <c r="R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K906" s="182"/>
      <c r="L906" s="182"/>
      <c r="M906" s="182"/>
      <c r="N906" s="182"/>
      <c r="O906" s="182"/>
      <c r="P906" s="182"/>
      <c r="Q906" s="182"/>
      <c r="R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K907" s="182"/>
      <c r="L907" s="182"/>
      <c r="M907" s="182"/>
      <c r="N907" s="182"/>
      <c r="O907" s="182"/>
      <c r="P907" s="182"/>
      <c r="Q907" s="182"/>
      <c r="R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K908" s="182"/>
      <c r="L908" s="182"/>
      <c r="M908" s="182"/>
      <c r="N908" s="182"/>
      <c r="O908" s="182"/>
      <c r="P908" s="182"/>
      <c r="Q908" s="182"/>
      <c r="R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K909" s="182"/>
      <c r="L909" s="182"/>
      <c r="M909" s="182"/>
      <c r="N909" s="182"/>
      <c r="O909" s="182"/>
      <c r="P909" s="182"/>
      <c r="Q909" s="182"/>
      <c r="R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K910" s="182"/>
      <c r="L910" s="182"/>
      <c r="M910" s="182"/>
      <c r="N910" s="182"/>
      <c r="O910" s="182"/>
      <c r="P910" s="182"/>
      <c r="Q910" s="182"/>
      <c r="R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K911" s="182"/>
      <c r="L911" s="182"/>
      <c r="M911" s="182"/>
      <c r="N911" s="182"/>
      <c r="O911" s="182"/>
      <c r="P911" s="182"/>
      <c r="Q911" s="182"/>
      <c r="R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K912" s="182"/>
      <c r="L912" s="182"/>
      <c r="M912" s="182"/>
      <c r="N912" s="182"/>
      <c r="O912" s="182"/>
      <c r="P912" s="182"/>
      <c r="Q912" s="182"/>
      <c r="R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K913" s="182"/>
      <c r="L913" s="182"/>
      <c r="M913" s="182"/>
      <c r="N913" s="182"/>
      <c r="O913" s="182"/>
      <c r="P913" s="182"/>
      <c r="Q913" s="182"/>
      <c r="R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K914" s="182"/>
      <c r="L914" s="182"/>
      <c r="M914" s="182"/>
      <c r="N914" s="182"/>
      <c r="O914" s="182"/>
      <c r="P914" s="182"/>
      <c r="Q914" s="182"/>
      <c r="R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K915" s="182"/>
      <c r="L915" s="182"/>
      <c r="M915" s="182"/>
      <c r="N915" s="182"/>
      <c r="O915" s="182"/>
      <c r="P915" s="182"/>
      <c r="Q915" s="182"/>
      <c r="R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K916" s="182"/>
      <c r="L916" s="182"/>
      <c r="M916" s="182"/>
      <c r="N916" s="182"/>
      <c r="O916" s="182"/>
      <c r="P916" s="182"/>
      <c r="Q916" s="182"/>
      <c r="R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K917" s="182"/>
      <c r="L917" s="182"/>
      <c r="M917" s="182"/>
      <c r="N917" s="182"/>
      <c r="O917" s="182"/>
      <c r="P917" s="182"/>
      <c r="Q917" s="182"/>
      <c r="R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K918" s="182"/>
      <c r="L918" s="182"/>
      <c r="M918" s="182"/>
      <c r="N918" s="182"/>
      <c r="O918" s="182"/>
      <c r="P918" s="182"/>
      <c r="Q918" s="182"/>
      <c r="R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K919" s="182"/>
      <c r="L919" s="182"/>
      <c r="M919" s="182"/>
      <c r="N919" s="182"/>
      <c r="O919" s="182"/>
      <c r="P919" s="182"/>
      <c r="Q919" s="182"/>
      <c r="R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K920" s="182"/>
      <c r="L920" s="182"/>
      <c r="M920" s="182"/>
      <c r="N920" s="182"/>
      <c r="O920" s="182"/>
      <c r="P920" s="182"/>
      <c r="Q920" s="182"/>
      <c r="R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K921" s="182"/>
      <c r="L921" s="182"/>
      <c r="M921" s="182"/>
      <c r="N921" s="182"/>
      <c r="O921" s="182"/>
      <c r="P921" s="182"/>
      <c r="Q921" s="182"/>
      <c r="R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K922" s="182"/>
      <c r="L922" s="182"/>
      <c r="M922" s="182"/>
      <c r="N922" s="182"/>
      <c r="O922" s="182"/>
      <c r="P922" s="182"/>
      <c r="Q922" s="182"/>
      <c r="R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K923" s="182"/>
      <c r="L923" s="182"/>
      <c r="M923" s="182"/>
      <c r="N923" s="182"/>
      <c r="O923" s="182"/>
      <c r="P923" s="182"/>
      <c r="Q923" s="182"/>
      <c r="R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K924" s="182"/>
      <c r="L924" s="182"/>
      <c r="M924" s="182"/>
      <c r="N924" s="182"/>
      <c r="O924" s="182"/>
      <c r="P924" s="182"/>
      <c r="Q924" s="182"/>
      <c r="R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K925" s="182"/>
      <c r="L925" s="182"/>
      <c r="M925" s="182"/>
      <c r="N925" s="182"/>
      <c r="O925" s="182"/>
      <c r="P925" s="182"/>
      <c r="Q925" s="182"/>
      <c r="R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K926" s="182"/>
      <c r="L926" s="182"/>
      <c r="M926" s="182"/>
      <c r="N926" s="182"/>
      <c r="O926" s="182"/>
      <c r="P926" s="182"/>
      <c r="Q926" s="182"/>
      <c r="R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K927" s="182"/>
      <c r="L927" s="182"/>
      <c r="M927" s="182"/>
      <c r="N927" s="182"/>
      <c r="O927" s="182"/>
      <c r="P927" s="182"/>
      <c r="Q927" s="182"/>
      <c r="R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K928" s="182"/>
      <c r="L928" s="182"/>
      <c r="M928" s="182"/>
      <c r="N928" s="182"/>
      <c r="O928" s="182"/>
      <c r="P928" s="182"/>
      <c r="Q928" s="182"/>
      <c r="R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K929" s="182"/>
      <c r="L929" s="182"/>
      <c r="M929" s="182"/>
      <c r="N929" s="182"/>
      <c r="O929" s="182"/>
      <c r="P929" s="182"/>
      <c r="Q929" s="182"/>
      <c r="R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K930" s="182"/>
      <c r="L930" s="182"/>
      <c r="M930" s="182"/>
      <c r="N930" s="182"/>
      <c r="O930" s="182"/>
      <c r="P930" s="182"/>
      <c r="Q930" s="182"/>
      <c r="R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K931" s="182"/>
      <c r="L931" s="182"/>
      <c r="M931" s="182"/>
      <c r="N931" s="182"/>
      <c r="O931" s="182"/>
      <c r="P931" s="182"/>
      <c r="Q931" s="182"/>
      <c r="R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K932" s="182"/>
      <c r="L932" s="182"/>
      <c r="M932" s="182"/>
      <c r="N932" s="182"/>
      <c r="O932" s="182"/>
      <c r="P932" s="182"/>
      <c r="Q932" s="182"/>
      <c r="R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K933" s="182"/>
      <c r="L933" s="182"/>
      <c r="M933" s="182"/>
      <c r="N933" s="182"/>
      <c r="O933" s="182"/>
      <c r="P933" s="182"/>
      <c r="Q933" s="182"/>
      <c r="R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K934" s="182"/>
      <c r="L934" s="182"/>
      <c r="M934" s="182"/>
      <c r="N934" s="182"/>
      <c r="O934" s="182"/>
      <c r="P934" s="182"/>
      <c r="Q934" s="182"/>
      <c r="R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K935" s="182"/>
      <c r="L935" s="182"/>
      <c r="M935" s="182"/>
      <c r="N935" s="182"/>
      <c r="O935" s="182"/>
      <c r="P935" s="182"/>
      <c r="Q935" s="182"/>
      <c r="R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K936" s="182"/>
      <c r="L936" s="182"/>
      <c r="M936" s="182"/>
      <c r="N936" s="182"/>
      <c r="O936" s="182"/>
      <c r="P936" s="182"/>
      <c r="Q936" s="182"/>
      <c r="R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K937" s="182"/>
      <c r="L937" s="182"/>
      <c r="M937" s="182"/>
      <c r="N937" s="182"/>
      <c r="O937" s="182"/>
      <c r="P937" s="182"/>
      <c r="Q937" s="182"/>
      <c r="R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K938" s="182"/>
      <c r="L938" s="182"/>
      <c r="M938" s="182"/>
      <c r="N938" s="182"/>
      <c r="O938" s="182"/>
      <c r="P938" s="182"/>
      <c r="Q938" s="182"/>
      <c r="R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K939" s="182"/>
      <c r="L939" s="182"/>
      <c r="M939" s="182"/>
      <c r="N939" s="182"/>
      <c r="O939" s="182"/>
      <c r="P939" s="182"/>
      <c r="Q939" s="182"/>
      <c r="R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K940" s="182"/>
      <c r="L940" s="182"/>
      <c r="M940" s="182"/>
      <c r="N940" s="182"/>
      <c r="O940" s="182"/>
      <c r="P940" s="182"/>
      <c r="Q940" s="182"/>
      <c r="R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K941" s="182"/>
      <c r="L941" s="182"/>
      <c r="M941" s="182"/>
      <c r="N941" s="182"/>
      <c r="O941" s="182"/>
      <c r="P941" s="182"/>
      <c r="Q941" s="182"/>
      <c r="R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K942" s="182"/>
      <c r="L942" s="182"/>
      <c r="M942" s="182"/>
      <c r="N942" s="182"/>
      <c r="O942" s="182"/>
      <c r="P942" s="182"/>
      <c r="Q942" s="182"/>
      <c r="R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K943" s="182"/>
      <c r="L943" s="182"/>
      <c r="M943" s="182"/>
      <c r="N943" s="182"/>
      <c r="O943" s="182"/>
      <c r="P943" s="182"/>
      <c r="Q943" s="182"/>
      <c r="R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K944" s="182"/>
      <c r="L944" s="182"/>
      <c r="M944" s="182"/>
      <c r="N944" s="182"/>
      <c r="O944" s="182"/>
      <c r="P944" s="182"/>
      <c r="Q944" s="182"/>
      <c r="R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K945" s="182"/>
      <c r="L945" s="182"/>
      <c r="M945" s="182"/>
      <c r="N945" s="182"/>
      <c r="O945" s="182"/>
      <c r="P945" s="182"/>
      <c r="Q945" s="182"/>
      <c r="R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K946" s="182"/>
      <c r="L946" s="182"/>
      <c r="M946" s="182"/>
      <c r="N946" s="182"/>
      <c r="O946" s="182"/>
      <c r="P946" s="182"/>
      <c r="Q946" s="182"/>
      <c r="R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K947" s="182"/>
      <c r="L947" s="182"/>
      <c r="M947" s="182"/>
      <c r="N947" s="182"/>
      <c r="O947" s="182"/>
      <c r="P947" s="182"/>
      <c r="Q947" s="182"/>
      <c r="R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K948" s="182"/>
      <c r="L948" s="182"/>
      <c r="M948" s="182"/>
      <c r="N948" s="182"/>
      <c r="O948" s="182"/>
      <c r="P948" s="182"/>
      <c r="Q948" s="182"/>
      <c r="R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K949" s="182"/>
      <c r="L949" s="182"/>
      <c r="M949" s="182"/>
      <c r="N949" s="182"/>
      <c r="O949" s="182"/>
      <c r="P949" s="182"/>
      <c r="Q949" s="182"/>
      <c r="R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K950" s="182"/>
      <c r="L950" s="182"/>
      <c r="M950" s="182"/>
      <c r="N950" s="182"/>
      <c r="O950" s="182"/>
      <c r="P950" s="182"/>
      <c r="Q950" s="182"/>
      <c r="R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K951" s="182"/>
      <c r="L951" s="182"/>
      <c r="M951" s="182"/>
      <c r="N951" s="182"/>
      <c r="O951" s="182"/>
      <c r="P951" s="182"/>
      <c r="Q951" s="182"/>
      <c r="R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K952" s="182"/>
      <c r="L952" s="182"/>
      <c r="M952" s="182"/>
      <c r="N952" s="182"/>
      <c r="O952" s="182"/>
      <c r="P952" s="182"/>
      <c r="Q952" s="182"/>
      <c r="R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K953" s="182"/>
      <c r="L953" s="182"/>
      <c r="M953" s="182"/>
      <c r="N953" s="182"/>
      <c r="O953" s="182"/>
      <c r="P953" s="182"/>
      <c r="Q953" s="182"/>
      <c r="R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K954" s="182"/>
      <c r="L954" s="182"/>
      <c r="M954" s="182"/>
      <c r="N954" s="182"/>
      <c r="O954" s="182"/>
      <c r="P954" s="182"/>
      <c r="Q954" s="182"/>
      <c r="R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K955" s="182"/>
      <c r="L955" s="182"/>
      <c r="M955" s="182"/>
      <c r="N955" s="182"/>
      <c r="O955" s="182"/>
      <c r="P955" s="182"/>
      <c r="Q955" s="182"/>
      <c r="R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K956" s="182"/>
      <c r="L956" s="182"/>
      <c r="M956" s="182"/>
      <c r="N956" s="182"/>
      <c r="O956" s="182"/>
      <c r="P956" s="182"/>
      <c r="Q956" s="182"/>
      <c r="R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K957" s="182"/>
      <c r="L957" s="182"/>
      <c r="M957" s="182"/>
      <c r="N957" s="182"/>
      <c r="O957" s="182"/>
      <c r="P957" s="182"/>
      <c r="Q957" s="182"/>
      <c r="R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K958" s="182"/>
      <c r="L958" s="182"/>
      <c r="M958" s="182"/>
      <c r="N958" s="182"/>
      <c r="O958" s="182"/>
      <c r="P958" s="182"/>
      <c r="Q958" s="182"/>
      <c r="R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K959" s="182"/>
      <c r="L959" s="182"/>
      <c r="M959" s="182"/>
      <c r="N959" s="182"/>
      <c r="O959" s="182"/>
      <c r="P959" s="182"/>
      <c r="Q959" s="182"/>
      <c r="R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K960" s="182"/>
      <c r="L960" s="182"/>
      <c r="M960" s="182"/>
      <c r="N960" s="182"/>
      <c r="O960" s="182"/>
      <c r="P960" s="182"/>
      <c r="Q960" s="182"/>
      <c r="R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K961" s="182"/>
      <c r="L961" s="182"/>
      <c r="M961" s="182"/>
      <c r="N961" s="182"/>
      <c r="O961" s="182"/>
      <c r="P961" s="182"/>
      <c r="Q961" s="182"/>
      <c r="R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K962" s="182"/>
      <c r="L962" s="182"/>
      <c r="M962" s="182"/>
      <c r="N962" s="182"/>
      <c r="O962" s="182"/>
      <c r="P962" s="182"/>
      <c r="Q962" s="182"/>
      <c r="R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K963" s="182"/>
      <c r="L963" s="182"/>
      <c r="M963" s="182"/>
      <c r="N963" s="182"/>
      <c r="O963" s="182"/>
      <c r="P963" s="182"/>
      <c r="Q963" s="182"/>
      <c r="R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K964" s="182"/>
      <c r="L964" s="182"/>
      <c r="M964" s="182"/>
      <c r="N964" s="182"/>
      <c r="O964" s="182"/>
      <c r="P964" s="182"/>
      <c r="Q964" s="182"/>
      <c r="R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K965" s="182"/>
      <c r="L965" s="182"/>
      <c r="M965" s="182"/>
      <c r="N965" s="182"/>
      <c r="O965" s="182"/>
      <c r="P965" s="182"/>
      <c r="Q965" s="182"/>
      <c r="R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K966" s="182"/>
      <c r="L966" s="182"/>
      <c r="M966" s="182"/>
      <c r="N966" s="182"/>
      <c r="O966" s="182"/>
      <c r="P966" s="182"/>
      <c r="Q966" s="182"/>
      <c r="R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K967" s="182"/>
      <c r="L967" s="182"/>
      <c r="M967" s="182"/>
      <c r="N967" s="182"/>
      <c r="O967" s="182"/>
      <c r="P967" s="182"/>
      <c r="Q967" s="182"/>
      <c r="R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K968" s="182"/>
      <c r="L968" s="182"/>
      <c r="M968" s="182"/>
      <c r="N968" s="182"/>
      <c r="O968" s="182"/>
      <c r="P968" s="182"/>
      <c r="Q968" s="182"/>
      <c r="R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K969" s="182"/>
      <c r="L969" s="182"/>
      <c r="M969" s="182"/>
      <c r="N969" s="182"/>
      <c r="O969" s="182"/>
      <c r="P969" s="182"/>
      <c r="Q969" s="182"/>
      <c r="R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K970" s="182"/>
      <c r="L970" s="182"/>
      <c r="M970" s="182"/>
      <c r="N970" s="182"/>
      <c r="O970" s="182"/>
      <c r="P970" s="182"/>
      <c r="Q970" s="182"/>
      <c r="R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K971" s="182"/>
      <c r="L971" s="182"/>
      <c r="M971" s="182"/>
      <c r="N971" s="182"/>
      <c r="O971" s="182"/>
      <c r="P971" s="182"/>
      <c r="Q971" s="182"/>
      <c r="R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K972" s="182"/>
      <c r="L972" s="182"/>
      <c r="M972" s="182"/>
      <c r="N972" s="182"/>
      <c r="O972" s="182"/>
      <c r="P972" s="182"/>
      <c r="Q972" s="182"/>
      <c r="R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K973" s="182"/>
      <c r="L973" s="182"/>
      <c r="M973" s="182"/>
      <c r="N973" s="182"/>
      <c r="O973" s="182"/>
      <c r="P973" s="182"/>
      <c r="Q973" s="182"/>
      <c r="R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K974" s="182"/>
      <c r="L974" s="182"/>
      <c r="M974" s="182"/>
      <c r="N974" s="182"/>
      <c r="O974" s="182"/>
      <c r="P974" s="182"/>
      <c r="Q974" s="182"/>
      <c r="R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K975" s="182"/>
      <c r="L975" s="182"/>
      <c r="M975" s="182"/>
      <c r="N975" s="182"/>
      <c r="O975" s="182"/>
      <c r="P975" s="182"/>
      <c r="Q975" s="182"/>
      <c r="R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K976" s="182"/>
      <c r="L976" s="182"/>
      <c r="M976" s="182"/>
      <c r="N976" s="182"/>
      <c r="O976" s="182"/>
      <c r="P976" s="182"/>
      <c r="Q976" s="182"/>
      <c r="R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K977" s="182"/>
      <c r="L977" s="182"/>
      <c r="M977" s="182"/>
      <c r="N977" s="182"/>
      <c r="O977" s="182"/>
      <c r="P977" s="182"/>
      <c r="Q977" s="182"/>
      <c r="R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K978" s="182"/>
      <c r="L978" s="182"/>
      <c r="M978" s="182"/>
      <c r="N978" s="182"/>
      <c r="O978" s="182"/>
      <c r="P978" s="182"/>
      <c r="Q978" s="182"/>
      <c r="R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K979" s="182"/>
      <c r="L979" s="182"/>
      <c r="M979" s="182"/>
      <c r="N979" s="182"/>
      <c r="O979" s="182"/>
      <c r="P979" s="182"/>
      <c r="Q979" s="182"/>
      <c r="R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K980" s="182"/>
      <c r="L980" s="182"/>
      <c r="M980" s="182"/>
      <c r="N980" s="182"/>
      <c r="O980" s="182"/>
      <c r="P980" s="182"/>
      <c r="Q980" s="182"/>
      <c r="R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K981" s="182"/>
      <c r="L981" s="182"/>
      <c r="M981" s="182"/>
      <c r="N981" s="182"/>
      <c r="O981" s="182"/>
      <c r="P981" s="182"/>
      <c r="Q981" s="182"/>
      <c r="R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K982" s="182"/>
      <c r="L982" s="182"/>
      <c r="M982" s="182"/>
      <c r="N982" s="182"/>
      <c r="O982" s="182"/>
      <c r="P982" s="182"/>
      <c r="Q982" s="182"/>
      <c r="R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K983" s="182"/>
      <c r="L983" s="182"/>
      <c r="M983" s="182"/>
      <c r="N983" s="182"/>
      <c r="O983" s="182"/>
      <c r="P983" s="182"/>
      <c r="Q983" s="182"/>
      <c r="R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K984" s="182"/>
      <c r="L984" s="182"/>
      <c r="M984" s="182"/>
      <c r="N984" s="182"/>
      <c r="O984" s="182"/>
      <c r="P984" s="182"/>
      <c r="Q984" s="182"/>
      <c r="R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K985" s="182"/>
      <c r="L985" s="182"/>
      <c r="M985" s="182"/>
      <c r="N985" s="182"/>
      <c r="O985" s="182"/>
      <c r="P985" s="182"/>
      <c r="Q985" s="182"/>
      <c r="R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K986" s="182"/>
      <c r="L986" s="182"/>
      <c r="M986" s="182"/>
      <c r="N986" s="182"/>
      <c r="O986" s="182"/>
      <c r="P986" s="182"/>
      <c r="Q986" s="182"/>
      <c r="R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K987" s="182"/>
      <c r="L987" s="182"/>
      <c r="M987" s="182"/>
      <c r="N987" s="182"/>
      <c r="O987" s="182"/>
      <c r="P987" s="182"/>
      <c r="Q987" s="182"/>
      <c r="R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K988" s="182"/>
      <c r="L988" s="182"/>
      <c r="M988" s="182"/>
      <c r="N988" s="182"/>
      <c r="O988" s="182"/>
      <c r="P988" s="182"/>
      <c r="Q988" s="182"/>
      <c r="R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K989" s="182"/>
      <c r="L989" s="182"/>
      <c r="M989" s="182"/>
      <c r="N989" s="182"/>
      <c r="O989" s="182"/>
      <c r="P989" s="182"/>
      <c r="Q989" s="182"/>
      <c r="R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K990" s="182"/>
      <c r="L990" s="182"/>
      <c r="M990" s="182"/>
      <c r="N990" s="182"/>
      <c r="O990" s="182"/>
      <c r="P990" s="182"/>
      <c r="Q990" s="182"/>
      <c r="R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K991" s="182"/>
      <c r="L991" s="182"/>
      <c r="M991" s="182"/>
      <c r="N991" s="182"/>
      <c r="O991" s="182"/>
      <c r="P991" s="182"/>
      <c r="Q991" s="182"/>
      <c r="R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K992" s="182"/>
      <c r="L992" s="182"/>
      <c r="M992" s="182"/>
      <c r="N992" s="182"/>
      <c r="O992" s="182"/>
      <c r="P992" s="182"/>
      <c r="Q992" s="182"/>
      <c r="R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K993" s="182"/>
      <c r="L993" s="182"/>
      <c r="M993" s="182"/>
      <c r="N993" s="182"/>
      <c r="O993" s="182"/>
      <c r="P993" s="182"/>
      <c r="Q993" s="182"/>
      <c r="R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K994" s="182"/>
      <c r="L994" s="182"/>
      <c r="M994" s="182"/>
      <c r="N994" s="182"/>
      <c r="O994" s="182"/>
      <c r="P994" s="182"/>
      <c r="Q994" s="182"/>
      <c r="R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K995" s="182"/>
      <c r="L995" s="182"/>
      <c r="M995" s="182"/>
      <c r="N995" s="182"/>
      <c r="O995" s="182"/>
      <c r="P995" s="182"/>
      <c r="Q995" s="182"/>
      <c r="R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K996" s="182"/>
      <c r="L996" s="182"/>
      <c r="M996" s="182"/>
      <c r="N996" s="182"/>
      <c r="O996" s="182"/>
      <c r="P996" s="182"/>
      <c r="Q996" s="182"/>
      <c r="R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K997" s="182"/>
      <c r="L997" s="182"/>
      <c r="M997" s="182"/>
      <c r="N997" s="182"/>
      <c r="O997" s="182"/>
      <c r="P997" s="182"/>
      <c r="Q997" s="182"/>
      <c r="R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K998" s="182"/>
      <c r="L998" s="182"/>
      <c r="M998" s="182"/>
      <c r="N998" s="182"/>
      <c r="O998" s="182"/>
      <c r="P998" s="182"/>
      <c r="Q998" s="182"/>
      <c r="R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K999" s="182"/>
      <c r="L999" s="182"/>
      <c r="M999" s="182"/>
      <c r="N999" s="182"/>
      <c r="O999" s="182"/>
      <c r="P999" s="182"/>
      <c r="Q999" s="182"/>
      <c r="R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K1000" s="182"/>
      <c r="L1000" s="182"/>
      <c r="M1000" s="182"/>
      <c r="N1000" s="182"/>
      <c r="O1000" s="182"/>
      <c r="P1000" s="182"/>
      <c r="Q1000" s="182"/>
      <c r="R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K1001" s="182"/>
      <c r="L1001" s="182"/>
      <c r="M1001" s="182"/>
      <c r="N1001" s="182"/>
      <c r="O1001" s="182"/>
      <c r="P1001" s="182"/>
      <c r="Q1001" s="182"/>
      <c r="R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K1002" s="182"/>
      <c r="L1002" s="182"/>
      <c r="M1002" s="182"/>
      <c r="N1002" s="182"/>
      <c r="O1002" s="182"/>
      <c r="P1002" s="182"/>
      <c r="Q1002" s="182"/>
      <c r="R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K1003" s="182"/>
      <c r="L1003" s="182"/>
      <c r="M1003" s="182"/>
      <c r="N1003" s="182"/>
      <c r="O1003" s="182"/>
      <c r="P1003" s="182"/>
      <c r="Q1003" s="182"/>
      <c r="R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K1004" s="182"/>
      <c r="L1004" s="182"/>
      <c r="M1004" s="182"/>
      <c r="N1004" s="182"/>
      <c r="O1004" s="182"/>
      <c r="P1004" s="182"/>
      <c r="Q1004" s="182"/>
      <c r="R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K1005" s="182"/>
      <c r="L1005" s="182"/>
      <c r="M1005" s="182"/>
      <c r="N1005" s="182"/>
      <c r="O1005" s="182"/>
      <c r="P1005" s="182"/>
      <c r="Q1005" s="182"/>
      <c r="R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K1006" s="182"/>
      <c r="L1006" s="182"/>
      <c r="M1006" s="182"/>
      <c r="N1006" s="182"/>
      <c r="O1006" s="182"/>
      <c r="P1006" s="182"/>
      <c r="Q1006" s="182"/>
      <c r="R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K1007" s="182"/>
      <c r="L1007" s="182"/>
      <c r="M1007" s="182"/>
      <c r="N1007" s="182"/>
      <c r="O1007" s="182"/>
      <c r="P1007" s="182"/>
      <c r="Q1007" s="182"/>
      <c r="R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K1008" s="182"/>
      <c r="L1008" s="182"/>
      <c r="M1008" s="182"/>
      <c r="N1008" s="182"/>
      <c r="O1008" s="182"/>
      <c r="P1008" s="182"/>
      <c r="Q1008" s="182"/>
      <c r="R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K1009" s="182"/>
      <c r="L1009" s="182"/>
      <c r="M1009" s="182"/>
      <c r="N1009" s="182"/>
      <c r="O1009" s="182"/>
      <c r="P1009" s="182"/>
      <c r="Q1009" s="182"/>
      <c r="R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K1010" s="182"/>
      <c r="L1010" s="182"/>
      <c r="M1010" s="182"/>
      <c r="N1010" s="182"/>
      <c r="O1010" s="182"/>
      <c r="P1010" s="182"/>
      <c r="Q1010" s="182"/>
      <c r="R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K1011" s="182"/>
      <c r="L1011" s="182"/>
      <c r="M1011" s="182"/>
      <c r="N1011" s="182"/>
      <c r="O1011" s="182"/>
      <c r="P1011" s="182"/>
      <c r="Q1011" s="182"/>
      <c r="R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K1012" s="182"/>
      <c r="L1012" s="182"/>
      <c r="M1012" s="182"/>
      <c r="N1012" s="182"/>
      <c r="O1012" s="182"/>
      <c r="P1012" s="182"/>
      <c r="Q1012" s="182"/>
      <c r="R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K1013" s="182"/>
      <c r="L1013" s="182"/>
      <c r="M1013" s="182"/>
      <c r="N1013" s="182"/>
      <c r="O1013" s="182"/>
      <c r="P1013" s="182"/>
      <c r="Q1013" s="182"/>
      <c r="R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K1014" s="182"/>
      <c r="L1014" s="182"/>
      <c r="M1014" s="182"/>
      <c r="N1014" s="182"/>
      <c r="O1014" s="182"/>
      <c r="P1014" s="182"/>
      <c r="Q1014" s="182"/>
      <c r="R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K1015" s="182"/>
      <c r="L1015" s="182"/>
      <c r="M1015" s="182"/>
      <c r="N1015" s="182"/>
      <c r="O1015" s="182"/>
      <c r="P1015" s="182"/>
      <c r="Q1015" s="182"/>
      <c r="R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K1016" s="182"/>
      <c r="L1016" s="182"/>
      <c r="M1016" s="182"/>
      <c r="N1016" s="182"/>
      <c r="O1016" s="182"/>
      <c r="P1016" s="182"/>
      <c r="Q1016" s="182"/>
      <c r="R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9"/>
      <c r="EH2" s="509"/>
      <c r="EI2" s="509"/>
      <c r="EJ2" s="509"/>
      <c r="EK2" s="509"/>
      <c r="EL2" s="509"/>
      <c r="EM2" s="509"/>
      <c r="EN2" s="509"/>
      <c r="EO2" s="509"/>
      <c r="EP2" s="509"/>
      <c r="EQ2" s="509"/>
      <c r="ER2" s="509"/>
      <c r="ES2" s="509"/>
      <c r="ET2" s="509"/>
      <c r="EU2" s="509"/>
      <c r="EV2" s="509"/>
      <c r="EW2" s="509"/>
      <c r="EX2" s="509"/>
      <c r="EY2" s="509"/>
      <c r="EZ2" s="509"/>
      <c r="FA2" s="509"/>
      <c r="FB2" s="509"/>
      <c r="FC2" s="509"/>
      <c r="FD2" s="509"/>
      <c r="FE2" s="509"/>
      <c r="FF2" s="509"/>
      <c r="FG2" s="509"/>
      <c r="FH2" s="509"/>
      <c r="FI2" s="509"/>
      <c r="FJ2" s="509"/>
      <c r="FK2" s="509"/>
      <c r="FL2" s="509"/>
      <c r="FM2" s="510" t="s">
        <v>220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10" t="s">
        <v>220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11" t="s">
        <v>220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12" t="s">
        <v>221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9"/>
      <c r="EH3" s="509"/>
      <c r="EI3" s="509"/>
      <c r="EJ3" s="509"/>
      <c r="EK3" s="509"/>
      <c r="EL3" s="509"/>
      <c r="EM3" s="509"/>
      <c r="EN3" s="509"/>
      <c r="EO3" s="509"/>
      <c r="EP3" s="509"/>
      <c r="EQ3" s="509"/>
      <c r="ER3" s="509"/>
      <c r="ES3" s="509"/>
      <c r="ET3" s="509"/>
      <c r="EU3" s="509"/>
      <c r="EV3" s="509"/>
      <c r="EW3" s="509"/>
      <c r="EX3" s="509"/>
      <c r="EY3" s="509"/>
      <c r="EZ3" s="509"/>
      <c r="FA3" s="509"/>
      <c r="FB3" s="509"/>
      <c r="FC3" s="509"/>
      <c r="FD3" s="509"/>
      <c r="FE3" s="509"/>
      <c r="FF3" s="509"/>
      <c r="FG3" s="509"/>
      <c r="FH3" s="509"/>
      <c r="FI3" s="509"/>
      <c r="FJ3" s="509"/>
      <c r="FK3" s="509"/>
      <c r="FL3" s="509"/>
      <c r="FM3" s="309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9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9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13" t="s">
        <v>222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14" t="s">
        <v>223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15" t="s">
        <v>224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6" t="s">
        <v>59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7" t="s">
        <v>84</v>
      </c>
      <c r="CE4" s="124"/>
      <c r="CF4" s="124"/>
      <c r="CG4" s="124"/>
      <c r="CH4" s="124"/>
      <c r="CI4" s="124"/>
      <c r="CJ4" s="124"/>
      <c r="CK4" s="124"/>
      <c r="CL4" s="125"/>
      <c r="CM4" s="518" t="s">
        <v>225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9" t="s">
        <v>226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20" t="s">
        <v>227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21" t="s">
        <v>228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22" t="s">
        <v>229</v>
      </c>
      <c r="FK4" s="124"/>
      <c r="FL4" s="125"/>
      <c r="FM4" s="519" t="s">
        <v>230</v>
      </c>
      <c r="FN4" s="124"/>
      <c r="FO4" s="124"/>
      <c r="FP4" s="124"/>
      <c r="FQ4" s="125"/>
      <c r="FR4" s="513" t="s">
        <v>231</v>
      </c>
      <c r="FS4" s="124"/>
      <c r="FT4" s="124"/>
      <c r="FU4" s="124"/>
      <c r="FV4" s="125"/>
      <c r="FW4" s="520" t="s">
        <v>232</v>
      </c>
      <c r="FX4" s="124"/>
      <c r="FY4" s="124"/>
      <c r="FZ4" s="124"/>
      <c r="GA4" s="125"/>
      <c r="GB4" s="514" t="s">
        <v>233</v>
      </c>
      <c r="GC4" s="124"/>
      <c r="GD4" s="124"/>
      <c r="GE4" s="124"/>
      <c r="GF4" s="125"/>
      <c r="GG4" s="523" t="s">
        <v>234</v>
      </c>
      <c r="GH4" s="124"/>
      <c r="GI4" s="124"/>
      <c r="GJ4" s="124"/>
      <c r="GK4" s="125"/>
      <c r="GL4" s="522" t="s">
        <v>235</v>
      </c>
      <c r="GM4" s="124"/>
      <c r="GN4" s="124"/>
      <c r="GO4" s="124"/>
      <c r="GP4" s="125"/>
      <c r="GQ4" s="524" t="s">
        <v>236</v>
      </c>
      <c r="GR4" s="124"/>
      <c r="GS4" s="124"/>
      <c r="GT4" s="124"/>
      <c r="GU4" s="125"/>
      <c r="GV4" s="525" t="s">
        <v>237</v>
      </c>
      <c r="GW4" s="124"/>
      <c r="GX4" s="124"/>
      <c r="GY4" s="124"/>
      <c r="GZ4" s="125"/>
      <c r="HA4" s="521" t="s">
        <v>238</v>
      </c>
      <c r="HB4" s="124"/>
      <c r="HC4" s="124"/>
      <c r="HD4" s="124"/>
      <c r="HE4" s="125"/>
      <c r="HF4" s="520" t="s">
        <v>239</v>
      </c>
      <c r="HG4" s="124"/>
      <c r="HH4" s="124"/>
      <c r="HI4" s="124"/>
      <c r="HJ4" s="125"/>
      <c r="HK4" s="525" t="s">
        <v>240</v>
      </c>
      <c r="HL4" s="124"/>
      <c r="HM4" s="124"/>
      <c r="HN4" s="124"/>
      <c r="HO4" s="125"/>
      <c r="HP4" s="522" t="s">
        <v>174</v>
      </c>
      <c r="HQ4" s="124"/>
      <c r="HR4" s="124"/>
      <c r="HS4" s="124"/>
      <c r="HT4" s="125"/>
      <c r="HU4" s="526" t="s">
        <v>241</v>
      </c>
      <c r="HV4" s="124"/>
      <c r="HW4" s="124"/>
      <c r="HX4" s="124"/>
      <c r="HY4" s="125"/>
      <c r="HZ4" s="527" t="s">
        <v>242</v>
      </c>
      <c r="IA4" s="124"/>
      <c r="IB4" s="124"/>
      <c r="IC4" s="124"/>
      <c r="ID4" s="125"/>
      <c r="IE4" s="517" t="s">
        <v>243</v>
      </c>
      <c r="IF4" s="124"/>
      <c r="IG4" s="124"/>
      <c r="IH4" s="124"/>
      <c r="II4" s="125"/>
      <c r="IJ4" s="528" t="s">
        <v>244</v>
      </c>
      <c r="IK4" s="124"/>
      <c r="IL4" s="124"/>
      <c r="IM4" s="124"/>
      <c r="IN4" s="125"/>
      <c r="IO4" s="529" t="s">
        <v>245</v>
      </c>
      <c r="IP4" s="124"/>
      <c r="IQ4" s="124"/>
      <c r="IR4" s="124"/>
      <c r="IS4" s="125"/>
      <c r="IT4" s="529" t="s">
        <v>246</v>
      </c>
      <c r="IU4" s="124"/>
      <c r="IV4" s="124"/>
      <c r="IW4" s="124"/>
      <c r="IX4" s="125"/>
      <c r="IY4" s="513" t="s">
        <v>247</v>
      </c>
      <c r="IZ4" s="124"/>
      <c r="JA4" s="124"/>
      <c r="JB4" s="124"/>
      <c r="JC4" s="125"/>
      <c r="JD4" s="526" t="s">
        <v>248</v>
      </c>
      <c r="JE4" s="124"/>
      <c r="JF4" s="124"/>
      <c r="JG4" s="124"/>
      <c r="JH4" s="125"/>
      <c r="JI4" s="522" t="s">
        <v>249</v>
      </c>
      <c r="JJ4" s="124"/>
      <c r="JK4" s="124"/>
      <c r="JL4" s="124"/>
      <c r="JM4" s="125"/>
      <c r="JN4" s="525" t="s">
        <v>170</v>
      </c>
      <c r="JO4" s="124"/>
      <c r="JP4" s="124"/>
      <c r="JQ4" s="124"/>
      <c r="JR4" s="125"/>
      <c r="JS4" s="523" t="s">
        <v>171</v>
      </c>
      <c r="JT4" s="124"/>
      <c r="JU4" s="124"/>
      <c r="JV4" s="124"/>
      <c r="JW4" s="125"/>
      <c r="JX4" s="521" t="s">
        <v>250</v>
      </c>
      <c r="JY4" s="124"/>
      <c r="JZ4" s="124"/>
      <c r="KA4" s="124"/>
      <c r="KB4" s="125"/>
      <c r="KC4" s="527" t="s">
        <v>251</v>
      </c>
      <c r="KD4" s="124"/>
      <c r="KE4" s="124"/>
      <c r="KF4" s="124"/>
      <c r="KG4" s="125"/>
      <c r="KH4" s="527" t="s">
        <v>140</v>
      </c>
      <c r="KI4" s="124"/>
      <c r="KJ4" s="124"/>
      <c r="KK4" s="124"/>
      <c r="KL4" s="125"/>
      <c r="KM4" s="527" t="s">
        <v>139</v>
      </c>
      <c r="KN4" s="124"/>
      <c r="KO4" s="124"/>
      <c r="KP4" s="124"/>
      <c r="KQ4" s="125"/>
      <c r="KR4" s="527" t="s">
        <v>143</v>
      </c>
      <c r="KS4" s="124"/>
      <c r="KT4" s="124"/>
      <c r="KU4" s="124"/>
      <c r="KV4" s="125"/>
      <c r="KW4" s="527" t="s">
        <v>124</v>
      </c>
      <c r="KX4" s="124"/>
      <c r="KY4" s="124"/>
      <c r="KZ4" s="124"/>
      <c r="LA4" s="125"/>
      <c r="LB4" s="527" t="s">
        <v>252</v>
      </c>
      <c r="LC4" s="124"/>
      <c r="LD4" s="124"/>
      <c r="LE4" s="124"/>
      <c r="LF4" s="125"/>
      <c r="LG4" s="530"/>
      <c r="LH4" s="530"/>
      <c r="LI4" s="530"/>
      <c r="LJ4" s="530"/>
      <c r="LK4" s="530"/>
      <c r="LL4" s="530"/>
      <c r="LM4" s="531"/>
    </row>
    <row r="5" ht="42.0" customHeight="1">
      <c r="A5" s="532" t="s">
        <v>253</v>
      </c>
      <c r="B5" s="533" t="s">
        <v>254</v>
      </c>
      <c r="C5" s="533" t="s">
        <v>255</v>
      </c>
      <c r="D5" s="533" t="s">
        <v>256</v>
      </c>
      <c r="E5" s="533" t="s">
        <v>257</v>
      </c>
      <c r="F5" s="533" t="s">
        <v>13</v>
      </c>
      <c r="G5" s="533" t="s">
        <v>258</v>
      </c>
      <c r="H5" s="533" t="s">
        <v>16</v>
      </c>
      <c r="I5" s="533" t="s">
        <v>8</v>
      </c>
      <c r="J5" s="533" t="s">
        <v>259</v>
      </c>
      <c r="K5" s="533" t="s">
        <v>260</v>
      </c>
      <c r="L5" s="533" t="s">
        <v>261</v>
      </c>
      <c r="M5" s="533" t="s">
        <v>262</v>
      </c>
      <c r="N5" s="533" t="s">
        <v>263</v>
      </c>
      <c r="O5" s="533" t="s">
        <v>264</v>
      </c>
      <c r="P5" s="533" t="s">
        <v>99</v>
      </c>
      <c r="Q5" s="533" t="s">
        <v>265</v>
      </c>
      <c r="R5" s="533" t="s">
        <v>266</v>
      </c>
      <c r="S5" s="533" t="s">
        <v>267</v>
      </c>
      <c r="T5" s="533" t="s">
        <v>268</v>
      </c>
      <c r="U5" s="533" t="s">
        <v>269</v>
      </c>
      <c r="V5" s="534" t="s">
        <v>17</v>
      </c>
      <c r="W5" s="535" t="s">
        <v>270</v>
      </c>
      <c r="X5" s="536" t="s">
        <v>271</v>
      </c>
      <c r="Y5" s="537" t="s">
        <v>272</v>
      </c>
      <c r="Z5" s="537" t="s">
        <v>273</v>
      </c>
      <c r="AA5" s="537" t="s">
        <v>274</v>
      </c>
      <c r="AB5" s="537" t="s">
        <v>275</v>
      </c>
      <c r="AC5" s="537" t="s">
        <v>276</v>
      </c>
      <c r="AD5" s="537" t="s">
        <v>277</v>
      </c>
      <c r="AE5" s="537" t="s">
        <v>278</v>
      </c>
      <c r="AF5" s="537" t="s">
        <v>279</v>
      </c>
      <c r="AG5" s="537" t="s">
        <v>47</v>
      </c>
      <c r="AH5" s="537" t="s">
        <v>280</v>
      </c>
      <c r="AI5" s="538" t="s">
        <v>281</v>
      </c>
      <c r="AJ5" s="538" t="s">
        <v>282</v>
      </c>
      <c r="AK5" s="538" t="s">
        <v>283</v>
      </c>
      <c r="AL5" s="538" t="s">
        <v>284</v>
      </c>
      <c r="AM5" s="538" t="s">
        <v>285</v>
      </c>
      <c r="AN5" s="538" t="s">
        <v>286</v>
      </c>
      <c r="AO5" s="538" t="s">
        <v>287</v>
      </c>
      <c r="AP5" s="538" t="s">
        <v>288</v>
      </c>
      <c r="AQ5" s="538" t="s">
        <v>289</v>
      </c>
      <c r="AR5" s="538" t="s">
        <v>290</v>
      </c>
      <c r="AS5" s="538" t="s">
        <v>291</v>
      </c>
      <c r="AT5" s="538" t="s">
        <v>292</v>
      </c>
      <c r="AU5" s="538" t="s">
        <v>293</v>
      </c>
      <c r="AV5" s="538" t="s">
        <v>294</v>
      </c>
      <c r="AW5" s="538" t="s">
        <v>295</v>
      </c>
      <c r="AX5" s="537" t="s">
        <v>296</v>
      </c>
      <c r="AY5" s="537" t="s">
        <v>297</v>
      </c>
      <c r="AZ5" s="537" t="s">
        <v>22</v>
      </c>
      <c r="BA5" s="537" t="s">
        <v>298</v>
      </c>
      <c r="BB5" s="539" t="s">
        <v>21</v>
      </c>
      <c r="BC5" s="540" t="s">
        <v>299</v>
      </c>
      <c r="BD5" s="541" t="s">
        <v>300</v>
      </c>
      <c r="BE5" s="541" t="s">
        <v>301</v>
      </c>
      <c r="BF5" s="541" t="s">
        <v>302</v>
      </c>
      <c r="BG5" s="541" t="s">
        <v>303</v>
      </c>
      <c r="BH5" s="541" t="s">
        <v>304</v>
      </c>
      <c r="BI5" s="541" t="s">
        <v>41</v>
      </c>
      <c r="BJ5" s="541" t="s">
        <v>42</v>
      </c>
      <c r="BK5" s="541" t="s">
        <v>305</v>
      </c>
      <c r="BL5" s="542" t="s">
        <v>306</v>
      </c>
      <c r="BM5" s="541" t="s">
        <v>54</v>
      </c>
      <c r="BN5" s="541" t="s">
        <v>307</v>
      </c>
      <c r="BO5" s="543" t="s">
        <v>308</v>
      </c>
      <c r="BP5" s="544" t="s">
        <v>309</v>
      </c>
      <c r="BQ5" s="545" t="s">
        <v>310</v>
      </c>
      <c r="BR5" s="545" t="s">
        <v>311</v>
      </c>
      <c r="BS5" s="545" t="s">
        <v>312</v>
      </c>
      <c r="BT5" s="545" t="s">
        <v>313</v>
      </c>
      <c r="BU5" s="545" t="s">
        <v>314</v>
      </c>
      <c r="BV5" s="545" t="s">
        <v>315</v>
      </c>
      <c r="BW5" s="545" t="s">
        <v>316</v>
      </c>
      <c r="BX5" s="546" t="s">
        <v>317</v>
      </c>
      <c r="BY5" s="546" t="s">
        <v>318</v>
      </c>
      <c r="BZ5" s="546" t="s">
        <v>83</v>
      </c>
      <c r="CA5" s="546" t="s">
        <v>66</v>
      </c>
      <c r="CB5" s="545" t="s">
        <v>319</v>
      </c>
      <c r="CC5" s="547" t="s">
        <v>320</v>
      </c>
      <c r="CD5" s="548" t="s">
        <v>40</v>
      </c>
      <c r="CE5" s="549" t="s">
        <v>321</v>
      </c>
      <c r="CF5" s="549" t="s">
        <v>322</v>
      </c>
      <c r="CG5" s="549" t="s">
        <v>323</v>
      </c>
      <c r="CH5" s="549" t="s">
        <v>324</v>
      </c>
      <c r="CI5" s="549" t="s">
        <v>325</v>
      </c>
      <c r="CJ5" s="549" t="s">
        <v>326</v>
      </c>
      <c r="CK5" s="550" t="s">
        <v>327</v>
      </c>
      <c r="CL5" s="551" t="s">
        <v>328</v>
      </c>
      <c r="CM5" s="552" t="s">
        <v>28</v>
      </c>
      <c r="CN5" s="553" t="s">
        <v>329</v>
      </c>
      <c r="CO5" s="553" t="s">
        <v>309</v>
      </c>
      <c r="CP5" s="553" t="s">
        <v>330</v>
      </c>
      <c r="CQ5" s="553" t="s">
        <v>31</v>
      </c>
      <c r="CR5" s="553" t="s">
        <v>331</v>
      </c>
      <c r="CS5" s="553" t="s">
        <v>332</v>
      </c>
      <c r="CT5" s="553" t="s">
        <v>33</v>
      </c>
      <c r="CU5" s="553" t="s">
        <v>333</v>
      </c>
      <c r="CV5" s="553" t="s">
        <v>309</v>
      </c>
      <c r="CW5" s="553" t="s">
        <v>330</v>
      </c>
      <c r="CX5" s="553" t="s">
        <v>31</v>
      </c>
      <c r="CY5" s="554" t="s">
        <v>331</v>
      </c>
      <c r="CZ5" s="555" t="s">
        <v>334</v>
      </c>
      <c r="DA5" s="556" t="s">
        <v>28</v>
      </c>
      <c r="DB5" s="557" t="s">
        <v>46</v>
      </c>
      <c r="DC5" s="557" t="s">
        <v>309</v>
      </c>
      <c r="DD5" s="557" t="s">
        <v>330</v>
      </c>
      <c r="DE5" s="557" t="s">
        <v>31</v>
      </c>
      <c r="DF5" s="557" t="s">
        <v>335</v>
      </c>
      <c r="DG5" s="557" t="s">
        <v>332</v>
      </c>
      <c r="DH5" s="557" t="s">
        <v>33</v>
      </c>
      <c r="DI5" s="557" t="s">
        <v>46</v>
      </c>
      <c r="DJ5" s="557" t="s">
        <v>309</v>
      </c>
      <c r="DK5" s="557" t="s">
        <v>330</v>
      </c>
      <c r="DL5" s="558" t="s">
        <v>31</v>
      </c>
      <c r="DM5" s="558" t="s">
        <v>336</v>
      </c>
      <c r="DN5" s="559" t="s">
        <v>334</v>
      </c>
      <c r="DO5" s="560" t="s">
        <v>337</v>
      </c>
      <c r="DP5" s="561" t="s">
        <v>272</v>
      </c>
      <c r="DQ5" s="561" t="s">
        <v>274</v>
      </c>
      <c r="DR5" s="561" t="s">
        <v>104</v>
      </c>
      <c r="DS5" s="561" t="s">
        <v>338</v>
      </c>
      <c r="DT5" s="561" t="s">
        <v>339</v>
      </c>
      <c r="DU5" s="562" t="s">
        <v>191</v>
      </c>
      <c r="DV5" s="561" t="s">
        <v>340</v>
      </c>
      <c r="DW5" s="561" t="s">
        <v>341</v>
      </c>
      <c r="DX5" s="562" t="s">
        <v>342</v>
      </c>
      <c r="DY5" s="562" t="s">
        <v>229</v>
      </c>
      <c r="DZ5" s="561" t="s">
        <v>343</v>
      </c>
      <c r="EA5" s="561" t="s">
        <v>102</v>
      </c>
      <c r="EB5" s="561" t="s">
        <v>344</v>
      </c>
      <c r="EC5" s="561" t="s">
        <v>103</v>
      </c>
      <c r="ED5" s="561" t="s">
        <v>345</v>
      </c>
      <c r="EE5" s="561" t="s">
        <v>346</v>
      </c>
      <c r="EF5" s="563" t="s">
        <v>347</v>
      </c>
      <c r="EG5" s="564" t="s">
        <v>348</v>
      </c>
      <c r="EH5" s="564" t="s">
        <v>128</v>
      </c>
      <c r="EI5" s="564" t="s">
        <v>349</v>
      </c>
      <c r="EJ5" s="564" t="s">
        <v>350</v>
      </c>
      <c r="EK5" s="564" t="s">
        <v>206</v>
      </c>
      <c r="EL5" s="564" t="s">
        <v>351</v>
      </c>
      <c r="EM5" s="564" t="s">
        <v>352</v>
      </c>
      <c r="EN5" s="565" t="s">
        <v>353</v>
      </c>
      <c r="EO5" s="565" t="s">
        <v>354</v>
      </c>
      <c r="EP5" s="565" t="s">
        <v>355</v>
      </c>
      <c r="EQ5" s="565" t="s">
        <v>356</v>
      </c>
      <c r="ER5" s="565" t="s">
        <v>357</v>
      </c>
      <c r="ES5" s="565" t="s">
        <v>211</v>
      </c>
      <c r="ET5" s="565" t="s">
        <v>358</v>
      </c>
      <c r="EU5" s="566" t="s">
        <v>359</v>
      </c>
      <c r="EV5" s="566" t="s">
        <v>135</v>
      </c>
      <c r="EW5" s="566" t="s">
        <v>360</v>
      </c>
      <c r="EX5" s="566" t="s">
        <v>361</v>
      </c>
      <c r="EY5" s="566" t="s">
        <v>362</v>
      </c>
      <c r="EZ5" s="566" t="s">
        <v>136</v>
      </c>
      <c r="FA5" s="566" t="s">
        <v>363</v>
      </c>
      <c r="FB5" s="566" t="s">
        <v>364</v>
      </c>
      <c r="FC5" s="567" t="s">
        <v>209</v>
      </c>
      <c r="FD5" s="567" t="s">
        <v>365</v>
      </c>
      <c r="FE5" s="567" t="s">
        <v>366</v>
      </c>
      <c r="FF5" s="567" t="s">
        <v>219</v>
      </c>
      <c r="FG5" s="568" t="s">
        <v>106</v>
      </c>
      <c r="FH5" s="568" t="s">
        <v>134</v>
      </c>
      <c r="FI5" s="568" t="s">
        <v>367</v>
      </c>
      <c r="FJ5" s="569" t="s">
        <v>131</v>
      </c>
      <c r="FK5" s="569" t="s">
        <v>132</v>
      </c>
      <c r="FL5" s="570" t="s">
        <v>130</v>
      </c>
      <c r="FM5" s="571">
        <v>1.0</v>
      </c>
      <c r="FN5" s="557">
        <v>2.0</v>
      </c>
      <c r="FO5" s="557">
        <v>3.0</v>
      </c>
      <c r="FP5" s="557">
        <v>5.0</v>
      </c>
      <c r="FQ5" s="557">
        <v>7.0</v>
      </c>
      <c r="FR5" s="572">
        <v>1.0</v>
      </c>
      <c r="FS5" s="573">
        <v>2.0</v>
      </c>
      <c r="FT5" s="573">
        <v>3.0</v>
      </c>
      <c r="FU5" s="573">
        <v>5.0</v>
      </c>
      <c r="FV5" s="573">
        <v>7.0</v>
      </c>
      <c r="FW5" s="574">
        <v>1.0</v>
      </c>
      <c r="FX5" s="575">
        <v>2.0</v>
      </c>
      <c r="FY5" s="575">
        <v>3.0</v>
      </c>
      <c r="FZ5" s="575">
        <v>5.0</v>
      </c>
      <c r="GA5" s="575">
        <v>7.0</v>
      </c>
      <c r="GB5" s="576">
        <v>1.0</v>
      </c>
      <c r="GC5" s="577">
        <v>2.0</v>
      </c>
      <c r="GD5" s="577">
        <v>3.0</v>
      </c>
      <c r="GE5" s="577">
        <v>5.0</v>
      </c>
      <c r="GF5" s="577">
        <v>7.0</v>
      </c>
      <c r="GG5" s="578">
        <v>1.0</v>
      </c>
      <c r="GH5" s="579">
        <v>2.0</v>
      </c>
      <c r="GI5" s="579">
        <v>3.0</v>
      </c>
      <c r="GJ5" s="579">
        <v>5.0</v>
      </c>
      <c r="GK5" s="579">
        <v>7.0</v>
      </c>
      <c r="GL5" s="580">
        <v>1.0</v>
      </c>
      <c r="GM5" s="581">
        <v>2.0</v>
      </c>
      <c r="GN5" s="581">
        <v>3.0</v>
      </c>
      <c r="GO5" s="581">
        <v>5.0</v>
      </c>
      <c r="GP5" s="581">
        <v>7.0</v>
      </c>
      <c r="GQ5" s="582">
        <v>1.0</v>
      </c>
      <c r="GR5" s="583">
        <v>2.0</v>
      </c>
      <c r="GS5" s="583">
        <v>3.0</v>
      </c>
      <c r="GT5" s="583">
        <v>5.0</v>
      </c>
      <c r="GU5" s="583">
        <v>7.0</v>
      </c>
      <c r="GV5" s="552">
        <v>1.0</v>
      </c>
      <c r="GW5" s="553">
        <v>2.0</v>
      </c>
      <c r="GX5" s="553">
        <v>3.0</v>
      </c>
      <c r="GY5" s="553">
        <v>5.0</v>
      </c>
      <c r="GZ5" s="553">
        <v>7.0</v>
      </c>
      <c r="HA5" s="572">
        <v>1.0</v>
      </c>
      <c r="HB5" s="573">
        <v>2.0</v>
      </c>
      <c r="HC5" s="573">
        <v>3.0</v>
      </c>
      <c r="HD5" s="573">
        <v>5.0</v>
      </c>
      <c r="HE5" s="573">
        <v>7.0</v>
      </c>
      <c r="HF5" s="578">
        <v>1.0</v>
      </c>
      <c r="HG5" s="579">
        <v>2.0</v>
      </c>
      <c r="HH5" s="579">
        <v>3.0</v>
      </c>
      <c r="HI5" s="579">
        <v>5.0</v>
      </c>
      <c r="HJ5" s="579">
        <v>7.0</v>
      </c>
      <c r="HK5" s="584">
        <v>1.0</v>
      </c>
      <c r="HL5" s="553">
        <v>2.0</v>
      </c>
      <c r="HM5" s="553">
        <v>3.0</v>
      </c>
      <c r="HN5" s="553">
        <v>5.0</v>
      </c>
      <c r="HO5" s="553">
        <v>7.0</v>
      </c>
      <c r="HP5" s="585">
        <v>1.0</v>
      </c>
      <c r="HQ5" s="586">
        <v>2.0</v>
      </c>
      <c r="HR5" s="586">
        <v>3.0</v>
      </c>
      <c r="HS5" s="586">
        <v>5.0</v>
      </c>
      <c r="HT5" s="587">
        <v>7.0</v>
      </c>
      <c r="HU5" s="588">
        <v>1.0</v>
      </c>
      <c r="HV5" s="589">
        <v>2.0</v>
      </c>
      <c r="HW5" s="589">
        <v>3.0</v>
      </c>
      <c r="HX5" s="589">
        <v>5.0</v>
      </c>
      <c r="HY5" s="590">
        <v>7.0</v>
      </c>
      <c r="HZ5" s="591">
        <v>1.0</v>
      </c>
      <c r="IA5" s="592">
        <v>2.0</v>
      </c>
      <c r="IB5" s="592">
        <v>3.0</v>
      </c>
      <c r="IC5" s="592">
        <v>5.0</v>
      </c>
      <c r="ID5" s="593">
        <v>7.0</v>
      </c>
      <c r="IE5" s="556">
        <v>1.0</v>
      </c>
      <c r="IF5" s="557">
        <v>2.0</v>
      </c>
      <c r="IG5" s="557">
        <v>3.0</v>
      </c>
      <c r="IH5" s="557">
        <v>5.0</v>
      </c>
      <c r="II5" s="559">
        <v>7.0</v>
      </c>
      <c r="IJ5" s="585">
        <v>1.0</v>
      </c>
      <c r="IK5" s="586">
        <v>2.0</v>
      </c>
      <c r="IL5" s="586">
        <v>3.0</v>
      </c>
      <c r="IM5" s="586">
        <v>5.0</v>
      </c>
      <c r="IN5" s="586">
        <v>7.0</v>
      </c>
      <c r="IO5" s="585">
        <v>1.0</v>
      </c>
      <c r="IP5" s="586">
        <v>2.0</v>
      </c>
      <c r="IQ5" s="586">
        <v>3.0</v>
      </c>
      <c r="IR5" s="586">
        <v>5.0</v>
      </c>
      <c r="IS5" s="586">
        <v>7.0</v>
      </c>
      <c r="IT5" s="585">
        <v>1.0</v>
      </c>
      <c r="IU5" s="586">
        <v>2.0</v>
      </c>
      <c r="IV5" s="586">
        <v>3.0</v>
      </c>
      <c r="IW5" s="586">
        <v>5.0</v>
      </c>
      <c r="IX5" s="586">
        <v>7.0</v>
      </c>
      <c r="IY5" s="594">
        <v>1.0</v>
      </c>
      <c r="IZ5" s="573">
        <v>2.0</v>
      </c>
      <c r="JA5" s="573">
        <v>3.0</v>
      </c>
      <c r="JB5" s="573">
        <v>5.0</v>
      </c>
      <c r="JC5" s="573">
        <v>7.0</v>
      </c>
      <c r="JD5" s="595">
        <v>1.0</v>
      </c>
      <c r="JE5" s="589">
        <v>2.0</v>
      </c>
      <c r="JF5" s="589">
        <v>3.0</v>
      </c>
      <c r="JG5" s="589">
        <v>5.0</v>
      </c>
      <c r="JH5" s="589">
        <v>7.0</v>
      </c>
      <c r="JI5" s="596">
        <v>1.0</v>
      </c>
      <c r="JJ5" s="581">
        <v>2.0</v>
      </c>
      <c r="JK5" s="581">
        <v>3.0</v>
      </c>
      <c r="JL5" s="581">
        <v>5.0</v>
      </c>
      <c r="JM5" s="581">
        <v>7.0</v>
      </c>
      <c r="JN5" s="597">
        <v>1.0</v>
      </c>
      <c r="JO5" s="598">
        <v>2.0</v>
      </c>
      <c r="JP5" s="598">
        <v>3.0</v>
      </c>
      <c r="JQ5" s="598">
        <v>5.0</v>
      </c>
      <c r="JR5" s="598">
        <v>7.0</v>
      </c>
      <c r="JS5" s="599">
        <v>1.0</v>
      </c>
      <c r="JT5" s="579">
        <v>2.0</v>
      </c>
      <c r="JU5" s="579">
        <v>3.0</v>
      </c>
      <c r="JV5" s="579">
        <v>5.0</v>
      </c>
      <c r="JW5" s="600">
        <v>7.0</v>
      </c>
      <c r="JX5" s="572">
        <v>1.0</v>
      </c>
      <c r="JY5" s="573">
        <v>2.0</v>
      </c>
      <c r="JZ5" s="573">
        <v>3.0</v>
      </c>
      <c r="KA5" s="573">
        <v>5.0</v>
      </c>
      <c r="KB5" s="601">
        <v>7.0</v>
      </c>
      <c r="KC5" s="602">
        <v>1.0</v>
      </c>
      <c r="KD5" s="591">
        <v>2.0</v>
      </c>
      <c r="KE5" s="591">
        <v>3.0</v>
      </c>
      <c r="KF5" s="591">
        <v>5.0</v>
      </c>
      <c r="KG5" s="603">
        <v>7.0</v>
      </c>
      <c r="KH5" s="602">
        <v>1.0</v>
      </c>
      <c r="KI5" s="591">
        <v>2.0</v>
      </c>
      <c r="KJ5" s="591">
        <v>3.0</v>
      </c>
      <c r="KK5" s="591">
        <v>5.0</v>
      </c>
      <c r="KL5" s="604">
        <v>7.0</v>
      </c>
      <c r="KM5" s="591">
        <v>1.0</v>
      </c>
      <c r="KN5" s="591">
        <v>2.0</v>
      </c>
      <c r="KO5" s="591">
        <v>3.0</v>
      </c>
      <c r="KP5" s="591">
        <v>5.0</v>
      </c>
      <c r="KQ5" s="593">
        <v>7.0</v>
      </c>
      <c r="KR5" s="602">
        <v>1.0</v>
      </c>
      <c r="KS5" s="592">
        <v>2.0</v>
      </c>
      <c r="KT5" s="592">
        <v>3.0</v>
      </c>
      <c r="KU5" s="592">
        <v>5.0</v>
      </c>
      <c r="KV5" s="605">
        <v>7.0</v>
      </c>
      <c r="KW5" s="591">
        <v>1.0</v>
      </c>
      <c r="KX5" s="592">
        <v>2.0</v>
      </c>
      <c r="KY5" s="592">
        <v>3.0</v>
      </c>
      <c r="KZ5" s="592">
        <v>5.0</v>
      </c>
      <c r="LA5" s="593">
        <v>7.0</v>
      </c>
      <c r="LB5" s="602">
        <v>1.0</v>
      </c>
      <c r="LC5" s="592">
        <v>2.0</v>
      </c>
      <c r="LD5" s="592">
        <v>3.0</v>
      </c>
      <c r="LE5" s="592">
        <v>5.0</v>
      </c>
      <c r="LF5" s="605">
        <v>7.0</v>
      </c>
      <c r="LG5" s="606"/>
      <c r="LH5" s="607"/>
      <c r="LI5" s="607"/>
      <c r="LJ5" s="607"/>
      <c r="LK5" s="607"/>
      <c r="LL5" s="607"/>
      <c r="LM5" s="608"/>
    </row>
    <row r="6">
      <c r="A6" s="28">
        <f>+General!D3</f>
        <v>164668</v>
      </c>
      <c r="B6" s="28" t="str">
        <f>+General!B4</f>
        <v>De Napoli Monte Beatriz</v>
      </c>
      <c r="C6" s="28">
        <f>+General!B5</f>
        <v>77</v>
      </c>
      <c r="D6" s="28" t="str">
        <f>+General!D5</f>
        <v>Mujer</v>
      </c>
      <c r="E6" s="609">
        <f>+General!B6</f>
        <v>167</v>
      </c>
      <c r="F6" s="28">
        <f>+General!G5</f>
        <v>65</v>
      </c>
      <c r="H6" s="609">
        <f>+General!D6</f>
        <v>58.786</v>
      </c>
      <c r="I6" s="610">
        <f>+General!G4</f>
        <v>44200</v>
      </c>
      <c r="J6" s="611">
        <f>+General!D38</f>
        <v>44217</v>
      </c>
      <c r="K6" s="28" t="str">
        <f>+General!B38</f>
        <v>VIVO</v>
      </c>
      <c r="L6" s="28" t="str">
        <f>+General!J38</f>
        <v>PISO</v>
      </c>
      <c r="M6" s="610">
        <f>+General!G3</f>
        <v>44194</v>
      </c>
      <c r="P6" s="28" t="str">
        <f>+General!B39</f>
        <v>NO</v>
      </c>
      <c r="Q6" s="28">
        <f>+General!I5</f>
        <v>38</v>
      </c>
      <c r="R6" s="28">
        <f>+General!J5</f>
        <v>21.2</v>
      </c>
      <c r="S6" s="28">
        <f>+General!I4</f>
        <v>17</v>
      </c>
      <c r="T6" s="28">
        <f>+General!J4</f>
        <v>2632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OTROS</v>
      </c>
      <c r="Y6" s="28" t="str">
        <f>+General!C7</f>
        <v>PSIQUIATRICOS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12">
        <f>+General!B22</f>
        <v>44200</v>
      </c>
      <c r="BD6" s="612">
        <f>+General!H22</f>
        <v>44200</v>
      </c>
      <c r="BE6" s="612">
        <f>+General!J22</f>
        <v>44215</v>
      </c>
      <c r="BF6" s="144">
        <f>IFS(OR(BD6="",BE6=""),"N/C",BE6-BD6=0,"1",AND(ISDATE(BD6),ISDATE(BE6)),BE6-BD6)</f>
        <v>15</v>
      </c>
      <c r="BG6" s="28">
        <f>+General!H43</f>
        <v>15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13</v>
      </c>
      <c r="BM6" s="28" t="str">
        <f>+General!B27</f>
        <v/>
      </c>
      <c r="BN6" s="610" t="str">
        <f>+General!D27</f>
        <v/>
      </c>
      <c r="BO6" s="610" t="str">
        <f>+General!F27</f>
        <v/>
      </c>
      <c r="BP6" s="613">
        <f>+General!B29</f>
        <v>44215</v>
      </c>
      <c r="BQ6" s="28" t="str">
        <f>+General!D29</f>
        <v>PSV</v>
      </c>
      <c r="BR6" s="28">
        <f>+General!F29</f>
        <v>120</v>
      </c>
      <c r="BS6" s="613">
        <f>+General!B30</f>
        <v>44215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>
        <f>+General!I33</f>
        <v>1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11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10" t="str">
        <f>+General!E36</f>
        <v/>
      </c>
      <c r="CN6" s="28" t="str">
        <f>+General!B19</f>
        <v/>
      </c>
      <c r="CO6" s="610" t="str">
        <f>+General!D19</f>
        <v/>
      </c>
      <c r="CP6" s="610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10" t="str">
        <f>+General!D20</f>
        <v/>
      </c>
      <c r="CW6" s="610" t="str">
        <f>+General!F20</f>
        <v/>
      </c>
      <c r="CX6" s="28" t="str">
        <f>+General!H20</f>
        <v/>
      </c>
      <c r="CY6" s="614" t="str">
        <f>+General!J20</f>
        <v/>
      </c>
      <c r="DA6" s="18" t="str">
        <f>+General!B32</f>
        <v/>
      </c>
      <c r="DC6" s="613" t="str">
        <f>+General!D32</f>
        <v/>
      </c>
      <c r="DD6" s="613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10" t="str">
        <f>+General!D31</f>
        <v/>
      </c>
      <c r="DK6" s="610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NAVM</v>
      </c>
      <c r="DQ6" s="28" t="str">
        <f>+General!D40</f>
        <v>SDRA</v>
      </c>
      <c r="DR6" s="28" t="str">
        <f>+General!E40</f>
        <v>PAFI&lt;200</v>
      </c>
      <c r="DS6" s="28" t="str">
        <f>+General!F40</f>
        <v>BNM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15" t="str">
        <f>HLOOKUP("TEP",$DO$6:$EF$6,1,0)</f>
        <v>#N/A</v>
      </c>
      <c r="DP8" s="615" t="str">
        <f>HLOOKUP("IAM",$DO$6:$EF$6,1,0)</f>
        <v>#N/A</v>
      </c>
      <c r="DQ8" s="615" t="str">
        <f>HLOOKUP("PCR",$DO$6:$EF$6,1,0)</f>
        <v>#N/A</v>
      </c>
      <c r="DR8" s="615" t="str">
        <f>HLOOKUP("SDRA",$DO$6:$EF$6,1,0)</f>
        <v>SDRA</v>
      </c>
      <c r="DS8" s="615" t="str">
        <f>HLOOKUP("BNM",$DO$6:$EF$6,1,0)</f>
        <v>BNM</v>
      </c>
      <c r="DT8" s="615" t="str">
        <f>HLOOKUP("PRONO",$DO$6:$EF$6,1,0)</f>
        <v>#N/A</v>
      </c>
      <c r="DU8" s="615" t="str">
        <f>HLOOKUP("DAUCI",$DO$6:$EF$6,1,0)</f>
        <v>#N/A</v>
      </c>
      <c r="DV8" s="615" t="str">
        <f>HLOOKUP("BAROTRAUMA",$DO$6:$EF$6,1,0)</f>
        <v>#N/A</v>
      </c>
      <c r="DW8" s="615" t="str">
        <f>HLOOKUP("FMO",$DO$6:$EF$6,1,0)</f>
        <v>#N/A</v>
      </c>
      <c r="DX8" s="615" t="str">
        <f>HLOOKUP("EOT NO PROGRAMADA",$DO$6:$EF$6,1,0)</f>
        <v>#N/A</v>
      </c>
      <c r="DY8" s="615" t="str">
        <f>HLOOKUP("DELIRIUM",$DO$6:$EF$6,1,0)</f>
        <v>#N/A</v>
      </c>
      <c r="DZ8" s="615" t="str">
        <f>HLOOKUP("PAFI&lt;200",$DO$6:$EF$6,1,0)</f>
        <v>PAFI&lt;200</v>
      </c>
      <c r="EA8" s="615" t="str">
        <f>HLOOKUP("SHOCK/SEPSIS",$DO$6:$EF$6,1,0)</f>
        <v>SHOCK/SEPSIS</v>
      </c>
      <c r="EB8" s="615" t="str">
        <f>HLOOKUP("I RENAL",$DO$6:$EF$6,1,0)</f>
        <v>#N/A</v>
      </c>
      <c r="EC8" s="615" t="str">
        <f>HLOOKUP("NAVM",$DO$6:$EF$6,1,0)</f>
        <v>NAVM</v>
      </c>
      <c r="ED8" s="615" t="str">
        <f>HLOOKUP("LESIONES FACIALES",$DO$6:$EF$6,1,0)</f>
        <v>#N/A</v>
      </c>
      <c r="EE8" s="615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PSIQUIATRICOS</v>
      </c>
      <c r="BA9" s="182" t="str">
        <f>HLOOKUP("ONCOLOGICOS",$X$6:$BB$6,1,0)</f>
        <v>#N/A</v>
      </c>
      <c r="BB9" s="182" t="str">
        <f>HLOOKUP("OTROS",$X$6:$BB$6,1,0)</f>
        <v>OTROS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15" t="str">
        <f>HLOOKUP("TEP",$DO$7:$EF$7,1,0)</f>
        <v>#N/A</v>
      </c>
      <c r="DP9" s="615" t="str">
        <f>HLOOKUP("IAM",$DO$7:$EF$7,1,0)</f>
        <v>#N/A</v>
      </c>
      <c r="DQ9" s="615" t="str">
        <f>HLOOKUP("PCR",$DO$7:$EF$7,1,0)</f>
        <v>#N/A</v>
      </c>
      <c r="DR9" s="615" t="str">
        <f>HLOOKUP("SDRA",$DO$7:$EF$7,1,0)</f>
        <v>#N/A</v>
      </c>
      <c r="DS9" s="615" t="str">
        <f>HLOOKUP("BNM",$DO$7:$EF$7,1,0)</f>
        <v>BNM</v>
      </c>
      <c r="DT9" s="615" t="str">
        <f>HLOOKUP("PRONO",$DO$7:$EF$7,1,0)</f>
        <v>#N/A</v>
      </c>
      <c r="DU9" s="615" t="str">
        <f>HLOOKUP("DAUCI",$DO$7:$EF$7,1,0)</f>
        <v>#N/A</v>
      </c>
      <c r="DV9" s="615" t="str">
        <f>HLOOKUP("BAROTRAUMA",$DO$7:$EF$7,1,0)</f>
        <v>#N/A</v>
      </c>
      <c r="DW9" s="615" t="str">
        <f>HLOOKUP("FMO",$DO$7:$EF$7,1,0)</f>
        <v>#N/A</v>
      </c>
      <c r="DX9" s="615" t="str">
        <f>HLOOKUP("EOT NO PROGRAMADA",$DO$7:$EF$7,1,0)</f>
        <v>#N/A</v>
      </c>
      <c r="DY9" s="615" t="str">
        <f>HLOOKUP("DELIRIUM",$DO$7:$EF$7,1,0)</f>
        <v>DELIRIUM</v>
      </c>
      <c r="DZ9" s="615" t="str">
        <f>HLOOKUP("PAFI&lt;200",$DO$7:$EF$7,1,0)</f>
        <v>PAFI&lt;200</v>
      </c>
      <c r="EA9" s="615" t="str">
        <f>HLOOKUP("SHOCK/SEPSIS",$DO$7:$EF$7,1,0)</f>
        <v>#N/A</v>
      </c>
      <c r="EB9" s="615" t="str">
        <f>HLOOKUP("I RENAL",$DO$7:$EF$7,1,0)</f>
        <v>#N/A</v>
      </c>
      <c r="EC9" s="615" t="str">
        <f>HLOOKUP("NAVM",$DO$7:$EF$7,1,0)</f>
        <v>#N/A</v>
      </c>
      <c r="ED9" s="615" t="str">
        <f>HLOOKUP("LESIONES FACIALES",$DO$7:$EF$7,1,0)</f>
        <v>#N/A</v>
      </c>
      <c r="EE9" s="615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PSIQUIATRICOS</v>
      </c>
      <c r="BA10" s="182" t="str">
        <f t="shared" si="1"/>
        <v>0</v>
      </c>
      <c r="BB10" s="182" t="str">
        <f t="shared" si="1"/>
        <v>OTROS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BNM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PAFI&lt;200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NAVM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DELIRIUM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16">
        <f>+General!D3</f>
        <v>164668</v>
      </c>
      <c r="B12" s="616" t="str">
        <f>+General!B4</f>
        <v>De Napoli Monte Beatriz</v>
      </c>
      <c r="C12" s="616">
        <f>+General!B5</f>
        <v>77</v>
      </c>
      <c r="D12" s="616" t="str">
        <f>+General!D5</f>
        <v>Mujer</v>
      </c>
      <c r="E12" s="617">
        <f>+General!B6</f>
        <v>167</v>
      </c>
      <c r="F12" s="616">
        <f>+General!G5</f>
        <v>65</v>
      </c>
      <c r="G12" s="618">
        <f>IF(AND(E12&lt;&gt;"",F12&lt;&gt;""),F12/(E12/100)^2,"")</f>
        <v>23.30668005</v>
      </c>
      <c r="H12" s="617">
        <f>+General!D6</f>
        <v>58.786</v>
      </c>
      <c r="I12" s="619">
        <f>+General!G4</f>
        <v>44200</v>
      </c>
      <c r="J12" s="620">
        <f>+General!D38</f>
        <v>44217</v>
      </c>
      <c r="K12" s="616" t="str">
        <f>+General!B38</f>
        <v>VIVO</v>
      </c>
      <c r="L12" s="616" t="str">
        <f>IF(L6&lt;&gt;"",L6,"N/C")</f>
        <v>PISO</v>
      </c>
      <c r="M12" s="619">
        <f>+General!G3</f>
        <v>44194</v>
      </c>
      <c r="N12" s="616">
        <f>IFS(OR(M12="",I12=""),"",M12=I12,"1",AND(ISDATE(M12),ISDATE(I12)),I12-M12)</f>
        <v>6</v>
      </c>
      <c r="O12" s="616">
        <f>IFS(AND(I12="",J12=""),"",AND(ISDATE(I12),J12=""),"",J12=I12,"1",AND(ISDATE(I12),ISDATE(J12)),J12-I12)</f>
        <v>17</v>
      </c>
      <c r="P12" s="616" t="str">
        <f>IF(P6="SI","SI","NO")</f>
        <v>NO</v>
      </c>
      <c r="Q12" s="616">
        <f>+General!I5</f>
        <v>38</v>
      </c>
      <c r="R12" s="616">
        <f>+General!J5</f>
        <v>21.2</v>
      </c>
      <c r="S12" s="616">
        <f>+General!I4</f>
        <v>17</v>
      </c>
      <c r="T12" s="616">
        <f>+General!J4</f>
        <v>2632</v>
      </c>
      <c r="U12" s="616">
        <f>+General!J6</f>
        <v>0</v>
      </c>
      <c r="V12" s="616" t="str">
        <f>+General!G6</f>
        <v>MÉDICO</v>
      </c>
      <c r="W12" s="616" t="str">
        <f>IFS(W6&lt;&gt;"",W6,W7&lt;&gt;"",W7,W8&lt;&gt;"",W8,W9&lt;&gt;"",W9,W10="","")</f>
        <v>COVID</v>
      </c>
      <c r="X12" s="616" t="str">
        <f>IF(X10="HTA","SI","NO")</f>
        <v>NO</v>
      </c>
      <c r="Y12" s="616" t="str">
        <f>IF(Y10="IAM","SI","NO")</f>
        <v>NO</v>
      </c>
      <c r="Z12" s="616" t="str">
        <f>IF(Z10="IC","SI","NO")</f>
        <v>NO</v>
      </c>
      <c r="AA12" s="616" t="str">
        <f>IF(AA10="PCR","SI","NO")</f>
        <v>NO</v>
      </c>
      <c r="AB12" s="616" t="str">
        <f>IF(AB10="EPOC","SI","NO")</f>
        <v>NO</v>
      </c>
      <c r="AC12" s="616" t="str">
        <f>IF(AC10="TBQ","SI","NO")</f>
        <v>NO</v>
      </c>
      <c r="AD12" s="616" t="str">
        <f>IF(AD10="ExTBQ","SI","NO")</f>
        <v>NO</v>
      </c>
      <c r="AE12" s="616" t="str">
        <f>IF(AE10="ASMA","SI","NO")</f>
        <v>NO</v>
      </c>
      <c r="AF12" s="616" t="str">
        <f>IF(AF10="OCD","SI","NO")</f>
        <v>NO</v>
      </c>
      <c r="AG12" s="616" t="str">
        <f>IF(AG10="NMN","SI","NO")</f>
        <v>NO</v>
      </c>
      <c r="AH12" s="616" t="str">
        <f>IF(AH10="VMI PREVIA","SI","NO")</f>
        <v>NO</v>
      </c>
      <c r="AI12" s="616" t="str">
        <f>IF(AI10="VNI DOMIC","SI","NO")</f>
        <v>NO</v>
      </c>
      <c r="AJ12" s="616" t="str">
        <f>IF(AJ10="ACV","SI","NO")</f>
        <v>NO</v>
      </c>
      <c r="AK12" s="616" t="str">
        <f>IF(AK10="TEC","SI","NO")</f>
        <v>NO</v>
      </c>
      <c r="AL12" s="616" t="str">
        <f>IF(AL10="ASMA","SI","NO")</f>
        <v>NO</v>
      </c>
      <c r="AM12" s="616" t="str">
        <f>IF(AM10="ENF NEUROM","SI","NO")</f>
        <v>NO</v>
      </c>
      <c r="AN12" s="616" t="str">
        <f>IF(AN10="DBT","SI","NO")</f>
        <v>NO</v>
      </c>
      <c r="AO12" s="616" t="str">
        <f>IF(AO10="OBESIDAD","SI","NO")</f>
        <v>NO</v>
      </c>
      <c r="AP12" s="616" t="str">
        <f>IF(AP10="HIPOTIR","SI","NO")</f>
        <v>NO</v>
      </c>
      <c r="AQ12" s="616" t="str">
        <f>IF(AQ10="HIPERTIR","SI","NO")</f>
        <v>NO</v>
      </c>
      <c r="AR12" s="616" t="str">
        <f>IF(AR10="INSUF RENAL","SI","NO")</f>
        <v>NO</v>
      </c>
      <c r="AS12" s="616" t="str">
        <f>IF(AS10="POP","SI","NO")</f>
        <v>NO</v>
      </c>
      <c r="AT12" s="616" t="str">
        <f>IF(AT10="TBC","SI","NO")</f>
        <v>NO</v>
      </c>
      <c r="AU12" s="616" t="str">
        <f>IF(AU10="HIV","SI","NO")</f>
        <v>NO</v>
      </c>
      <c r="AV12" s="616" t="str">
        <f>IF(AV10="HEPATITIS","SI","NO")</f>
        <v>NO</v>
      </c>
      <c r="AW12" s="616" t="str">
        <f>IF(AW10="CHAGAS","SI","NO")</f>
        <v>NO</v>
      </c>
      <c r="AX12" s="616" t="str">
        <f>IF(AX10="CONSUMO","SI","NO")</f>
        <v>NO</v>
      </c>
      <c r="AY12" s="616" t="str">
        <f>IF(AY10="REUMATOLOGICOS","SI","NO")</f>
        <v>NO</v>
      </c>
      <c r="AZ12" s="616" t="str">
        <f>IF(AZ10="PSIQUIATRICOS","SI","NO")</f>
        <v>SI</v>
      </c>
      <c r="BA12" s="616" t="str">
        <f>IF(BA10="ONCOLOGICOS","SI","NO")</f>
        <v>NO</v>
      </c>
      <c r="BB12" s="616" t="str">
        <f>IF(BB10="OTROS","SI","NO")</f>
        <v>SI</v>
      </c>
      <c r="BC12" s="621">
        <f>IF(ISDATE(BC6),BC6,"N/C")</f>
        <v>44200</v>
      </c>
      <c r="BD12" s="621">
        <f>IF(BD6&lt;&gt;"",BD6,"N/C")</f>
        <v>44200</v>
      </c>
      <c r="BE12" s="621">
        <f>IF(ISDATE(BE6),BE6,"N/C")</f>
        <v>44215</v>
      </c>
      <c r="BF12" s="622">
        <f>IFS(OR(BD6="",BE6=""),"N/C",BE6-BD6=0,"1",AND(ISDATE(BD6),ISDATE(BE6)),BE6-BD6)</f>
        <v>15</v>
      </c>
      <c r="BG12" s="616">
        <f t="shared" ref="BG12:BH12" si="4">IF(BG6&lt;&gt;"",BG6,"N/C")</f>
        <v>15</v>
      </c>
      <c r="BH12" s="616" t="str">
        <f t="shared" si="4"/>
        <v>NMN</v>
      </c>
      <c r="BI12" s="616" t="str">
        <f t="shared" ref="BI12:BJ12" si="5">IF(BI6="SI","SI","NO")</f>
        <v>NO</v>
      </c>
      <c r="BJ12" s="616" t="str">
        <f t="shared" si="5"/>
        <v>NO</v>
      </c>
      <c r="BK12" s="616" t="str">
        <f>IF(BK6&lt;&gt;"",BK6,"N/C")</f>
        <v>N/C</v>
      </c>
      <c r="BL12" s="616">
        <f>+BL6</f>
        <v>13</v>
      </c>
      <c r="BM12" s="616" t="str">
        <f>IF(BM6="SI","SI","NO")</f>
        <v>NO</v>
      </c>
      <c r="BN12" s="616" t="str">
        <f t="shared" ref="BN12:BP12" si="6">IF(ISDATE(BN6),BN6,"N/C")</f>
        <v>N/C</v>
      </c>
      <c r="BO12" s="616" t="str">
        <f t="shared" si="6"/>
        <v>N/C</v>
      </c>
      <c r="BP12" s="623">
        <f t="shared" si="6"/>
        <v>44215</v>
      </c>
      <c r="BQ12" s="616" t="str">
        <f>IF(BQ6&lt;&gt;"",BQ6,"N/C")</f>
        <v>PSV</v>
      </c>
      <c r="BR12" s="616">
        <f>IF(BR6&gt;0,BR6,"N/C")</f>
        <v>120</v>
      </c>
      <c r="BS12" s="623">
        <f>IF(ISDATE(BS6),BS6,"N/C")</f>
        <v>44215</v>
      </c>
      <c r="BT12" s="616" t="str">
        <f>IF(BT6&lt;&gt;"",BT6,"N/C")</f>
        <v>Deseada</v>
      </c>
      <c r="BU12" s="616" t="str">
        <f>IFS(BU6="NO","NO",BU6="SI","SI",BU6="","N/C")</f>
        <v>NO</v>
      </c>
      <c r="BV12" s="616" t="str">
        <f t="shared" ref="BV12:CC12" si="7">IF(BV6&lt;&gt;"",BV6,"N/C")</f>
        <v>N/C</v>
      </c>
      <c r="BW12" s="616" t="str">
        <f t="shared" si="7"/>
        <v>N/C</v>
      </c>
      <c r="BX12" s="616" t="str">
        <f t="shared" si="7"/>
        <v>N/C</v>
      </c>
      <c r="BY12" s="616" t="str">
        <f t="shared" si="7"/>
        <v>N/C</v>
      </c>
      <c r="BZ12" s="616">
        <f t="shared" si="7"/>
        <v>1</v>
      </c>
      <c r="CA12" s="616" t="str">
        <f t="shared" si="7"/>
        <v>Destete corto</v>
      </c>
      <c r="CB12" s="616" t="str">
        <f t="shared" si="7"/>
        <v>Simple</v>
      </c>
      <c r="CC12" s="616" t="str">
        <f t="shared" si="7"/>
        <v>NO</v>
      </c>
      <c r="CD12" s="616" t="str">
        <f>IF(CD6="SI","SI","NO")</f>
        <v>NO</v>
      </c>
      <c r="CE12" s="616" t="str">
        <f>IF(AND(ISDATE(CE6),CD6=""),CE6,"N/C")</f>
        <v>N/C</v>
      </c>
      <c r="CF12" s="616" t="str">
        <f>IFS(AND(CF6&lt;&gt;"",CE6=""),"N/C",AND(CF6&lt;&gt;"",ISDATE(CE6)),CF6,AND(CF6="",CE6=""),"N/C",AND(CE6&lt;&gt;"",CF6=""),"DATO PERDIDO")</f>
        <v>N/C</v>
      </c>
      <c r="CG12" s="616" t="str">
        <f>IFS(CG6="SI","SI",AND(ISDATE(CE6),CG6=""),"NO",AND(CD6="SI",CG6=""),"NO",CE6="","N/C")</f>
        <v>N/C</v>
      </c>
      <c r="CH12" s="616" t="str">
        <f>IFS(AND(CG6="",CH6=""),"N/C", AND(CG6="SI",CH6&lt;&gt;""),CH6,AND(CG6="SI",CH6=""),"0")</f>
        <v>N/C</v>
      </c>
      <c r="CI12" s="616" t="str">
        <f>IFS(OR(CI6="SI",CJ6&lt;&gt;""),"SI",CI6="NO","NO",CI6="","N/C")</f>
        <v>N/C</v>
      </c>
      <c r="CJ12" s="616" t="str">
        <f>IF(ISDATE(CJ6),CJ6,"N/C")</f>
        <v>N/C</v>
      </c>
      <c r="CK12" s="616" t="str">
        <f>IFS(AND(CD6="SI",ISDATE(CJ6)),CJ6-I6,AND(CD6="SI",CJ6=""),J6-I6,AND(ISDATE(CE6),ISDATE(CJ6)),CJ6-CE6,AND(ISDATE(CE6),CJ6=""),J6-CE6,AND(CD6="",AND(CE6="",CJ6="")),"N/C")</f>
        <v>N/C</v>
      </c>
      <c r="CL12" s="616" t="str">
        <f>IF(AND(ISDATE(CE6),ISDATE(BC6)),CE6-BC6,"N/C")</f>
        <v>N/C</v>
      </c>
      <c r="CM12" s="616" t="str">
        <f>IFS(OR(CN6&lt;&gt;"",ISDATE(CO6)),"SI",AND(CN6="",CO6=""),"NO")</f>
        <v>NO</v>
      </c>
      <c r="CN12" s="616" t="str">
        <f>IF(CN6&lt;&gt;"",CN6,"N/C")</f>
        <v>N/C</v>
      </c>
      <c r="CO12" s="616" t="str">
        <f>IF(ISDATE(CO6),CO6,"N/C")</f>
        <v>N/C</v>
      </c>
      <c r="CP12" s="616" t="str">
        <f>IF(CP6&lt;&gt;"",CP6,"N/C")</f>
        <v>N/C</v>
      </c>
      <c r="CQ12" s="616" t="str">
        <f>IFS(CQ6&lt;&gt;"",CQ6,CQ6="","N/C")</f>
        <v>N/C</v>
      </c>
      <c r="CR12" s="616" t="str">
        <f>IF(CR6&lt;&gt;"",CR6,"N/C")</f>
        <v>N/C</v>
      </c>
      <c r="CS12" s="616" t="str">
        <f>IFS(AND(CP6="",CO6=""),"N/C",CP6-CO6=0,"1",AND(ISDATE(CO6),ISDATE(CP6)),CP6-CO6)</f>
        <v>N/C</v>
      </c>
      <c r="CT12" s="616" t="str">
        <f>IFS(OR(CT6&lt;&gt;"",ISDATE(CV6)),"SI",AND(CT6="",CV6=""),"NO")</f>
        <v>NO</v>
      </c>
      <c r="CU12" s="616" t="str">
        <f>IF(CT6&lt;&gt;"",CT6,"N/C")</f>
        <v>N/C</v>
      </c>
      <c r="CV12" s="616" t="str">
        <f t="shared" ref="CV12:CW12" si="8">IF(ISDATE(CV6),CV6,"N/C")</f>
        <v>N/C</v>
      </c>
      <c r="CW12" s="616" t="str">
        <f t="shared" si="8"/>
        <v>N/C</v>
      </c>
      <c r="CX12" s="616" t="str">
        <f t="shared" ref="CX12:CY12" si="9">IF(CX6&lt;&gt;"",CX6,"N/C")</f>
        <v>N/C</v>
      </c>
      <c r="CY12" s="616" t="str">
        <f t="shared" si="9"/>
        <v>N/C</v>
      </c>
      <c r="CZ12" s="616" t="str">
        <f>IFS(AND(CV6="",CW6=""),"N/C",CW6-CV6=0,"1",AND(ISDATE(CV6),ISDATE(CW6)),CW6-CV6)</f>
        <v>N/C</v>
      </c>
      <c r="DA12" s="616" t="str">
        <f>IFS(OR(DA6&lt;&gt;"",ISDATE(DC6)),"SI",AND(DA6="",DC6=""),"NO")</f>
        <v>NO</v>
      </c>
      <c r="DB12" s="616" t="str">
        <f>IF(DA6&lt;&gt;"",DA6,"N/C")</f>
        <v>N/C</v>
      </c>
      <c r="DC12" s="616" t="str">
        <f t="shared" ref="DC12:DD12" si="10">IF(ISDATE(DC6),DC6,"N/C")</f>
        <v>N/C</v>
      </c>
      <c r="DD12" s="616" t="str">
        <f t="shared" si="10"/>
        <v>N/C</v>
      </c>
      <c r="DE12" s="616" t="str">
        <f>IFS(DE6&lt;&gt;"",DE6,AND(ISDATE(DD6),ISDATE(DC6)),"DATO PERDIDO",AND(DC6="",DD6=""),"N/C")</f>
        <v>N/C</v>
      </c>
      <c r="DF12" s="616" t="str">
        <f>IF(DF6&lt;&gt;"",DF6,"N/C")</f>
        <v>N/C</v>
      </c>
      <c r="DG12" s="616" t="str">
        <f>IFS(OR(DD6="",DC6=""),"N/C",DD6-DC6=0,"1",AND(ISDATE(DD6),ISDATE(DC6)),DD6-DC6)</f>
        <v>N/C</v>
      </c>
      <c r="DH12" s="616" t="str">
        <f>IFS(OR(DI6&lt;&gt;"",ISDATE(DJ6)),"SI",AND(DI6="",DJ6=""),"N/C")</f>
        <v>N/C</v>
      </c>
      <c r="DI12" s="616" t="str">
        <f>IF(DI6&lt;&gt;"",DI6,"N/C")</f>
        <v>N/C</v>
      </c>
      <c r="DJ12" s="616" t="str">
        <f t="shared" ref="DJ12:DK12" si="11">IF(ISDATE(DJ6),DJ6,"N/C")</f>
        <v>N/C</v>
      </c>
      <c r="DK12" s="616" t="str">
        <f t="shared" si="11"/>
        <v>N/C</v>
      </c>
      <c r="DL12" s="616" t="str">
        <f>IFS(DL6&lt;&gt;"",DL6,AND(ISDATE(DK6),ISDATE(DJ6)),"DATO PERDIDO",AND(DJ6="",DK6=""),"N/C")</f>
        <v>N/C</v>
      </c>
      <c r="DM12" s="616" t="str">
        <f>IF(DM6&lt;&gt;"",DM6,"N/C")</f>
        <v>N/C</v>
      </c>
      <c r="DN12" s="616" t="str">
        <f>IFS(AND(DJ6="",DK6=""),"N/C",DK6-DJ6=0,"1",AND(ISDATE(DJ6),ISDATE(DK6)),DK6-DJ6)</f>
        <v>N/C</v>
      </c>
      <c r="DO12" s="622" t="str">
        <f>IF(OR(DO10="TEP",DO11="TEP"),"SI","NO")</f>
        <v>NO</v>
      </c>
      <c r="DP12" s="622" t="str">
        <f>IF(OR(DP10="IAM",DP11="IAM"),"SI","NO")</f>
        <v>NO</v>
      </c>
      <c r="DQ12" s="622" t="str">
        <f>IF(OR(DQ10="PCR",DQ11="PCR"),"SI","NO")</f>
        <v>NO</v>
      </c>
      <c r="DR12" s="622" t="str">
        <f>IF(OR(DR10="SDRA",DR11="SDRA"),"SI","NO")</f>
        <v>SI</v>
      </c>
      <c r="DS12" s="622" t="str">
        <f>IF(OR(DS10="BNM",DS11="BNM"),"SI","NO")</f>
        <v>SI</v>
      </c>
      <c r="DT12" s="622" t="str">
        <f>IF(OR(DT10="PRONO",DT11="PRONO"),"SI","NO")</f>
        <v>NO</v>
      </c>
      <c r="DU12" s="622" t="str">
        <f>IF(OR(DU10="DAUCI",DU11="DAUCI"),"SI","NO")</f>
        <v>NO</v>
      </c>
      <c r="DV12" s="622" t="str">
        <f>IF(OR(DV10="BAROTRAUMA",DV11="BAROTRAUMA"),"SI","NO")</f>
        <v>NO</v>
      </c>
      <c r="DW12" s="622" t="str">
        <f>IF(OR(DW10="FMO",DW11="FMO"),"SI","NO")</f>
        <v>NO</v>
      </c>
      <c r="DX12" s="622" t="str">
        <f>IF(OR(DX10="EOT NO PROGRAMADA",DX11="EOT NO PROGRAMADA"),"SI","NO")</f>
        <v>NO</v>
      </c>
      <c r="DY12" s="622" t="str">
        <f>IF(OR(DY10="DELIRIUM",DY11="DELIRIUM"),"SI","NO")</f>
        <v>SI</v>
      </c>
      <c r="DZ12" s="622" t="str">
        <f>IF(OR(DZ10="PAFI&lt;200",DZ11="PAFI&lt;200"),"SI","NO")</f>
        <v>SI</v>
      </c>
      <c r="EA12" s="622" t="str">
        <f>IF(OR(EA10="SHOCK/SEPSIS",EA11="SHOCK/SEPSIS"),"SI","NO")</f>
        <v>SI</v>
      </c>
      <c r="EB12" s="622" t="str">
        <f>IF(OR(EB10="I RENAL",EB11="I RENAL"),"SI","NO")</f>
        <v>NO</v>
      </c>
      <c r="EC12" s="622" t="str">
        <f>IF(OR(EC10="NAVM",EC11="NAVM"),"SI","NO")</f>
        <v>SI</v>
      </c>
      <c r="ED12" s="622" t="str">
        <f>IF(OR(ED10="LESIONES FACIALES",ED11="LESIONES FACIALES"),"SI","NO")</f>
        <v>NO</v>
      </c>
      <c r="EE12" s="622" t="str">
        <f>IF(OR(EE10="CAMBIO DE INTERFAZ POR DISCOMFORT",EE11="CAMBIO DE INTERFAZ POR DISCOMFORT"),"SI","NO")</f>
        <v>NO</v>
      </c>
      <c r="EF12" s="616">
        <f>COUNTIF(DO12:EE12,"SI")</f>
        <v>6</v>
      </c>
      <c r="EG12" s="624">
        <f>+Monitoreo!C65</f>
        <v>7</v>
      </c>
      <c r="EH12" s="624">
        <f>+Monitoreo!C66</f>
        <v>7</v>
      </c>
      <c r="EI12" s="624">
        <f>+Monitoreo!C67</f>
        <v>0</v>
      </c>
      <c r="EJ12" s="624">
        <f>+Monitoreo!C68</f>
        <v>0</v>
      </c>
      <c r="EK12" s="624">
        <f>+Monitoreo!C69</f>
        <v>0</v>
      </c>
      <c r="EL12" s="624">
        <f>+Monitoreo!C70</f>
        <v>0</v>
      </c>
      <c r="EM12" s="624">
        <f>+Monitoreo!C71</f>
        <v>0</v>
      </c>
      <c r="EN12" s="624">
        <f>+Monitoreo!F65</f>
        <v>10</v>
      </c>
      <c r="EO12" s="624">
        <f>+Monitoreo!F66</f>
        <v>0</v>
      </c>
      <c r="EP12" s="624">
        <f>+Monitoreo!F67</f>
        <v>10</v>
      </c>
      <c r="EQ12" s="624">
        <f>+Monitoreo!F68</f>
        <v>0</v>
      </c>
      <c r="ER12" s="624">
        <f>+Monitoreo!F69</f>
        <v>0</v>
      </c>
      <c r="ES12" s="624">
        <f>+Monitoreo!F70</f>
        <v>0</v>
      </c>
      <c r="ET12" s="624">
        <f>+Monitoreo!F71</f>
        <v>0</v>
      </c>
      <c r="EU12" s="624">
        <f>+Monitoreo!I65</f>
        <v>6</v>
      </c>
      <c r="EV12" s="624">
        <f>+Monitoreo!I66</f>
        <v>2</v>
      </c>
      <c r="EW12" s="624">
        <f>+Monitoreo!I67</f>
        <v>0</v>
      </c>
      <c r="EX12" s="624">
        <f>+Monitoreo!I68</f>
        <v>0</v>
      </c>
      <c r="EY12" s="624">
        <f>+Monitoreo!I69</f>
        <v>0</v>
      </c>
      <c r="EZ12" s="624">
        <f>+Monitoreo!I70</f>
        <v>4</v>
      </c>
      <c r="FA12" s="624">
        <f>+Monitoreo!I71</f>
        <v>0</v>
      </c>
      <c r="FB12" s="624">
        <f>+Monitoreo!I72</f>
        <v>0</v>
      </c>
      <c r="FC12" s="624">
        <f>+Monitoreo!M69</f>
        <v>0</v>
      </c>
      <c r="FD12" s="624">
        <f>+Monitoreo!M70</f>
        <v>0</v>
      </c>
      <c r="FE12" s="624">
        <f>+Monitoreo!M71</f>
        <v>0</v>
      </c>
      <c r="FF12" s="624">
        <f>+Monitoreo!M72</f>
        <v>0</v>
      </c>
      <c r="FG12" s="624">
        <f>+Monitoreo!P69</f>
        <v>6</v>
      </c>
      <c r="FH12" s="624">
        <f>+Monitoreo!P70</f>
        <v>6</v>
      </c>
      <c r="FI12" s="624">
        <f>+Monitoreo!P71</f>
        <v>0</v>
      </c>
      <c r="FJ12" s="624">
        <f>+Monitoreo!M65</f>
        <v>1</v>
      </c>
      <c r="FK12" s="624">
        <f>+Monitoreo!M66</f>
        <v>4</v>
      </c>
      <c r="FL12" s="624">
        <f>+Monitoreo!M67</f>
        <v>9</v>
      </c>
      <c r="FM12" s="625" t="str">
        <f>+Monitoreo!C29</f>
        <v>VC-CMV</v>
      </c>
      <c r="FN12" s="625" t="str">
        <f>+Monitoreo!D29</f>
        <v>VC-CMV</v>
      </c>
      <c r="FO12" s="625" t="str">
        <f>+Monitoreo!E29</f>
        <v>VC-CMV</v>
      </c>
      <c r="FP12" s="625" t="str">
        <f>+Monitoreo!G29</f>
        <v>VC-CMV</v>
      </c>
      <c r="FQ12" s="625" t="str">
        <f>+Monitoreo!I29</f>
        <v>VC-CMV</v>
      </c>
      <c r="FR12" s="616">
        <f>+Monitoreo!C30</f>
        <v>350</v>
      </c>
      <c r="FS12" s="616">
        <f>+Monitoreo!D30</f>
        <v>350</v>
      </c>
      <c r="FT12" s="616">
        <f>+Monitoreo!E30</f>
        <v>350</v>
      </c>
      <c r="FU12" s="616">
        <f>+Monitoreo!G30</f>
        <v>330</v>
      </c>
      <c r="FV12" s="616">
        <f>+Monitoreo!I30</f>
        <v>300</v>
      </c>
      <c r="FW12" s="616">
        <f>+Monitoreo!C31</f>
        <v>22</v>
      </c>
      <c r="FX12" s="616">
        <f>+Monitoreo!D31</f>
        <v>22</v>
      </c>
      <c r="FY12" s="616">
        <f>+Monitoreo!E31</f>
        <v>22</v>
      </c>
      <c r="FZ12" s="616">
        <f>+Monitoreo!G31</f>
        <v>25</v>
      </c>
      <c r="GA12" s="616">
        <f>+Monitoreo!I31</f>
        <v>22</v>
      </c>
      <c r="GB12" s="616">
        <f>+Monitoreo!C32</f>
        <v>12</v>
      </c>
      <c r="GC12" s="616">
        <f>+Monitoreo!D32</f>
        <v>12</v>
      </c>
      <c r="GD12" s="616">
        <f>+Monitoreo!E32</f>
        <v>12</v>
      </c>
      <c r="GE12" s="616">
        <f>+Monitoreo!G32</f>
        <v>12</v>
      </c>
      <c r="GF12" s="616">
        <f>+Monitoreo!I32</f>
        <v>12</v>
      </c>
      <c r="GG12" s="616">
        <f>+Monitoreo!C33</f>
        <v>0.5</v>
      </c>
      <c r="GH12" s="616">
        <f>+Monitoreo!D33</f>
        <v>0.5</v>
      </c>
      <c r="GI12" s="616">
        <f>+Monitoreo!E33</f>
        <v>0.4</v>
      </c>
      <c r="GJ12" s="616">
        <f>+Monitoreo!G33</f>
        <v>0.6</v>
      </c>
      <c r="GK12" s="616">
        <f>+Monitoreo!I33</f>
        <v>0.35</v>
      </c>
      <c r="GL12" s="616">
        <f>+Monitoreo!C37</f>
        <v>22</v>
      </c>
      <c r="GM12" s="616">
        <f>+Monitoreo!D37</f>
        <v>22</v>
      </c>
      <c r="GN12" s="616">
        <f>+Monitoreo!E37</f>
        <v>22</v>
      </c>
      <c r="GO12" s="616">
        <f>+Monitoreo!G37</f>
        <v>25</v>
      </c>
      <c r="GP12" s="616">
        <f>+Monitoreo!I37</f>
        <v>22</v>
      </c>
      <c r="GQ12" s="616">
        <f>+Monitoreo!C39</f>
        <v>7.6</v>
      </c>
      <c r="GR12" s="616">
        <f>+Monitoreo!D39</f>
        <v>7.6</v>
      </c>
      <c r="GS12" s="616">
        <f>+Monitoreo!E39</f>
        <v>7.6</v>
      </c>
      <c r="GT12" s="616">
        <f>+Monitoreo!G39</f>
        <v>8.1</v>
      </c>
      <c r="GU12" s="616">
        <f>+Monitoreo!I39</f>
        <v>7.7</v>
      </c>
      <c r="GV12" s="616">
        <f>+Monitoreo!C40</f>
        <v>35</v>
      </c>
      <c r="GW12" s="616">
        <f>+Monitoreo!D40</f>
        <v>35</v>
      </c>
      <c r="GX12" s="616">
        <f>+Monitoreo!E40</f>
        <v>35</v>
      </c>
      <c r="GY12" s="616">
        <f>+Monitoreo!G40</f>
        <v>36</v>
      </c>
      <c r="GZ12" s="616">
        <f>+Monitoreo!I40</f>
        <v>35</v>
      </c>
      <c r="HA12" s="616">
        <f>+Monitoreo!C41</f>
        <v>23</v>
      </c>
      <c r="HB12" s="616">
        <f>+Monitoreo!D41</f>
        <v>23.6</v>
      </c>
      <c r="HC12" s="616">
        <f>+Monitoreo!E41</f>
        <v>25</v>
      </c>
      <c r="HD12" s="616">
        <f>+Monitoreo!G41</f>
        <v>24.8</v>
      </c>
      <c r="HE12" s="616">
        <f>+Monitoreo!I41</f>
        <v>25</v>
      </c>
      <c r="HF12" s="616">
        <f>+Monitoreo!C42</f>
        <v>12</v>
      </c>
      <c r="HG12" s="616">
        <f>+Monitoreo!D42</f>
        <v>12.5</v>
      </c>
      <c r="HH12" s="616">
        <f>+Monitoreo!E42</f>
        <v>12.5</v>
      </c>
      <c r="HI12" s="616">
        <f>+Monitoreo!G42</f>
        <v>12.9</v>
      </c>
      <c r="HJ12" s="616">
        <f>+Monitoreo!I42</f>
        <v>12</v>
      </c>
      <c r="HK12" s="616">
        <f>+Monitoreo!C51</f>
        <v>11</v>
      </c>
      <c r="HL12" s="616">
        <f>+Monitoreo!D51</f>
        <v>11.1</v>
      </c>
      <c r="HM12" s="616">
        <f>+Monitoreo!E51</f>
        <v>12.5</v>
      </c>
      <c r="HN12" s="616">
        <f>+Monitoreo!G51</f>
        <v>11.9</v>
      </c>
      <c r="HO12" s="616">
        <f>+Monitoreo!I51</f>
        <v>13</v>
      </c>
      <c r="HP12" s="618">
        <f>+Monitoreo!C47</f>
        <v>5.953798523</v>
      </c>
      <c r="HQ12" s="618">
        <f>+Monitoreo!D47</f>
        <v>5.953798523</v>
      </c>
      <c r="HR12" s="618">
        <f>+Monitoreo!E47</f>
        <v>5.953798523</v>
      </c>
      <c r="HS12" s="618">
        <f>+Monitoreo!G47</f>
        <v>5.613581465</v>
      </c>
      <c r="HT12" s="618">
        <f>+Monitoreo!I47</f>
        <v>5.103255877</v>
      </c>
      <c r="HU12" s="618">
        <f>+Monitoreo!C52</f>
        <v>31.81818182</v>
      </c>
      <c r="HV12" s="618">
        <f>+Monitoreo!D52</f>
        <v>31.44144144</v>
      </c>
      <c r="HW12" s="618">
        <f>+Monitoreo!E52</f>
        <v>27.92</v>
      </c>
      <c r="HX12" s="618">
        <f>+Monitoreo!G52</f>
        <v>27.73109244</v>
      </c>
      <c r="HY12" s="618">
        <f>+Monitoreo!I52</f>
        <v>24.53846154</v>
      </c>
      <c r="HZ12" s="626">
        <f>+Monitoreo!C53</f>
        <v>16</v>
      </c>
      <c r="IA12" s="626">
        <f>+Monitoreo!D53</f>
        <v>15.2</v>
      </c>
      <c r="IB12" s="626">
        <f>+Monitoreo!E53</f>
        <v>13.33333333</v>
      </c>
      <c r="IC12" s="626">
        <f>+Monitoreo!G53</f>
        <v>14.93333333</v>
      </c>
      <c r="ID12" s="626" t="str">
        <f>+Monitoreo!I53</f>
        <v/>
      </c>
      <c r="IE12" s="616">
        <f>+Monitoreo!C50</f>
        <v>21.35</v>
      </c>
      <c r="IF12" s="616">
        <f>+Monitoreo!D50</f>
        <v>21.935</v>
      </c>
      <c r="IG12" s="616">
        <f>+Monitoreo!E50</f>
        <v>23.125</v>
      </c>
      <c r="IH12" s="616">
        <f>+Monitoreo!G50</f>
        <v>23.015</v>
      </c>
      <c r="II12" s="616">
        <f>+Monitoreo!I50</f>
        <v>22.4</v>
      </c>
      <c r="IJ12" s="626">
        <f>+Monitoreo!C54</f>
        <v>18.17698235</v>
      </c>
      <c r="IK12" s="626">
        <f>+Monitoreo!D54</f>
        <v>18.27757294</v>
      </c>
      <c r="IL12" s="626">
        <f>+Monitoreo!E54</f>
        <v>18.22758705</v>
      </c>
      <c r="IM12" s="626">
        <f>+Monitoreo!G54</f>
        <v>19.92762265</v>
      </c>
      <c r="IN12" s="626" t="str">
        <f>+Monitoreo!I54</f>
        <v/>
      </c>
      <c r="IO12" s="626">
        <f>+Monitoreo!C55</f>
        <v>0.5712765882</v>
      </c>
      <c r="IP12" s="626">
        <f>+Monitoreo!D55</f>
        <v>0.5813210879</v>
      </c>
      <c r="IQ12" s="626">
        <f>+Monitoreo!E55</f>
        <v>0.6528505392</v>
      </c>
      <c r="IR12" s="626">
        <f>+Monitoreo!G55</f>
        <v>0.71860215</v>
      </c>
      <c r="IS12" s="626" t="str">
        <f>+Monitoreo!I55</f>
        <v/>
      </c>
      <c r="IT12" s="626">
        <f>+Monitoreo!C56</f>
        <v>0.3092059734</v>
      </c>
      <c r="IU12" s="626">
        <f>+Monitoreo!D56</f>
        <v>0.3109171051</v>
      </c>
      <c r="IV12" s="626">
        <f>+Monitoreo!E56</f>
        <v>0.3100668026</v>
      </c>
      <c r="IW12" s="626">
        <f>+Monitoreo!G56</f>
        <v>0.338985858</v>
      </c>
      <c r="IX12" s="616" t="str">
        <f>+Monitoreo!I56</f>
        <v/>
      </c>
      <c r="IY12" s="626">
        <f>+Monitoreo!C61</f>
        <v>242</v>
      </c>
      <c r="IZ12" s="626">
        <f>+Monitoreo!D61</f>
        <v>244.2</v>
      </c>
      <c r="JA12" s="626">
        <f>+Monitoreo!E61</f>
        <v>275</v>
      </c>
      <c r="JB12" s="626">
        <f>+Monitoreo!G61</f>
        <v>297.5</v>
      </c>
      <c r="JC12" s="626">
        <f>+Monitoreo!I61</f>
        <v>286</v>
      </c>
      <c r="JD12" s="626">
        <f>+Monitoreo!C57</f>
        <v>1.320405085</v>
      </c>
      <c r="JE12" s="626">
        <f>+Monitoreo!D57</f>
        <v>1.572074984</v>
      </c>
      <c r="JF12" s="626">
        <f>+Monitoreo!E57</f>
        <v>1.492781728</v>
      </c>
      <c r="JG12" s="626">
        <f>+Monitoreo!G57</f>
        <v>1.899635968</v>
      </c>
      <c r="JH12" s="626">
        <f>+Monitoreo!I57</f>
        <v>1.487973327</v>
      </c>
      <c r="JI12" s="616" t="str">
        <f>+Monitoreo!C58</f>
        <v/>
      </c>
      <c r="JJ12" s="616" t="str">
        <f>+Monitoreo!D58</f>
        <v/>
      </c>
      <c r="JK12" s="616" t="str">
        <f>+Monitoreo!E58</f>
        <v/>
      </c>
      <c r="JL12" s="616" t="str">
        <f>+Monitoreo!G58</f>
        <v/>
      </c>
      <c r="JM12" s="616" t="str">
        <f>+Monitoreo!I58</f>
        <v/>
      </c>
      <c r="JN12" s="616" t="str">
        <f>+Monitoreo!C44</f>
        <v/>
      </c>
      <c r="JO12" s="616" t="str">
        <f>+Monitoreo!D44</f>
        <v/>
      </c>
      <c r="JP12" s="616" t="str">
        <f>+Monitoreo!E44</f>
        <v/>
      </c>
      <c r="JQ12" s="616" t="str">
        <f>+Monitoreo!G44</f>
        <v/>
      </c>
      <c r="JR12" s="616" t="str">
        <f>+Monitoreo!I44</f>
        <v/>
      </c>
      <c r="JS12" s="616" t="str">
        <f>+Monitoreo!C45</f>
        <v/>
      </c>
      <c r="JT12" s="616" t="str">
        <f>+Monitoreo!D45</f>
        <v/>
      </c>
      <c r="JU12" s="616" t="str">
        <f>+Monitoreo!E45</f>
        <v/>
      </c>
      <c r="JV12" s="616" t="str">
        <f>+Monitoreo!G45</f>
        <v/>
      </c>
      <c r="JW12" s="616" t="str">
        <f>+Monitoreo!I45</f>
        <v/>
      </c>
      <c r="JX12" s="618">
        <f>+Monitoreo!C62</f>
        <v>14.13907285</v>
      </c>
      <c r="JY12" s="618">
        <f>+Monitoreo!D62</f>
        <v>11.33006198</v>
      </c>
      <c r="JZ12" s="618">
        <f>+Monitoreo!E62</f>
        <v>8.043478261</v>
      </c>
      <c r="KA12" s="618">
        <f>+Monitoreo!G62</f>
        <v>9.492896425</v>
      </c>
      <c r="KB12" s="618">
        <f>+Monitoreo!I62</f>
        <v>7.762376238</v>
      </c>
      <c r="KC12" s="616">
        <f>+Monitoreo!C20</f>
        <v>7.4</v>
      </c>
      <c r="KD12" s="616">
        <f>+Monitoreo!D20</f>
        <v>7.32</v>
      </c>
      <c r="KE12" s="616">
        <f>+Monitoreo!E20</f>
        <v>7.39</v>
      </c>
      <c r="KF12" s="616">
        <f>+Monitoreo!G20</f>
        <v>7.32</v>
      </c>
      <c r="KG12" s="616">
        <f>+Monitoreo!I20</f>
        <v>7.42</v>
      </c>
      <c r="KH12" s="616">
        <f>+Monitoreo!C22</f>
        <v>75.5</v>
      </c>
      <c r="KI12" s="616">
        <f>+Monitoreo!D22</f>
        <v>96.8</v>
      </c>
      <c r="KJ12" s="616">
        <f>+Monitoreo!E22</f>
        <v>115</v>
      </c>
      <c r="KK12" s="616">
        <f>+Monitoreo!G22</f>
        <v>109.1</v>
      </c>
      <c r="KL12" s="616">
        <f>+Monitoreo!I22</f>
        <v>101</v>
      </c>
      <c r="KM12" s="616">
        <f>+Monitoreo!C21</f>
        <v>38.3</v>
      </c>
      <c r="KN12" s="616">
        <f>+Monitoreo!D21</f>
        <v>45.6</v>
      </c>
      <c r="KO12" s="616">
        <f>+Monitoreo!E21</f>
        <v>43.3</v>
      </c>
      <c r="KP12" s="616">
        <f>+Monitoreo!G21</f>
        <v>51.7</v>
      </c>
      <c r="KQ12" s="616">
        <f>+Monitoreo!I21</f>
        <v>42.6</v>
      </c>
      <c r="KR12" s="616">
        <f>+Monitoreo!C25</f>
        <v>96.7</v>
      </c>
      <c r="KS12" s="616">
        <f>+Monitoreo!D25</f>
        <v>96.7</v>
      </c>
      <c r="KT12" s="616">
        <f>+Monitoreo!E25</f>
        <v>98</v>
      </c>
      <c r="KU12" s="616">
        <f>+Monitoreo!G25</f>
        <v>97.7</v>
      </c>
      <c r="KV12" s="616">
        <f>+Monitoreo!I25</f>
        <v>98</v>
      </c>
      <c r="KW12" s="616" t="str">
        <f>+Monitoreo!C10</f>
        <v/>
      </c>
      <c r="KX12" s="616" t="str">
        <f>+Monitoreo!D10</f>
        <v/>
      </c>
      <c r="KY12" s="616" t="str">
        <f>+Monitoreo!E10</f>
        <v/>
      </c>
      <c r="KZ12" s="616" t="str">
        <f>+Monitoreo!G10</f>
        <v/>
      </c>
      <c r="LA12" s="616">
        <f>+Monitoreo!I10</f>
        <v>96</v>
      </c>
      <c r="LB12" s="618">
        <f>+Monitoreo!C28</f>
        <v>151</v>
      </c>
      <c r="LC12" s="618">
        <f>+Monitoreo!D28</f>
        <v>193.6</v>
      </c>
      <c r="LD12" s="618">
        <f>+Monitoreo!E28</f>
        <v>287.5</v>
      </c>
      <c r="LE12" s="618">
        <f>+Monitoreo!G28</f>
        <v>242.4444444</v>
      </c>
      <c r="LF12" s="618">
        <f>+Monitoreo!I28</f>
        <v>288.5714286</v>
      </c>
      <c r="LG12" s="616"/>
      <c r="LH12" s="616"/>
      <c r="LI12" s="616"/>
      <c r="LJ12" s="616"/>
      <c r="LK12" s="616"/>
      <c r="LL12" s="616"/>
      <c r="LM12" s="616"/>
    </row>
    <row r="14">
      <c r="DS14" s="182">
        <f>+Monitoreo!P69</f>
        <v>6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27">
        <f>+Monitoreo!M65</f>
        <v>1</v>
      </c>
      <c r="DZ14" s="182">
        <f>+Monitoreo!T65</f>
        <v>5</v>
      </c>
    </row>
    <row r="15">
      <c r="A15" s="628" t="s">
        <v>368</v>
      </c>
      <c r="B15" s="629"/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29"/>
      <c r="Q15" s="630"/>
    </row>
    <row r="16">
      <c r="A16" s="631"/>
      <c r="Q16" s="632"/>
    </row>
    <row r="17">
      <c r="A17" s="631"/>
      <c r="Q17" s="632"/>
    </row>
    <row r="18">
      <c r="A18" s="631"/>
      <c r="Q18" s="632"/>
    </row>
    <row r="19">
      <c r="A19" s="633"/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5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6" t="s">
        <v>369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/>
      <c r="AC1" s="637"/>
      <c r="AD1" s="637"/>
      <c r="AE1" s="637"/>
      <c r="AF1" s="637"/>
      <c r="AG1" s="638"/>
      <c r="AH1" s="639"/>
      <c r="AI1" s="639"/>
      <c r="AJ1" s="639"/>
      <c r="AK1" s="639"/>
      <c r="AL1" s="639"/>
      <c r="AM1" s="639"/>
      <c r="AN1" s="639"/>
      <c r="AO1" s="639"/>
      <c r="AP1" s="639"/>
      <c r="AQ1" s="639"/>
      <c r="AR1" s="639"/>
      <c r="AS1" s="639"/>
      <c r="AT1" s="639"/>
      <c r="AU1" s="639"/>
      <c r="AV1" s="639"/>
      <c r="AW1" s="639"/>
      <c r="AX1" s="639"/>
      <c r="AY1" s="639"/>
      <c r="AZ1" s="639"/>
      <c r="BA1" s="639"/>
    </row>
    <row r="2" ht="41.25" customHeight="1">
      <c r="A2" s="640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127"/>
      <c r="AH2" s="639"/>
      <c r="AI2" s="639"/>
      <c r="AJ2" s="639"/>
      <c r="AK2" s="639"/>
      <c r="AL2" s="639"/>
      <c r="AM2" s="639"/>
      <c r="AN2" s="639"/>
      <c r="AO2" s="639"/>
      <c r="AP2" s="639"/>
      <c r="AQ2" s="639"/>
      <c r="AR2" s="639"/>
      <c r="AS2" s="639"/>
      <c r="AT2" s="639"/>
      <c r="AU2" s="639"/>
      <c r="AV2" s="639"/>
      <c r="AW2" s="639"/>
      <c r="AX2" s="639"/>
      <c r="AY2" s="639"/>
      <c r="AZ2" s="639"/>
      <c r="BA2" s="639"/>
    </row>
    <row r="3">
      <c r="A3" s="641"/>
      <c r="B3" s="642" t="s">
        <v>370</v>
      </c>
      <c r="C3" s="21"/>
      <c r="D3" s="21"/>
      <c r="E3" s="22"/>
      <c r="F3" s="643" t="s">
        <v>371</v>
      </c>
      <c r="G3" s="22"/>
      <c r="H3" s="643" t="s">
        <v>372</v>
      </c>
      <c r="I3" s="21"/>
      <c r="J3" s="21"/>
      <c r="K3" s="21"/>
      <c r="L3" s="22"/>
      <c r="M3" s="643" t="s">
        <v>373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43" t="s">
        <v>374</v>
      </c>
      <c r="AA3" s="22"/>
      <c r="AB3" s="643" t="s">
        <v>375</v>
      </c>
      <c r="AC3" s="21"/>
      <c r="AD3" s="21"/>
      <c r="AE3" s="21"/>
      <c r="AF3" s="22"/>
      <c r="AG3" s="644"/>
      <c r="AH3" s="645"/>
      <c r="AI3" s="645"/>
      <c r="AJ3" s="645"/>
      <c r="AK3" s="645"/>
      <c r="AL3" s="645"/>
      <c r="AM3" s="645"/>
      <c r="AN3" s="645"/>
      <c r="AO3" s="645"/>
      <c r="AP3" s="645"/>
      <c r="AQ3" s="645"/>
      <c r="AR3" s="645"/>
      <c r="AS3" s="645"/>
      <c r="AT3" s="645"/>
      <c r="AU3" s="645"/>
      <c r="AV3" s="645"/>
      <c r="AW3" s="645"/>
      <c r="AX3" s="645"/>
      <c r="AY3" s="645"/>
      <c r="AZ3" s="645"/>
      <c r="BA3" s="645"/>
    </row>
    <row r="4">
      <c r="A4" s="646"/>
      <c r="B4" s="647" t="s">
        <v>254</v>
      </c>
      <c r="C4" s="647" t="s">
        <v>256</v>
      </c>
      <c r="D4" s="648" t="s">
        <v>376</v>
      </c>
      <c r="E4" s="649" t="s">
        <v>377</v>
      </c>
      <c r="F4" s="649" t="s">
        <v>378</v>
      </c>
      <c r="G4" s="649" t="s">
        <v>379</v>
      </c>
      <c r="H4" s="650" t="s">
        <v>380</v>
      </c>
      <c r="I4" s="650" t="s">
        <v>381</v>
      </c>
      <c r="J4" s="650" t="s">
        <v>382</v>
      </c>
      <c r="K4" s="650" t="s">
        <v>383</v>
      </c>
      <c r="L4" s="650" t="s">
        <v>384</v>
      </c>
      <c r="M4" s="650" t="s">
        <v>385</v>
      </c>
      <c r="N4" s="650" t="s">
        <v>386</v>
      </c>
      <c r="O4" s="650" t="s">
        <v>387</v>
      </c>
      <c r="P4" s="650" t="s">
        <v>388</v>
      </c>
      <c r="Q4" s="650" t="s">
        <v>389</v>
      </c>
      <c r="R4" s="650" t="s">
        <v>390</v>
      </c>
      <c r="S4" s="651" t="s">
        <v>33</v>
      </c>
      <c r="T4" s="651" t="s">
        <v>391</v>
      </c>
      <c r="U4" s="650" t="s">
        <v>392</v>
      </c>
      <c r="V4" s="650" t="s">
        <v>393</v>
      </c>
      <c r="W4" s="648" t="s">
        <v>394</v>
      </c>
      <c r="X4" s="648" t="s">
        <v>395</v>
      </c>
      <c r="Y4" s="651" t="s">
        <v>396</v>
      </c>
      <c r="Z4" s="649" t="s">
        <v>397</v>
      </c>
      <c r="AA4" s="651" t="s">
        <v>398</v>
      </c>
      <c r="AB4" s="652" t="s">
        <v>399</v>
      </c>
      <c r="AC4" s="652" t="s">
        <v>400</v>
      </c>
      <c r="AD4" s="652" t="s">
        <v>401</v>
      </c>
      <c r="AE4" s="652" t="s">
        <v>402</v>
      </c>
      <c r="AF4" s="652" t="s">
        <v>403</v>
      </c>
      <c r="AG4" s="653" t="s">
        <v>404</v>
      </c>
      <c r="AH4" s="654"/>
      <c r="AI4" s="655"/>
      <c r="AJ4" s="655"/>
      <c r="AK4" s="655"/>
      <c r="AL4" s="655"/>
      <c r="AM4" s="655"/>
      <c r="AN4" s="655"/>
      <c r="AO4" s="655"/>
      <c r="AP4" s="655"/>
      <c r="AQ4" s="655"/>
      <c r="AR4" s="655"/>
      <c r="AS4" s="655"/>
      <c r="AT4" s="655"/>
      <c r="AU4" s="655"/>
      <c r="AV4" s="655"/>
      <c r="AW4" s="655"/>
      <c r="AX4" s="655"/>
      <c r="AY4" s="655"/>
      <c r="AZ4" s="655"/>
      <c r="BA4" s="655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56">
        <f>+General!H22</f>
        <v>44200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14">
        <f>+General!H27</f>
        <v>3</v>
      </c>
      <c r="N5" s="614">
        <f>+General!J27</f>
        <v>3</v>
      </c>
      <c r="O5" s="182"/>
      <c r="P5" s="182"/>
      <c r="Q5" s="657">
        <f>+General!J25</f>
        <v>0</v>
      </c>
      <c r="R5" s="657">
        <f>+General!H25</f>
        <v>1</v>
      </c>
      <c r="S5" s="658" t="str">
        <f>+General!D20</f>
        <v/>
      </c>
      <c r="T5" s="182" t="str">
        <f>+General!B23</f>
        <v/>
      </c>
      <c r="U5" s="657">
        <f>+General!D25</f>
        <v>3</v>
      </c>
      <c r="V5" s="658" t="str">
        <f>+General!D19</f>
        <v/>
      </c>
      <c r="W5" s="657">
        <f>+General!F25</f>
        <v>0</v>
      </c>
      <c r="X5" s="182"/>
      <c r="Y5" s="182"/>
      <c r="Z5" s="659">
        <f>+General!D38</f>
        <v>44217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8" t="str">
        <f>+General!F20</f>
        <v/>
      </c>
      <c r="T6" s="659" t="str">
        <f>+General!C35</f>
        <v/>
      </c>
      <c r="U6" s="182"/>
      <c r="V6" s="658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8" t="str">
        <f>+General!D31</f>
        <v/>
      </c>
      <c r="T7" s="658" t="str">
        <f>+General!E36</f>
        <v/>
      </c>
      <c r="U7" s="182"/>
      <c r="V7" s="660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8" t="str">
        <f>+General!F31</f>
        <v/>
      </c>
      <c r="T8" s="182"/>
      <c r="U8" s="182"/>
      <c r="V8" s="660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61"/>
      <c r="B10" s="661" t="str">
        <f>+General!B4</f>
        <v>De Napoli Monte Beatriz</v>
      </c>
      <c r="C10" s="661" t="str">
        <f>+General!D5</f>
        <v>Mujer</v>
      </c>
      <c r="D10" s="661">
        <f>+General!B5</f>
        <v>77</v>
      </c>
      <c r="E10" s="662">
        <f>+General!G4</f>
        <v>44200</v>
      </c>
      <c r="F10" s="661" t="str">
        <f>IF(F5="MÉDICO","X","")</f>
        <v>X</v>
      </c>
      <c r="G10" s="661" t="str">
        <f>IF(F5="QUIRÚRGICO","X","")</f>
        <v/>
      </c>
      <c r="H10" s="661"/>
      <c r="I10" s="661" t="str">
        <f>IF(ISDATE(I5),"X","")</f>
        <v>X</v>
      </c>
      <c r="J10" s="661"/>
      <c r="K10" s="661"/>
      <c r="L10" s="661"/>
      <c r="M10" s="661" t="str">
        <f t="shared" ref="M10:N10" si="1">IF(M5&lt;&gt;"","1","")</f>
        <v>1</v>
      </c>
      <c r="N10" s="661" t="str">
        <f t="shared" si="1"/>
        <v>1</v>
      </c>
      <c r="O10" s="661">
        <f>IFS(AND(M5="",N5=""),"",M5&gt;N5,M5,M5=N5,M5,M5&lt;N5,N5)</f>
        <v>3</v>
      </c>
      <c r="P10" s="661">
        <f>IF(OR(M10&lt;&gt;"",N10&lt;&gt;""),(O10*M10)+(O10*N10),0)</f>
        <v>6</v>
      </c>
      <c r="Q10" s="661">
        <f t="shared" ref="Q10:R10" si="2">IF(Q5="",0,Q5)</f>
        <v>0</v>
      </c>
      <c r="R10" s="661">
        <f t="shared" si="2"/>
        <v>1</v>
      </c>
      <c r="S10" s="661">
        <f>S12+S13</f>
        <v>0</v>
      </c>
      <c r="T10" s="661">
        <f>IFS(AND(T5="",AND(T6="",T7="")),0,AND(T5="SI",T7&lt;&gt;""),T7-E10,AND(T6&lt;&gt;"",T7&lt;&gt;""),T7-T6,AND(AF10="MUERTO",T6&lt;&gt;""),Z10-T6)</f>
        <v>0</v>
      </c>
      <c r="U10" s="661">
        <f>IF(U5="",0,U5)</f>
        <v>3</v>
      </c>
      <c r="V10" s="661">
        <f>V12+V13</f>
        <v>0</v>
      </c>
      <c r="W10" s="661">
        <f>IF(W5="",0,W5)</f>
        <v>0</v>
      </c>
      <c r="X10" s="661">
        <f>SUM(Q10:W10)</f>
        <v>4</v>
      </c>
      <c r="Y10" s="661">
        <f>P10+X10</f>
        <v>10</v>
      </c>
      <c r="Z10" s="663">
        <f>+General!D38</f>
        <v>44217</v>
      </c>
      <c r="AA10" s="661">
        <f>+General!J43</f>
        <v>17</v>
      </c>
      <c r="AB10" s="661" t="str">
        <f>IF(AB5="ALTA K","X","")</f>
        <v/>
      </c>
      <c r="AC10" s="661" t="str">
        <f>IF(AB5="ALTA DOMICILIARIA","X","")</f>
        <v/>
      </c>
      <c r="AD10" s="661" t="str">
        <f>IF(AB5="PISO","X","")</f>
        <v>X</v>
      </c>
      <c r="AE10" s="661" t="str">
        <f>IF(AB5="3º NIVEL","X","")</f>
        <v/>
      </c>
      <c r="AF10" s="661" t="str">
        <f>IF(OR(AB5="Muerto",AF5="Muerto"),"X","")</f>
        <v/>
      </c>
      <c r="AG10" s="661"/>
      <c r="AH10" s="661"/>
      <c r="AI10" s="661"/>
      <c r="AJ10" s="661"/>
      <c r="AK10" s="661"/>
      <c r="AL10" s="661"/>
      <c r="AM10" s="661"/>
      <c r="AN10" s="661"/>
      <c r="AO10" s="661"/>
      <c r="AP10" s="661"/>
      <c r="AQ10" s="661"/>
      <c r="AR10" s="661"/>
      <c r="AS10" s="661"/>
      <c r="AT10" s="661"/>
      <c r="AU10" s="661"/>
      <c r="AV10" s="661"/>
      <c r="AW10" s="661"/>
      <c r="AX10" s="661"/>
      <c r="AY10" s="661"/>
      <c r="AZ10" s="661"/>
      <c r="BA10" s="661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64" t="s">
        <v>405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3"/>
      <c r="O14" s="7"/>
    </row>
    <row r="15">
      <c r="A15" s="293"/>
      <c r="O15" s="7"/>
    </row>
    <row r="16">
      <c r="A16" s="309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