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Monitoreo" sheetId="2" r:id="rId5"/>
    <sheet state="visible" name="Estadística nueva" sheetId="3" r:id="rId6"/>
    <sheet state="visible" name="Prestaciones" sheetId="4" r:id="rId7"/>
  </sheets>
  <definedNames/>
  <calcPr/>
</workbook>
</file>

<file path=xl/sharedStrings.xml><?xml version="1.0" encoding="utf-8"?>
<sst xmlns="http://schemas.openxmlformats.org/spreadsheetml/2006/main" count="542" uniqueCount="405">
  <si>
    <t>Servicio de Kinesiología</t>
  </si>
  <si>
    <t xml:space="preserve">Hoja Ingreso UTI </t>
  </si>
  <si>
    <t>Cama UTI</t>
  </si>
  <si>
    <t>HC</t>
  </si>
  <si>
    <t>Fecha de ingreso al hospital</t>
  </si>
  <si>
    <t>SOFA / %</t>
  </si>
  <si>
    <t>Nombre y Apellido:</t>
  </si>
  <si>
    <t>Dario Enrique Figini</t>
  </si>
  <si>
    <t>Fecha de ingreso UTI</t>
  </si>
  <si>
    <t>APACHE II / %</t>
  </si>
  <si>
    <t>Edad:</t>
  </si>
  <si>
    <t xml:space="preserve">Género: </t>
  </si>
  <si>
    <t>Hombre</t>
  </si>
  <si>
    <t>Peso real (Kg)</t>
  </si>
  <si>
    <t>SAPSII / %</t>
  </si>
  <si>
    <t>Altura (cm):</t>
  </si>
  <si>
    <t>Peso predicho</t>
  </si>
  <si>
    <t>Tipo de ingreso</t>
  </si>
  <si>
    <t>MÉDICO</t>
  </si>
  <si>
    <t>Charlson</t>
  </si>
  <si>
    <t>Antecedentes:</t>
  </si>
  <si>
    <t>ONCOLOGICOS</t>
  </si>
  <si>
    <t>HTA</t>
  </si>
  <si>
    <t>ExTBQ</t>
  </si>
  <si>
    <t>Motivo de ingreso:</t>
  </si>
  <si>
    <t>COVID</t>
  </si>
  <si>
    <t xml:space="preserve">Antecedentes de enfermedad actual: Cursando internacion en clinica medica desde el día 04/01 por neumonia por Covid-19, con inicio de los sintomas 30/12. Por empeoramiento de la sintomatologia e hipoxemia se decide pase a UTIM el 16/10 con MR a 15 l/min SatO2 88%, disneico se decide IOT/ARM el 17/01. </t>
  </si>
  <si>
    <t>Estudios complementarios:</t>
  </si>
  <si>
    <t>TOMOGRAFIA DE TORAX QUE INFORMA INFILTRADOS EN VIDRIO ESMERILADO EN LOBULOS SUPERIOR E INFERIOR DERECHO,</t>
  </si>
  <si>
    <t>SOPORTE PREVIO VMI</t>
  </si>
  <si>
    <t>CNAFO</t>
  </si>
  <si>
    <t>Fecha inicio</t>
  </si>
  <si>
    <t>Fecha fin</t>
  </si>
  <si>
    <t>Falla</t>
  </si>
  <si>
    <t>Causa</t>
  </si>
  <si>
    <t>VMNI</t>
  </si>
  <si>
    <t>VENTILACIÓN MECÁNICA</t>
  </si>
  <si>
    <t>Fecha de IOT</t>
  </si>
  <si>
    <t>Tubo Nº</t>
  </si>
  <si>
    <t>Fijado en</t>
  </si>
  <si>
    <t>Fecha Inicio</t>
  </si>
  <si>
    <t xml:space="preserve">Fecha fin </t>
  </si>
  <si>
    <t>Ingresa TQT</t>
  </si>
  <si>
    <t>Ingresa ARM</t>
  </si>
  <si>
    <t>Transtubación</t>
  </si>
  <si>
    <t>Nº de veces</t>
  </si>
  <si>
    <t>Nº de pronos</t>
  </si>
  <si>
    <t>MOTIVO VM Y PRESTACIONES</t>
  </si>
  <si>
    <t>Motivo</t>
  </si>
  <si>
    <t>NMN</t>
  </si>
  <si>
    <t>Nº Asp traq</t>
  </si>
  <si>
    <t>Nº Asp naso</t>
  </si>
  <si>
    <t>Nº deglu</t>
  </si>
  <si>
    <t>Nº Func resp</t>
  </si>
  <si>
    <t>Otro Motivo</t>
  </si>
  <si>
    <t>Cuál</t>
  </si>
  <si>
    <t>Nuevo evento</t>
  </si>
  <si>
    <t>Inicio</t>
  </si>
  <si>
    <t>Fin</t>
  </si>
  <si>
    <t>N° AKR/día</t>
  </si>
  <si>
    <t>N° AKM/día</t>
  </si>
  <si>
    <t>WEANING</t>
  </si>
  <si>
    <t xml:space="preserve">Fecha de inicio: </t>
  </si>
  <si>
    <t>Método PVE:</t>
  </si>
  <si>
    <t>PSV</t>
  </si>
  <si>
    <t>Tiempo (min)</t>
  </si>
  <si>
    <t>Boles</t>
  </si>
  <si>
    <t>WIND</t>
  </si>
  <si>
    <t>No destete</t>
  </si>
  <si>
    <t>Fecha EOT:</t>
  </si>
  <si>
    <t>Tipo EOT:</t>
  </si>
  <si>
    <t>Falla EOT:</t>
  </si>
  <si>
    <t>Horas a la falla</t>
  </si>
  <si>
    <t>VMNI postEOT</t>
  </si>
  <si>
    <t>Inicio:</t>
  </si>
  <si>
    <t>Fin:</t>
  </si>
  <si>
    <t>Falla:</t>
  </si>
  <si>
    <t>ReIOT Post VNI</t>
  </si>
  <si>
    <t>CNAFO postEOT</t>
  </si>
  <si>
    <t>ReIOT Post CNAF</t>
  </si>
  <si>
    <t>REIOT</t>
  </si>
  <si>
    <t>Nº Fallas EOT:</t>
  </si>
  <si>
    <t>Nº de PVE</t>
  </si>
  <si>
    <t>TRAQUEOSTOMÍA</t>
  </si>
  <si>
    <t>Fecha Traqueostomía:</t>
  </si>
  <si>
    <t xml:space="preserve">Tipo: </t>
  </si>
  <si>
    <t>Cambio de cánula</t>
  </si>
  <si>
    <t>Nº de Veces</t>
  </si>
  <si>
    <t>Egresa decanulado:</t>
  </si>
  <si>
    <t>Fecha deca</t>
  </si>
  <si>
    <t>Motivo de cambio</t>
  </si>
  <si>
    <t>EGRESO</t>
  </si>
  <si>
    <t xml:space="preserve">Egresado: </t>
  </si>
  <si>
    <t>MUERTO</t>
  </si>
  <si>
    <t>Fecha</t>
  </si>
  <si>
    <t>Dependiente de VM:</t>
  </si>
  <si>
    <t>SI</t>
  </si>
  <si>
    <t>Destino</t>
  </si>
  <si>
    <t>Muerto</t>
  </si>
  <si>
    <t>LET</t>
  </si>
  <si>
    <t>Causa de muerte</t>
  </si>
  <si>
    <t>HIPOXEMIA REFRACTARIA</t>
  </si>
  <si>
    <t>Complicaciones</t>
  </si>
  <si>
    <t>BNM</t>
  </si>
  <si>
    <t>SDRA</t>
  </si>
  <si>
    <t>SHOCK/SEPSIS</t>
  </si>
  <si>
    <t>PAFI&lt;200</t>
  </si>
  <si>
    <t>DELIRIUM</t>
  </si>
  <si>
    <t>Días de</t>
  </si>
  <si>
    <t>Analgésicos</t>
  </si>
  <si>
    <t>Sedantes</t>
  </si>
  <si>
    <t>Inotrópicos</t>
  </si>
  <si>
    <t>Delirium</t>
  </si>
  <si>
    <t>Antipsicóticos</t>
  </si>
  <si>
    <t>Dias de tubo</t>
  </si>
  <si>
    <t>Días de ARM</t>
  </si>
  <si>
    <t>Días de UTI</t>
  </si>
  <si>
    <t>TOTAL</t>
  </si>
  <si>
    <t>Monitoreo Diario de la VM</t>
  </si>
  <si>
    <t>Peso predicho:</t>
  </si>
  <si>
    <t>ESTADO GENERAL</t>
  </si>
  <si>
    <t>FC</t>
  </si>
  <si>
    <t>TAs</t>
  </si>
  <si>
    <t>TAd</t>
  </si>
  <si>
    <t>T°</t>
  </si>
  <si>
    <t>SpO2</t>
  </si>
  <si>
    <t>CPOT/EVA 
Analgésicos</t>
  </si>
  <si>
    <t>FNT</t>
  </si>
  <si>
    <t>RASS 
Sedantes</t>
  </si>
  <si>
    <t>PROPO</t>
  </si>
  <si>
    <t>DEXMEDETO</t>
  </si>
  <si>
    <t>MDZ/PROPO</t>
  </si>
  <si>
    <t>MDZ</t>
  </si>
  <si>
    <r>
      <rPr>
        <rFont val="Calibri"/>
        <color rgb="FF000000"/>
        <sz val="11.0"/>
      </rPr>
      <t xml:space="preserve">CAM-ICU 
</t>
    </r>
    <r>
      <rPr>
        <rFont val="Calibri"/>
        <color rgb="FF000000"/>
        <sz val="9.0"/>
      </rPr>
      <t>Antipsicóticos</t>
    </r>
  </si>
  <si>
    <t>N/E</t>
  </si>
  <si>
    <t>MRC 
BQNM</t>
  </si>
  <si>
    <t>ATRA</t>
  </si>
  <si>
    <t>NORA</t>
  </si>
  <si>
    <t>EAB</t>
  </si>
  <si>
    <t>PH</t>
  </si>
  <si>
    <t>PaCO2</t>
  </si>
  <si>
    <t>PaO2</t>
  </si>
  <si>
    <t>HCO3</t>
  </si>
  <si>
    <t>BE</t>
  </si>
  <si>
    <t>SaO2</t>
  </si>
  <si>
    <t>Lac.</t>
  </si>
  <si>
    <t>FiO2</t>
  </si>
  <si>
    <t>PaO2/FIO2</t>
  </si>
  <si>
    <t>SETEO</t>
  </si>
  <si>
    <t xml:space="preserve">Modo VM </t>
  </si>
  <si>
    <t>VC-CMV</t>
  </si>
  <si>
    <t>PC-CMV</t>
  </si>
  <si>
    <t>VT/PI/PSV</t>
  </si>
  <si>
    <t>FR</t>
  </si>
  <si>
    <t>PEEP</t>
  </si>
  <si>
    <t>FIO2</t>
  </si>
  <si>
    <t>Ti</t>
  </si>
  <si>
    <t>Flujo (L/m)</t>
  </si>
  <si>
    <t>Onda flujo</t>
  </si>
  <si>
    <t>Cuadrada</t>
  </si>
  <si>
    <t>Desacelerada</t>
  </si>
  <si>
    <t>MONITOREO</t>
  </si>
  <si>
    <t>FR total</t>
  </si>
  <si>
    <t>Vte</t>
  </si>
  <si>
    <t>VM</t>
  </si>
  <si>
    <t>PIP</t>
  </si>
  <si>
    <t>P Plateau</t>
  </si>
  <si>
    <t>PEEPt</t>
  </si>
  <si>
    <t>Asiste?</t>
  </si>
  <si>
    <t>NO</t>
  </si>
  <si>
    <t>P0.1</t>
  </si>
  <si>
    <t>Pocc</t>
  </si>
  <si>
    <t>PAOP</t>
  </si>
  <si>
    <t>CALCULADOS</t>
  </si>
  <si>
    <t>Vt (mL/Kg)</t>
  </si>
  <si>
    <t>I</t>
  </si>
  <si>
    <t>E</t>
  </si>
  <si>
    <t>P media</t>
  </si>
  <si>
    <t>Δpresion</t>
  </si>
  <si>
    <t>Cest</t>
  </si>
  <si>
    <t>Raw</t>
  </si>
  <si>
    <t>MP</t>
  </si>
  <si>
    <t>MP/Crs</t>
  </si>
  <si>
    <t>MP/Kg</t>
  </si>
  <si>
    <t>VR</t>
  </si>
  <si>
    <t>PMI</t>
  </si>
  <si>
    <t>ΔPL (Pocc)</t>
  </si>
  <si>
    <t>PMI (Pocc)</t>
  </si>
  <si>
    <t>ΔPxFR</t>
  </si>
  <si>
    <t>Indice de O2</t>
  </si>
  <si>
    <t>CAM-ICU POSITIVO</t>
  </si>
  <si>
    <t>DAUCI</t>
  </si>
  <si>
    <t>Midazolam</t>
  </si>
  <si>
    <t>Fenta</t>
  </si>
  <si>
    <t>Nora</t>
  </si>
  <si>
    <t>CAM-ICU NEGATIVO</t>
  </si>
  <si>
    <t>MRC &lt; 48</t>
  </si>
  <si>
    <t>dìas</t>
  </si>
  <si>
    <t>Propofol</t>
  </si>
  <si>
    <t>Morfina</t>
  </si>
  <si>
    <t>Vasopresina</t>
  </si>
  <si>
    <t>CAM-ICU N/E</t>
  </si>
  <si>
    <t>MRC &gt; 48</t>
  </si>
  <si>
    <t>Dexmedeto</t>
  </si>
  <si>
    <t>RemiFNT</t>
  </si>
  <si>
    <t>Dopa</t>
  </si>
  <si>
    <t>Dolofrix</t>
  </si>
  <si>
    <t>Nora/Vaso</t>
  </si>
  <si>
    <t>ANTIPSICÓTICOS</t>
  </si>
  <si>
    <t>Ketamina</t>
  </si>
  <si>
    <t>AINES</t>
  </si>
  <si>
    <t>Dobuta</t>
  </si>
  <si>
    <t>Quetiapina (QTP)</t>
  </si>
  <si>
    <t>Atracurio</t>
  </si>
  <si>
    <t>Otros</t>
  </si>
  <si>
    <t>Milrinona</t>
  </si>
  <si>
    <t>Haloperidol (HLP)</t>
  </si>
  <si>
    <t>Rocuronio</t>
  </si>
  <si>
    <t>QTP/HLP</t>
  </si>
  <si>
    <t>MONITOREO DE LA VENTILACIÓN MECÁNICA</t>
  </si>
  <si>
    <t>ESTADO ÁCIDO BASE</t>
  </si>
  <si>
    <t>DATOS GENERALES</t>
  </si>
  <si>
    <t>ANTECEDENTES</t>
  </si>
  <si>
    <t>AVMi</t>
  </si>
  <si>
    <t>SOPORTE NO INVASIVO PREVIO VMI</t>
  </si>
  <si>
    <t>SOPORTE NO INVASIVO EN WEANING</t>
  </si>
  <si>
    <t>COMPLICACIONES GENERALES</t>
  </si>
  <si>
    <t>DROGAS</t>
  </si>
  <si>
    <t>MODO VENTILATORIO (DÍAS)</t>
  </si>
  <si>
    <t>Vt/Pi SETEADA (DÍAS)</t>
  </si>
  <si>
    <t>FR SETEADA</t>
  </si>
  <si>
    <t>PEEP SETEADA</t>
  </si>
  <si>
    <t>FiO2 SETEADA</t>
  </si>
  <si>
    <t>FR TOTAL</t>
  </si>
  <si>
    <t>VOLUMEN MINUTO</t>
  </si>
  <si>
    <t>PRESIÓN PICO</t>
  </si>
  <si>
    <t>PRESIÓN PLATEAU</t>
  </si>
  <si>
    <t>PEEP TOTAL</t>
  </si>
  <si>
    <t>DRIVING PRESSURE</t>
  </si>
  <si>
    <t>COMPLIANCE</t>
  </si>
  <si>
    <t>RESISTENCIA</t>
  </si>
  <si>
    <t>PRESIÓN MEDIA</t>
  </si>
  <si>
    <t>MECHANICAL POWER</t>
  </si>
  <si>
    <t>MECHANICAL POWER / Crs</t>
  </si>
  <si>
    <t>MECHANICAL POWER / Pp</t>
  </si>
  <si>
    <t>ΔP/FR</t>
  </si>
  <si>
    <t>VENTILATORY RATIO</t>
  </si>
  <si>
    <t>PRESSURE MUSCLE INDEX (PMI)</t>
  </si>
  <si>
    <t>ÍNDICE DE OXIGENACIÓN</t>
  </si>
  <si>
    <t>pH</t>
  </si>
  <si>
    <t>PaFiO2</t>
  </si>
  <si>
    <t xml:space="preserve">ID </t>
  </si>
  <si>
    <t>Apellido y Nombre</t>
  </si>
  <si>
    <t xml:space="preserve">Edad </t>
  </si>
  <si>
    <t>Género</t>
  </si>
  <si>
    <t>Altura (cm)</t>
  </si>
  <si>
    <t>IMC</t>
  </si>
  <si>
    <t>Fecha de egreso UTI</t>
  </si>
  <si>
    <t>Condición egreso</t>
  </si>
  <si>
    <t>Destino egreso</t>
  </si>
  <si>
    <t>Fecha de ingreso Hosp</t>
  </si>
  <si>
    <t>LOS previo UTI</t>
  </si>
  <si>
    <t>LOS UTI</t>
  </si>
  <si>
    <t>SAPS II</t>
  </si>
  <si>
    <t>% SAPS II</t>
  </si>
  <si>
    <t>APACHE II</t>
  </si>
  <si>
    <t>% APACHE II</t>
  </si>
  <si>
    <t>CHARLSON</t>
  </si>
  <si>
    <t>Diagnóstico de ingreso</t>
  </si>
  <si>
    <t>IAM</t>
  </si>
  <si>
    <t>IC</t>
  </si>
  <si>
    <t>PCR</t>
  </si>
  <si>
    <t>EPOC</t>
  </si>
  <si>
    <t>TBQ</t>
  </si>
  <si>
    <t>EX TBQ</t>
  </si>
  <si>
    <t>ASMA</t>
  </si>
  <si>
    <t>OCD</t>
  </si>
  <si>
    <t>VMI PREVIA</t>
  </si>
  <si>
    <t>VNI DOMICILIARIA</t>
  </si>
  <si>
    <t>ACV</t>
  </si>
  <si>
    <t>TEC</t>
  </si>
  <si>
    <t>ANEURISMA</t>
  </si>
  <si>
    <t>ENF NEUROMUSC</t>
  </si>
  <si>
    <t>DBT</t>
  </si>
  <si>
    <t>OBESIDAD</t>
  </si>
  <si>
    <t>HIPOTIROIDISMO</t>
  </si>
  <si>
    <t>HIPERTIROIDISMO</t>
  </si>
  <si>
    <t>INSUF RENAL</t>
  </si>
  <si>
    <t>POP</t>
  </si>
  <si>
    <t>TBC</t>
  </si>
  <si>
    <t>HIV</t>
  </si>
  <si>
    <t>HEPATITIS</t>
  </si>
  <si>
    <t>CHAGAS</t>
  </si>
  <si>
    <t>CONSUMO DE SUSTANCIAS</t>
  </si>
  <si>
    <t>REUMATOLOGICOS</t>
  </si>
  <si>
    <t>PSIQUIATRICOS</t>
  </si>
  <si>
    <t>OTROS</t>
  </si>
  <si>
    <t>Fecha IOT</t>
  </si>
  <si>
    <t>Inicio AVMi</t>
  </si>
  <si>
    <t>Fin AVMi</t>
  </si>
  <si>
    <t>Días AVMi</t>
  </si>
  <si>
    <t>Días de TOT</t>
  </si>
  <si>
    <t>Motivo AVMi</t>
  </si>
  <si>
    <t>Nº transtubación</t>
  </si>
  <si>
    <t>Días libres de VM al día 28</t>
  </si>
  <si>
    <t>Inicio nuevo evento</t>
  </si>
  <si>
    <t>Fin nuevo evento</t>
  </si>
  <si>
    <t>Fecha de inicio</t>
  </si>
  <si>
    <t>Método PVE</t>
  </si>
  <si>
    <t>Tiempo PVE</t>
  </si>
  <si>
    <t>Fecha EOT</t>
  </si>
  <si>
    <t>Tipo EOT</t>
  </si>
  <si>
    <t>Falla EOT</t>
  </si>
  <si>
    <t>Hs a la falla</t>
  </si>
  <si>
    <t>ReIOT</t>
  </si>
  <si>
    <t>Motivo ReIOT</t>
  </si>
  <si>
    <t>Nº Fallas EOT</t>
  </si>
  <si>
    <t>BOLES</t>
  </si>
  <si>
    <t>Egresa dependiente VM</t>
  </si>
  <si>
    <t>Fecha TQT</t>
  </si>
  <si>
    <t>Tipo TQT</t>
  </si>
  <si>
    <t>Cambio TQT</t>
  </si>
  <si>
    <t>Nº cambios TQT</t>
  </si>
  <si>
    <t>Decanulado</t>
  </si>
  <si>
    <t>Fecha decanulación</t>
  </si>
  <si>
    <t>Días de TQT</t>
  </si>
  <si>
    <t>Días de tubo a TQT</t>
  </si>
  <si>
    <t>Motivo CNAFO</t>
  </si>
  <si>
    <t>Fecha de fin</t>
  </si>
  <si>
    <t>Causa de falla</t>
  </si>
  <si>
    <t>Días CNAFO</t>
  </si>
  <si>
    <t>Motivo VMNI</t>
  </si>
  <si>
    <t>Días VMNI</t>
  </si>
  <si>
    <t>ReIOT Post CNAFO</t>
  </si>
  <si>
    <t>ReIOT post VMNI</t>
  </si>
  <si>
    <t>TEP</t>
  </si>
  <si>
    <t>BNMr</t>
  </si>
  <si>
    <t>PRONO</t>
  </si>
  <si>
    <t>BAROTRAUMA</t>
  </si>
  <si>
    <t>FMO</t>
  </si>
  <si>
    <t>EOT NO PROGRAMADA</t>
  </si>
  <si>
    <t>PaFiO2 &lt;200</t>
  </si>
  <si>
    <t>I. RENAL</t>
  </si>
  <si>
    <t>NAVM</t>
  </si>
  <si>
    <t>LESIONES FACIALES</t>
  </si>
  <si>
    <t>CAMBIO DE INTERFAZ POR DISCONFORT</t>
  </si>
  <si>
    <t>Nº de Complicac</t>
  </si>
  <si>
    <t>SEDANTES</t>
  </si>
  <si>
    <t>KETAMINA</t>
  </si>
  <si>
    <t>OTRO SEDANTE</t>
  </si>
  <si>
    <t>ANALGESIA</t>
  </si>
  <si>
    <t>MORFINA</t>
  </si>
  <si>
    <t>REMIFNT</t>
  </si>
  <si>
    <t>DOLOFRIX</t>
  </si>
  <si>
    <t>OTROS ANALGÉSICOS</t>
  </si>
  <si>
    <t>INOTRÓPICOS</t>
  </si>
  <si>
    <t>VASOPRESINA</t>
  </si>
  <si>
    <t>DOPA</t>
  </si>
  <si>
    <t>NORA/VASO</t>
  </si>
  <si>
    <t>DOBUTA</t>
  </si>
  <si>
    <t>MILRI</t>
  </si>
  <si>
    <t>OTROS INOTRÓPICOS</t>
  </si>
  <si>
    <t>QTP</t>
  </si>
  <si>
    <t>HLP</t>
  </si>
  <si>
    <t>ROCURONIO</t>
  </si>
  <si>
    <t>POSITIVO</t>
  </si>
  <si>
    <t>NEGATIVO</t>
  </si>
  <si>
    <t xml:space="preserve">      NO CAMBIAR NI BORRAR NADA DE ESTA PLANILLA.                                                      CUANDO SE DA EL ALTA, SOLO COPIAR LA FILA 12 Y PEGARLA EN EL EXCEL DE ESTADÍSTICA</t>
  </si>
  <si>
    <t xml:space="preserve"> KINESIOLOGIA - UTI adultos  2020</t>
  </si>
  <si>
    <t>DATOS DEMOGRAFICOS</t>
  </si>
  <si>
    <t>TIPO DE INGRESO</t>
  </si>
  <si>
    <t>MOTIVO de INGRESO</t>
  </si>
  <si>
    <t>PRESTACIONES</t>
  </si>
  <si>
    <t>DIAS</t>
  </si>
  <si>
    <t>DESTINO AL ALTA</t>
  </si>
  <si>
    <t>Edad</t>
  </si>
  <si>
    <t>Fecha de Ingreso</t>
  </si>
  <si>
    <t>Médico</t>
  </si>
  <si>
    <t>Quirúrgico</t>
  </si>
  <si>
    <t>Respiratorio</t>
  </si>
  <si>
    <t>AVM</t>
  </si>
  <si>
    <t>Ort./Traum.</t>
  </si>
  <si>
    <t>Neurologico</t>
  </si>
  <si>
    <t>Cardiovascular</t>
  </si>
  <si>
    <t>AKR</t>
  </si>
  <si>
    <t>AKM</t>
  </si>
  <si>
    <t>Cant. Asist/Día</t>
  </si>
  <si>
    <t>TOTAL Prestaciones Grales</t>
  </si>
  <si>
    <t>Funcional Respiratorio</t>
  </si>
  <si>
    <t>Deglución</t>
  </si>
  <si>
    <t>TQT</t>
  </si>
  <si>
    <t>AT</t>
  </si>
  <si>
    <t>CNAF</t>
  </si>
  <si>
    <t>Aspirado Nasofaríngeo</t>
  </si>
  <si>
    <t>TOTAL Prest. Especificas</t>
  </si>
  <si>
    <t>TOTAL Prestaciones</t>
  </si>
  <si>
    <t>Fecha de ALTA</t>
  </si>
  <si>
    <t>LOS Klgia</t>
  </si>
  <si>
    <t>Alta K</t>
  </si>
  <si>
    <t>Alta Domic</t>
  </si>
  <si>
    <t>Piso</t>
  </si>
  <si>
    <t>3º Nivel</t>
  </si>
  <si>
    <t>OBSERVACIONES</t>
  </si>
  <si>
    <t>X</t>
  </si>
  <si>
    <t>NO CAMBIAR NI BORRAR NADA DE ESTA PLANILLA.                                                               CUANDO SE DA EL ALTA COPIAR Y PEGAR LA FILA 10 EN EL EXCEL DE PRESTACIONES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</si>
</sst>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d/m"/>
    <numFmt numFmtId="165" formatCode="d/m/yy"/>
    <numFmt numFmtId="166" formatCode="dd/mm"/>
    <numFmt numFmtId="167" formatCode="dd/mm/yyyy"/>
    <numFmt numFmtId="168" formatCode="0.0"/>
    <numFmt numFmtId="169" formatCode="d.m"/>
    <numFmt numFmtId="170" formatCode="0.000"/>
    <numFmt numFmtId="171" formatCode="d/mm/yyyy"/>
    <numFmt numFmtId="172" formatCode="0;[Red]0"/>
  </numFmts>
  <fonts count="46">
    <font>
      <sz val="10.0"/>
      <color rgb="FF000000"/>
      <name val="Arial"/>
    </font>
    <font>
      <b/>
      <u/>
      <sz val="14.0"/>
      <color rgb="FF000000"/>
      <name val="Calibri"/>
    </font>
    <font/>
    <font>
      <sz val="11.0"/>
      <color rgb="FF000000"/>
      <name val="Calibri"/>
    </font>
    <font>
      <b/>
      <u/>
      <sz val="14.0"/>
      <color rgb="FF000000"/>
      <name val="Calibri"/>
    </font>
    <font>
      <color theme="1"/>
      <name val="Arial"/>
    </font>
    <font>
      <b/>
      <u/>
      <sz val="11.0"/>
      <color rgb="FF000000"/>
      <name val="Calibri"/>
    </font>
    <font>
      <sz val="9.0"/>
      <color rgb="FF000000"/>
      <name val="Calibri"/>
    </font>
    <font>
      <sz val="9.0"/>
      <color theme="1"/>
      <name val="Calibri"/>
    </font>
    <font>
      <sz val="11.0"/>
      <color theme="1"/>
      <name val="Calibri"/>
    </font>
    <font>
      <sz val="12.0"/>
      <color rgb="FF000000"/>
      <name val="Calibri"/>
    </font>
    <font>
      <color theme="1"/>
      <name val="Calibri"/>
    </font>
    <font>
      <sz val="11.0"/>
      <color rgb="FF000000"/>
      <name val="Inconsolata"/>
    </font>
    <font>
      <sz val="10.0"/>
      <color rgb="FF000000"/>
      <name val="Calibri"/>
    </font>
    <font>
      <u/>
      <sz val="10.0"/>
      <color rgb="FF000000"/>
      <name val="Calibri"/>
    </font>
    <font>
      <u/>
      <sz val="9.0"/>
      <color rgb="FF000000"/>
      <name val="Calibri"/>
    </font>
    <font>
      <u/>
      <sz val="10.0"/>
      <color rgb="FF000000"/>
      <name val="Calibri"/>
    </font>
    <font>
      <color rgb="FF000000"/>
      <name val="Roboto"/>
    </font>
    <font>
      <b/>
      <sz val="14.0"/>
      <color rgb="FF000000"/>
      <name val="Calibri"/>
    </font>
    <font>
      <b/>
      <sz val="10.0"/>
      <color rgb="FF000000"/>
      <name val="Calibri"/>
    </font>
    <font>
      <b/>
      <sz val="9.0"/>
      <color rgb="FF000000"/>
      <name val="Calibri"/>
    </font>
    <font>
      <b/>
      <sz val="9.0"/>
      <color theme="1"/>
      <name val="Calibri"/>
    </font>
    <font>
      <b/>
      <sz val="11.0"/>
      <color rgb="FF000000"/>
      <name val="Calibri"/>
    </font>
    <font>
      <sz val="14.0"/>
      <color rgb="FF000000"/>
      <name val="Calibri"/>
    </font>
    <font>
      <sz val="8.0"/>
      <color rgb="FF000000"/>
      <name val="Calibri"/>
    </font>
    <font>
      <b/>
      <sz val="8.0"/>
      <color rgb="FF000000"/>
      <name val="Calibri"/>
    </font>
    <font>
      <b/>
      <sz val="9.0"/>
      <color rgb="FF000000"/>
      <name val="Roboto"/>
    </font>
    <font>
      <color rgb="FF000000"/>
      <name val="Calibri"/>
    </font>
    <font>
      <b/>
      <sz val="11.0"/>
      <color theme="1"/>
      <name val="Calibri"/>
    </font>
    <font>
      <b/>
      <u/>
      <sz val="11.0"/>
      <color rgb="FF000000"/>
      <name val="Calibri"/>
    </font>
    <font>
      <b/>
      <u/>
      <sz val="11.0"/>
      <color rgb="FF000000"/>
      <name val="Calibri"/>
    </font>
    <font>
      <b/>
      <u/>
      <sz val="11.0"/>
      <color rgb="FF000000"/>
      <name val="Calibri"/>
    </font>
    <font>
      <u/>
      <sz val="11.0"/>
      <color rgb="FF000000"/>
      <name val="Calibri"/>
    </font>
    <font>
      <sz val="18.0"/>
      <color theme="0"/>
      <name val="Arial"/>
    </font>
    <font>
      <b/>
      <color theme="1"/>
      <name val="Arial"/>
    </font>
    <font>
      <b/>
      <sz val="9.0"/>
      <color theme="1"/>
      <name val="Arial"/>
    </font>
    <font>
      <sz val="11.0"/>
      <color rgb="FFF7981D"/>
      <name val="Inconsolata"/>
    </font>
    <font>
      <b/>
      <sz val="18.0"/>
      <color theme="1"/>
      <name val="Arial"/>
    </font>
    <font>
      <b/>
      <sz val="36.0"/>
      <color theme="1"/>
      <name val="&quot;Book Antiqua&quot;"/>
    </font>
    <font>
      <sz val="18.0"/>
      <color theme="1"/>
      <name val="Calibri"/>
    </font>
    <font>
      <b/>
      <sz val="18.0"/>
      <color rgb="FF000000"/>
      <name val="&quot;Book Antiqua&quot;"/>
    </font>
    <font>
      <b/>
      <sz val="18.0"/>
      <color theme="1"/>
      <name val="&quot;Book Antiqua&quot;"/>
    </font>
    <font>
      <sz val="8.0"/>
      <color theme="1"/>
      <name val="Calibri"/>
    </font>
    <font>
      <b/>
      <sz val="8.0"/>
      <color theme="1"/>
      <name val="&quot;Book Antiqua&quot;"/>
    </font>
    <font>
      <sz val="11.0"/>
      <name val="Calibri"/>
    </font>
    <font>
      <b/>
      <sz val="14.0"/>
      <color theme="1"/>
      <name val="Arial"/>
    </font>
  </fonts>
  <fills count="3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666666"/>
        <bgColor rgb="FF666666"/>
      </patternFill>
    </fill>
    <fill>
      <patternFill patternType="solid">
        <fgColor rgb="FFEA9999"/>
        <bgColor rgb="FFEA9999"/>
      </patternFill>
    </fill>
    <fill>
      <patternFill patternType="solid">
        <fgColor rgb="FFEFEFEF"/>
        <bgColor rgb="FFEFEFEF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A2C4C9"/>
        <bgColor rgb="FFA2C4C9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rgb="FFF1C232"/>
        <bgColor rgb="FFF1C232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45818E"/>
        <bgColor rgb="FF45818E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3FAF46"/>
        <bgColor rgb="FF3FAF46"/>
      </patternFill>
    </fill>
  </fills>
  <borders count="85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6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2" fillId="0" fontId="3" numFmtId="0" xfId="0" applyBorder="1" applyFont="1"/>
    <xf borderId="2" fillId="0" fontId="4" numFmtId="0" xfId="0" applyAlignment="1" applyBorder="1" applyFont="1">
      <alignment horizontal="center"/>
    </xf>
    <xf borderId="3" fillId="0" fontId="5" numFmtId="0" xfId="0" applyBorder="1" applyFont="1"/>
    <xf borderId="0" fillId="0" fontId="6" numFmtId="0" xfId="0" applyAlignment="1" applyFont="1">
      <alignment horizontal="center" readingOrder="0"/>
    </xf>
    <xf borderId="3" fillId="0" fontId="2" numFmtId="0" xfId="0" applyBorder="1" applyFont="1"/>
    <xf borderId="4" fillId="2" fontId="3" numFmtId="0" xfId="0" applyBorder="1" applyFill="1" applyFont="1"/>
    <xf borderId="5" fillId="0" fontId="3" numFmtId="0" xfId="0" applyAlignment="1" applyBorder="1" applyFont="1">
      <alignment horizontal="center" readingOrder="0"/>
    </xf>
    <xf borderId="6" fillId="2" fontId="3" numFmtId="0" xfId="0" applyAlignment="1" applyBorder="1" applyFont="1">
      <alignment readingOrder="0"/>
    </xf>
    <xf borderId="7" fillId="0" fontId="3" numFmtId="0" xfId="0" applyAlignment="1" applyBorder="1" applyFont="1">
      <alignment horizontal="center" readingOrder="0"/>
    </xf>
    <xf borderId="8" fillId="2" fontId="7" numFmtId="0" xfId="0" applyAlignment="1" applyBorder="1" applyFont="1">
      <alignment horizontal="right" readingOrder="0"/>
    </xf>
    <xf borderId="9" fillId="0" fontId="2" numFmtId="0" xfId="0" applyBorder="1" applyFont="1"/>
    <xf borderId="5" fillId="0" fontId="3" numFmtId="164" xfId="0" applyAlignment="1" applyBorder="1" applyFont="1" applyNumberFormat="1">
      <alignment horizontal="center" readingOrder="0" vertical="center"/>
    </xf>
    <xf borderId="5" fillId="2" fontId="8" numFmtId="0" xfId="0" applyAlignment="1" applyBorder="1" applyFont="1">
      <alignment readingOrder="0"/>
    </xf>
    <xf borderId="5" fillId="0" fontId="9" numFmtId="0" xfId="0" applyAlignment="1" applyBorder="1" applyFont="1">
      <alignment horizontal="center" readingOrder="0" vertical="center"/>
    </xf>
    <xf borderId="10" fillId="0" fontId="8" numFmtId="0" xfId="0" applyAlignment="1" applyBorder="1" applyFont="1">
      <alignment horizontal="center" readingOrder="0" vertical="center"/>
    </xf>
    <xf borderId="0" fillId="0" fontId="5" numFmtId="0" xfId="0" applyAlignment="1" applyFont="1">
      <alignment readingOrder="0"/>
    </xf>
    <xf borderId="11" fillId="2" fontId="7" numFmtId="0" xfId="0" applyAlignment="1" applyBorder="1" applyFont="1">
      <alignment horizontal="left"/>
    </xf>
    <xf borderId="12" fillId="0" fontId="10" numFmtId="0" xfId="0" applyAlignment="1" applyBorder="1" applyFont="1">
      <alignment horizontal="left" readingOrder="0"/>
    </xf>
    <xf borderId="13" fillId="0" fontId="2" numFmtId="0" xfId="0" applyBorder="1" applyFont="1"/>
    <xf borderId="14" fillId="0" fontId="2" numFmtId="0" xfId="0" applyBorder="1" applyFont="1"/>
    <xf borderId="12" fillId="2" fontId="8" numFmtId="0" xfId="0" applyAlignment="1" applyBorder="1" applyFont="1">
      <alignment horizontal="right" readingOrder="0"/>
    </xf>
    <xf borderId="15" fillId="0" fontId="3" numFmtId="164" xfId="0" applyAlignment="1" applyBorder="1" applyFont="1" applyNumberFormat="1">
      <alignment horizontal="center" readingOrder="0" vertical="center"/>
    </xf>
    <xf borderId="16" fillId="2" fontId="8" numFmtId="0" xfId="0" applyAlignment="1" applyBorder="1" applyFont="1">
      <alignment readingOrder="0"/>
    </xf>
    <xf borderId="15" fillId="0" fontId="9" numFmtId="0" xfId="0" applyAlignment="1" applyBorder="1" applyFont="1">
      <alignment horizontal="center" readingOrder="0" vertical="center"/>
    </xf>
    <xf borderId="17" fillId="0" fontId="11" numFmtId="0" xfId="0" applyAlignment="1" applyBorder="1" applyFont="1">
      <alignment horizontal="center" readingOrder="0" vertical="center"/>
    </xf>
    <xf borderId="0" fillId="0" fontId="5" numFmtId="0" xfId="0" applyFont="1"/>
    <xf borderId="18" fillId="2" fontId="7" numFmtId="0" xfId="0" applyBorder="1" applyFont="1"/>
    <xf borderId="15" fillId="0" fontId="3" numFmtId="0" xfId="0" applyAlignment="1" applyBorder="1" applyFont="1">
      <alignment horizontal="center" readingOrder="0"/>
    </xf>
    <xf borderId="15" fillId="2" fontId="7" numFmtId="0" xfId="0" applyAlignment="1" applyBorder="1" applyFont="1">
      <alignment readingOrder="0"/>
    </xf>
    <xf borderId="15" fillId="0" fontId="3" numFmtId="0" xfId="0" applyAlignment="1" applyBorder="1" applyFont="1">
      <alignment readingOrder="0"/>
    </xf>
    <xf borderId="12" fillId="2" fontId="7" numFmtId="0" xfId="0" applyAlignment="1" applyBorder="1" applyFont="1">
      <alignment horizontal="right" readingOrder="0"/>
    </xf>
    <xf borderId="12" fillId="0" fontId="3" numFmtId="0" xfId="0" applyAlignment="1" applyBorder="1" applyFont="1">
      <alignment horizontal="center" readingOrder="0" vertical="center"/>
    </xf>
    <xf borderId="15" fillId="2" fontId="8" numFmtId="0" xfId="0" applyAlignment="1" applyBorder="1" applyFont="1">
      <alignment readingOrder="0"/>
    </xf>
    <xf borderId="14" fillId="0" fontId="9" numFmtId="0" xfId="0" applyAlignment="1" applyBorder="1" applyFont="1">
      <alignment horizontal="center" readingOrder="0" vertical="center"/>
    </xf>
    <xf borderId="19" fillId="2" fontId="7" numFmtId="0" xfId="0" applyBorder="1" applyFont="1"/>
    <xf borderId="20" fillId="3" fontId="12" numFmtId="1" xfId="0" applyAlignment="1" applyBorder="1" applyFill="1" applyFont="1" applyNumberFormat="1">
      <alignment readingOrder="0"/>
    </xf>
    <xf borderId="21" fillId="2" fontId="7" numFmtId="0" xfId="0" applyAlignment="1" applyBorder="1" applyFont="1">
      <alignment readingOrder="0"/>
    </xf>
    <xf borderId="20" fillId="3" fontId="3" numFmtId="1" xfId="0" applyBorder="1" applyFont="1" applyNumberFormat="1"/>
    <xf borderId="22" fillId="2" fontId="7" numFmtId="0" xfId="0" applyAlignment="1" applyBorder="1" applyFont="1">
      <alignment horizontal="right" readingOrder="0"/>
    </xf>
    <xf borderId="23" fillId="0" fontId="2" numFmtId="0" xfId="0" applyBorder="1" applyFont="1"/>
    <xf borderId="22" fillId="0" fontId="13" numFmtId="0" xfId="0" applyAlignment="1" applyBorder="1" applyFont="1">
      <alignment horizontal="center" readingOrder="0"/>
    </xf>
    <xf borderId="21" fillId="2" fontId="8" numFmtId="0" xfId="0" applyAlignment="1" applyBorder="1" applyFont="1">
      <alignment readingOrder="0"/>
    </xf>
    <xf borderId="24" fillId="0" fontId="9" numFmtId="0" xfId="0" applyAlignment="1" applyBorder="1" applyFont="1">
      <alignment horizontal="center" readingOrder="0" vertical="center"/>
    </xf>
    <xf borderId="25" fillId="0" fontId="14" numFmtId="0" xfId="0" applyBorder="1" applyFont="1"/>
    <xf borderId="0" fillId="0" fontId="3" numFmtId="0" xfId="0" applyAlignment="1" applyFont="1">
      <alignment readingOrder="0"/>
    </xf>
    <xf borderId="3" fillId="0" fontId="3" numFmtId="0" xfId="0" applyAlignment="1" applyBorder="1" applyFont="1">
      <alignment readingOrder="0"/>
    </xf>
    <xf borderId="25" fillId="0" fontId="3" numFmtId="0" xfId="0" applyAlignment="1" applyBorder="1" applyFont="1">
      <alignment readingOrder="0"/>
    </xf>
    <xf borderId="1" fillId="0" fontId="15" numFmtId="0" xfId="0" applyBorder="1" applyFont="1"/>
    <xf borderId="2" fillId="0" fontId="3" numFmtId="0" xfId="0" applyAlignment="1" applyBorder="1" applyFont="1">
      <alignment readingOrder="0"/>
    </xf>
    <xf borderId="26" fillId="0" fontId="2" numFmtId="0" xfId="0" applyBorder="1" applyFont="1"/>
    <xf borderId="25" fillId="0" fontId="3" numFmtId="0" xfId="0" applyBorder="1" applyFont="1"/>
    <xf borderId="25" fillId="0" fontId="16" numFmtId="0" xfId="0" applyAlignment="1" applyBorder="1" applyFont="1">
      <alignment readingOrder="0"/>
    </xf>
    <xf borderId="0" fillId="3" fontId="17" numFmtId="0" xfId="0" applyAlignment="1" applyFont="1">
      <alignment readingOrder="0"/>
    </xf>
    <xf borderId="25" fillId="3" fontId="17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27" fillId="0" fontId="3" numFmtId="0" xfId="0" applyBorder="1" applyFont="1"/>
    <xf borderId="20" fillId="0" fontId="2" numFmtId="0" xfId="0" applyBorder="1" applyFont="1"/>
    <xf borderId="28" fillId="0" fontId="2" numFmtId="0" xfId="0" applyBorder="1" applyFont="1"/>
    <xf borderId="1" fillId="4" fontId="18" numFmtId="0" xfId="0" applyAlignment="1" applyBorder="1" applyFill="1" applyFont="1">
      <alignment horizontal="center" readingOrder="0" vertical="center"/>
    </xf>
    <xf borderId="15" fillId="2" fontId="19" numFmtId="0" xfId="0" applyAlignment="1" applyBorder="1" applyFont="1">
      <alignment readingOrder="0"/>
    </xf>
    <xf borderId="14" fillId="0" fontId="7" numFmtId="0" xfId="0" applyAlignment="1" applyBorder="1" applyFont="1">
      <alignment readingOrder="0"/>
    </xf>
    <xf borderId="14" fillId="2" fontId="19" numFmtId="0" xfId="0" applyAlignment="1" applyBorder="1" applyFont="1">
      <alignment readingOrder="0"/>
    </xf>
    <xf borderId="15" fillId="0" fontId="19" numFmtId="164" xfId="0" applyAlignment="1" applyBorder="1" applyFont="1" applyNumberFormat="1">
      <alignment readingOrder="0"/>
    </xf>
    <xf borderId="12" fillId="0" fontId="3" numFmtId="0" xfId="0" applyAlignment="1" applyBorder="1" applyFont="1">
      <alignment readingOrder="0"/>
    </xf>
    <xf borderId="17" fillId="0" fontId="19" numFmtId="0" xfId="0" applyAlignment="1" applyBorder="1" applyFont="1">
      <alignment readingOrder="0"/>
    </xf>
    <xf borderId="0" fillId="0" fontId="3" numFmtId="0" xfId="0" applyFont="1"/>
    <xf borderId="29" fillId="2" fontId="19" numFmtId="0" xfId="0" applyAlignment="1" applyBorder="1" applyFont="1">
      <alignment readingOrder="0"/>
    </xf>
    <xf borderId="30" fillId="0" fontId="19" numFmtId="0" xfId="0" applyAlignment="1" applyBorder="1" applyFont="1">
      <alignment readingOrder="0"/>
    </xf>
    <xf borderId="30" fillId="2" fontId="19" numFmtId="0" xfId="0" applyAlignment="1" applyBorder="1" applyFont="1">
      <alignment readingOrder="0"/>
    </xf>
    <xf borderId="16" fillId="2" fontId="19" numFmtId="0" xfId="0" applyAlignment="1" applyBorder="1" applyFont="1">
      <alignment readingOrder="0"/>
    </xf>
    <xf borderId="31" fillId="0" fontId="3" numFmtId="0" xfId="0" applyAlignment="1" applyBorder="1" applyFont="1">
      <alignment readingOrder="0"/>
    </xf>
    <xf borderId="32" fillId="0" fontId="19" numFmtId="0" xfId="0" applyAlignment="1" applyBorder="1" applyFont="1">
      <alignment readingOrder="0"/>
    </xf>
    <xf borderId="15" fillId="0" fontId="7" numFmtId="165" xfId="0" applyAlignment="1" applyBorder="1" applyFont="1" applyNumberFormat="1">
      <alignment readingOrder="0"/>
    </xf>
    <xf borderId="15" fillId="2" fontId="20" numFmtId="0" xfId="0" applyAlignment="1" applyBorder="1" applyFont="1">
      <alignment readingOrder="0"/>
    </xf>
    <xf borderId="15" fillId="0" fontId="7" numFmtId="0" xfId="0" applyAlignment="1" applyBorder="1" applyFont="1">
      <alignment readingOrder="0"/>
    </xf>
    <xf borderId="15" fillId="2" fontId="21" numFmtId="0" xfId="0" applyAlignment="1" applyBorder="1" applyFont="1">
      <alignment readingOrder="0"/>
    </xf>
    <xf borderId="17" fillId="0" fontId="7" numFmtId="165" xfId="0" applyAlignment="1" applyBorder="1" applyFont="1" applyNumberFormat="1">
      <alignment readingOrder="0"/>
    </xf>
    <xf borderId="0" fillId="0" fontId="7" numFmtId="0" xfId="0" applyFont="1"/>
    <xf borderId="33" fillId="0" fontId="7" numFmtId="0" xfId="0" applyAlignment="1" applyBorder="1" applyFont="1">
      <alignment readingOrder="0"/>
    </xf>
    <xf borderId="34" fillId="2" fontId="20" numFmtId="0" xfId="0" applyAlignment="1" applyBorder="1" applyFont="1">
      <alignment readingOrder="0"/>
    </xf>
    <xf borderId="0" fillId="2" fontId="20" numFmtId="0" xfId="0" applyAlignment="1" applyFont="1">
      <alignment readingOrder="0"/>
    </xf>
    <xf borderId="16" fillId="0" fontId="13" numFmtId="0" xfId="0" applyAlignment="1" applyBorder="1" applyFont="1">
      <alignment readingOrder="0"/>
    </xf>
    <xf borderId="16" fillId="2" fontId="20" numFmtId="0" xfId="0" applyAlignment="1" applyBorder="1" applyFont="1">
      <alignment readingOrder="0"/>
    </xf>
    <xf borderId="16" fillId="0" fontId="20" numFmtId="0" xfId="0" applyAlignment="1" applyBorder="1" applyFont="1">
      <alignment readingOrder="0"/>
    </xf>
    <xf borderId="30" fillId="2" fontId="21" numFmtId="0" xfId="0" applyAlignment="1" applyBorder="1" applyFont="1">
      <alignment readingOrder="0"/>
    </xf>
    <xf borderId="3" fillId="0" fontId="7" numFmtId="0" xfId="0" applyAlignment="1" applyBorder="1" applyFont="1">
      <alignment readingOrder="0"/>
    </xf>
    <xf borderId="15" fillId="2" fontId="19" numFmtId="0" xfId="0" applyAlignment="1" applyBorder="1" applyFont="1">
      <alignment readingOrder="0" vertical="center"/>
    </xf>
    <xf borderId="17" fillId="0" fontId="7" numFmtId="0" xfId="0" applyAlignment="1" applyBorder="1" applyFont="1">
      <alignment readingOrder="0"/>
    </xf>
    <xf borderId="15" fillId="0" fontId="7" numFmtId="0" xfId="0" applyBorder="1" applyFont="1"/>
    <xf borderId="15" fillId="2" fontId="22" numFmtId="0" xfId="0" applyAlignment="1" applyBorder="1" applyFont="1">
      <alignment readingOrder="0"/>
    </xf>
    <xf borderId="12" fillId="0" fontId="22" numFmtId="0" xfId="0" applyBorder="1" applyFont="1"/>
    <xf borderId="35" fillId="0" fontId="2" numFmtId="0" xfId="0" applyBorder="1" applyFont="1"/>
    <xf borderId="36" fillId="2" fontId="19" numFmtId="0" xfId="0" applyAlignment="1" applyBorder="1" applyFont="1">
      <alignment horizontal="left" readingOrder="0" vertical="center"/>
    </xf>
    <xf borderId="15" fillId="0" fontId="23" numFmtId="0" xfId="0" applyAlignment="1" applyBorder="1" applyFont="1">
      <alignment horizontal="center" readingOrder="0" vertical="center"/>
    </xf>
    <xf borderId="16" fillId="2" fontId="22" numFmtId="0" xfId="0" applyAlignment="1" applyBorder="1" applyFont="1">
      <alignment horizontal="center" readingOrder="0" vertical="center"/>
    </xf>
    <xf borderId="21" fillId="0" fontId="18" numFmtId="164" xfId="0" applyAlignment="1" applyBorder="1" applyFont="1" applyNumberFormat="1">
      <alignment horizontal="center" readingOrder="0" vertical="center"/>
    </xf>
    <xf borderId="21" fillId="2" fontId="22" numFmtId="0" xfId="0" applyAlignment="1" applyBorder="1" applyFont="1">
      <alignment horizontal="center" readingOrder="0" vertical="center"/>
    </xf>
    <xf borderId="15" fillId="2" fontId="22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center" readingOrder="0" vertical="center"/>
    </xf>
    <xf borderId="3" fillId="0" fontId="3" numFmtId="0" xfId="0" applyAlignment="1" applyBorder="1" applyFont="1">
      <alignment horizontal="center" readingOrder="0"/>
    </xf>
    <xf borderId="36" fillId="2" fontId="22" numFmtId="0" xfId="0" applyAlignment="1" applyBorder="1" applyFont="1">
      <alignment readingOrder="0"/>
    </xf>
    <xf borderId="15" fillId="0" fontId="3" numFmtId="166" xfId="0" applyAlignment="1" applyBorder="1" applyFont="1" applyNumberFormat="1">
      <alignment readingOrder="0"/>
    </xf>
    <xf borderId="16" fillId="2" fontId="22" numFmtId="0" xfId="0" applyAlignment="1" applyBorder="1" applyFont="1">
      <alignment readingOrder="0"/>
    </xf>
    <xf borderId="16" fillId="0" fontId="7" numFmtId="0" xfId="0" applyAlignment="1" applyBorder="1" applyFont="1">
      <alignment readingOrder="0"/>
    </xf>
    <xf borderId="14" fillId="2" fontId="22" numFmtId="0" xfId="0" applyAlignment="1" applyBorder="1" applyFont="1">
      <alignment readingOrder="0"/>
    </xf>
    <xf borderId="35" fillId="0" fontId="7" numFmtId="0" xfId="0" applyAlignment="1" applyBorder="1" applyFont="1">
      <alignment readingOrder="0"/>
    </xf>
    <xf borderId="29" fillId="2" fontId="22" numFmtId="0" xfId="0" applyBorder="1" applyFont="1"/>
    <xf borderId="0" fillId="2" fontId="22" numFmtId="0" xfId="0" applyAlignment="1" applyFont="1">
      <alignment readingOrder="0"/>
    </xf>
    <xf borderId="12" fillId="2" fontId="22" numFmtId="0" xfId="0" applyAlignment="1" applyBorder="1" applyFont="1">
      <alignment readingOrder="0"/>
    </xf>
    <xf borderId="3" fillId="5" fontId="3" numFmtId="0" xfId="0" applyBorder="1" applyFill="1" applyFont="1"/>
    <xf borderId="15" fillId="0" fontId="13" numFmtId="0" xfId="0" applyAlignment="1" applyBorder="1" applyFont="1">
      <alignment readingOrder="0"/>
    </xf>
    <xf borderId="0" fillId="0" fontId="20" numFmtId="164" xfId="0" applyAlignment="1" applyFont="1" applyNumberFormat="1">
      <alignment readingOrder="0"/>
    </xf>
    <xf borderId="37" fillId="2" fontId="22" numFmtId="0" xfId="0" applyAlignment="1" applyBorder="1" applyFont="1">
      <alignment readingOrder="0"/>
    </xf>
    <xf borderId="17" fillId="0" fontId="3" numFmtId="0" xfId="0" applyAlignment="1" applyBorder="1" applyFont="1">
      <alignment readingOrder="0"/>
    </xf>
    <xf borderId="15" fillId="3" fontId="13" numFmtId="166" xfId="0" applyAlignment="1" applyBorder="1" applyFont="1" applyNumberFormat="1">
      <alignment horizontal="center" readingOrder="0"/>
    </xf>
    <xf borderId="17" fillId="0" fontId="3" numFmtId="0" xfId="0" applyAlignment="1" applyBorder="1" applyFont="1">
      <alignment horizontal="center" readingOrder="0"/>
    </xf>
    <xf borderId="16" fillId="2" fontId="22" numFmtId="0" xfId="0" applyBorder="1" applyFont="1"/>
    <xf borderId="16" fillId="0" fontId="24" numFmtId="0" xfId="0" applyAlignment="1" applyBorder="1" applyFont="1">
      <alignment readingOrder="0"/>
    </xf>
    <xf borderId="15" fillId="0" fontId="5" numFmtId="0" xfId="0" applyAlignment="1" applyBorder="1" applyFont="1">
      <alignment readingOrder="0"/>
    </xf>
    <xf borderId="0" fillId="0" fontId="25" numFmtId="0" xfId="0" applyFont="1"/>
    <xf borderId="15" fillId="2" fontId="26" numFmtId="0" xfId="0" applyAlignment="1" applyBorder="1" applyFont="1">
      <alignment readingOrder="0"/>
    </xf>
    <xf borderId="3" fillId="5" fontId="24" numFmtId="0" xfId="0" applyAlignment="1" applyBorder="1" applyFont="1">
      <alignment readingOrder="0"/>
    </xf>
    <xf borderId="38" fillId="4" fontId="18" numFmtId="0" xfId="0" applyAlignment="1" applyBorder="1" applyFont="1">
      <alignment horizontal="center" readingOrder="0" vertical="center"/>
    </xf>
    <xf borderId="39" fillId="0" fontId="2" numFmtId="0" xfId="0" applyBorder="1" applyFont="1"/>
    <xf borderId="40" fillId="0" fontId="2" numFmtId="0" xfId="0" applyBorder="1" applyFont="1"/>
    <xf borderId="11" fillId="2" fontId="22" numFmtId="0" xfId="0" applyBorder="1" applyFont="1"/>
    <xf borderId="41" fillId="0" fontId="2" numFmtId="0" xfId="0" applyBorder="1" applyFont="1"/>
    <xf borderId="33" fillId="0" fontId="3" numFmtId="167" xfId="0" applyAlignment="1" applyBorder="1" applyFont="1" applyNumberFormat="1">
      <alignment readingOrder="0"/>
    </xf>
    <xf borderId="33" fillId="2" fontId="22" numFmtId="0" xfId="0" applyAlignment="1" applyBorder="1" applyFont="1">
      <alignment readingOrder="0"/>
    </xf>
    <xf borderId="33" fillId="3" fontId="22" numFmtId="0" xfId="0" applyAlignment="1" applyBorder="1" applyFont="1">
      <alignment horizontal="left" readingOrder="0"/>
    </xf>
    <xf borderId="31" fillId="2" fontId="22" numFmtId="0" xfId="0" applyAlignment="1" applyBorder="1" applyFont="1">
      <alignment readingOrder="0"/>
    </xf>
    <xf borderId="15" fillId="0" fontId="13" numFmtId="0" xfId="0" applyBorder="1" applyFont="1"/>
    <xf borderId="25" fillId="2" fontId="22" numFmtId="0" xfId="0" applyAlignment="1" applyBorder="1" applyFont="1">
      <alignment horizontal="left"/>
    </xf>
    <xf borderId="16" fillId="3" fontId="27" numFmtId="0" xfId="0" applyAlignment="1" applyBorder="1" applyFont="1">
      <alignment horizontal="left" readingOrder="0"/>
    </xf>
    <xf borderId="42" fillId="2" fontId="19" numFmtId="0" xfId="0" applyAlignment="1" applyBorder="1" applyFont="1">
      <alignment readingOrder="0"/>
    </xf>
    <xf borderId="0" fillId="0" fontId="3" numFmtId="164" xfId="0" applyAlignment="1" applyFont="1" applyNumberFormat="1">
      <alignment readingOrder="0"/>
    </xf>
    <xf borderId="43" fillId="2" fontId="22" numFmtId="0" xfId="0" applyAlignment="1" applyBorder="1" applyFont="1">
      <alignment readingOrder="0"/>
    </xf>
    <xf borderId="42" fillId="0" fontId="2" numFmtId="0" xfId="0" applyBorder="1" applyFont="1"/>
    <xf borderId="42" fillId="0" fontId="3" numFmtId="0" xfId="0" applyBorder="1" applyFont="1"/>
    <xf borderId="3" fillId="0" fontId="3" numFmtId="0" xfId="0" applyBorder="1" applyFont="1"/>
    <xf borderId="44" fillId="4" fontId="18" numFmtId="0" xfId="0" applyAlignment="1" applyBorder="1" applyFont="1">
      <alignment horizontal="center" readingOrder="0" vertical="center"/>
    </xf>
    <xf borderId="45" fillId="0" fontId="2" numFmtId="0" xfId="0" applyBorder="1" applyFont="1"/>
    <xf borderId="46" fillId="0" fontId="2" numFmtId="0" xfId="0" applyBorder="1" applyFont="1"/>
    <xf borderId="0" fillId="3" fontId="12" numFmtId="0" xfId="0" applyFont="1"/>
    <xf borderId="47" fillId="2" fontId="22" numFmtId="0" xfId="0" applyAlignment="1" applyBorder="1" applyFont="1">
      <alignment readingOrder="0"/>
    </xf>
    <xf borderId="33" fillId="0" fontId="3" numFmtId="0" xfId="0" applyAlignment="1" applyBorder="1" applyFont="1">
      <alignment readingOrder="0"/>
    </xf>
    <xf borderId="37" fillId="0" fontId="3" numFmtId="0" xfId="0" applyBorder="1" applyFont="1"/>
    <xf borderId="31" fillId="2" fontId="22" numFmtId="0" xfId="0" applyBorder="1" applyFont="1"/>
    <xf borderId="33" fillId="2" fontId="28" numFmtId="0" xfId="0" applyAlignment="1" applyBorder="1" applyFont="1">
      <alignment readingOrder="0"/>
    </xf>
    <xf borderId="48" fillId="3" fontId="12" numFmtId="0" xfId="0" applyAlignment="1" applyBorder="1" applyFont="1">
      <alignment readingOrder="0"/>
    </xf>
    <xf borderId="19" fillId="2" fontId="22" numFmtId="0" xfId="0" applyAlignment="1" applyBorder="1" applyFont="1">
      <alignment readingOrder="0"/>
    </xf>
    <xf borderId="21" fillId="2" fontId="22" numFmtId="0" xfId="0" applyAlignment="1" applyBorder="1" applyFont="1">
      <alignment readingOrder="0"/>
    </xf>
    <xf borderId="21" fillId="0" fontId="3" numFmtId="166" xfId="0" applyAlignment="1" applyBorder="1" applyFont="1" applyNumberFormat="1">
      <alignment readingOrder="0"/>
    </xf>
    <xf borderId="20" fillId="0" fontId="3" numFmtId="0" xfId="0" applyBorder="1" applyFont="1"/>
    <xf borderId="49" fillId="2" fontId="22" numFmtId="0" xfId="0" applyAlignment="1" applyBorder="1" applyFont="1">
      <alignment readingOrder="0"/>
    </xf>
    <xf borderId="50" fillId="0" fontId="2" numFmtId="0" xfId="0" applyBorder="1" applyFont="1"/>
    <xf borderId="50" fillId="0" fontId="3" numFmtId="0" xfId="0" applyAlignment="1" applyBorder="1" applyFont="1">
      <alignment readingOrder="0"/>
    </xf>
    <xf borderId="20" fillId="0" fontId="5" numFmtId="0" xfId="0" applyBorder="1" applyFont="1"/>
    <xf borderId="51" fillId="0" fontId="5" numFmtId="0" xfId="0" applyBorder="1" applyFont="1"/>
    <xf borderId="52" fillId="2" fontId="22" numFmtId="0" xfId="0" applyAlignment="1" applyBorder="1" applyFont="1">
      <alignment readingOrder="0" vertical="center"/>
    </xf>
    <xf borderId="5" fillId="0" fontId="24" numFmtId="0" xfId="0" applyAlignment="1" applyBorder="1" applyFont="1">
      <alignment horizontal="center" readingOrder="0" vertical="center"/>
    </xf>
    <xf borderId="10" fillId="0" fontId="24" numFmtId="0" xfId="0" applyAlignment="1" applyBorder="1" applyFont="1">
      <alignment horizontal="center" readingOrder="0" vertical="center"/>
    </xf>
    <xf borderId="53" fillId="0" fontId="2" numFmtId="0" xfId="0" applyBorder="1" applyFont="1"/>
    <xf borderId="21" fillId="0" fontId="24" numFmtId="0" xfId="0" applyAlignment="1" applyBorder="1" applyFont="1">
      <alignment horizontal="center" readingOrder="0" vertical="center"/>
    </xf>
    <xf borderId="24" fillId="0" fontId="24" numFmtId="0" xfId="0" applyAlignment="1" applyBorder="1" applyFont="1">
      <alignment horizontal="center" readingOrder="0" vertical="center"/>
    </xf>
    <xf borderId="4" fillId="6" fontId="22" numFmtId="0" xfId="0" applyAlignment="1" applyBorder="1" applyFill="1" applyFont="1">
      <alignment readingOrder="0" vertical="center"/>
    </xf>
    <xf borderId="5" fillId="6" fontId="3" numFmtId="0" xfId="0" applyAlignment="1" applyBorder="1" applyFont="1">
      <alignment horizontal="center" readingOrder="0" vertical="center"/>
    </xf>
    <xf borderId="5" fillId="6" fontId="3" numFmtId="0" xfId="0" applyAlignment="1" applyBorder="1" applyFont="1">
      <alignment horizontal="center" vertical="center"/>
    </xf>
    <xf borderId="5" fillId="6" fontId="3" numFmtId="0" xfId="0" applyAlignment="1" applyBorder="1" applyFont="1">
      <alignment horizontal="center" readingOrder="0" shrinkToFit="0" vertical="center" wrapText="1"/>
    </xf>
    <xf borderId="5" fillId="6" fontId="5" numFmtId="0" xfId="0" applyAlignment="1" applyBorder="1" applyFont="1">
      <alignment horizontal="center" readingOrder="0" shrinkToFit="0" vertical="center" wrapText="1"/>
    </xf>
    <xf borderId="10" fillId="6" fontId="5" numFmtId="0" xfId="0" applyAlignment="1" applyBorder="1" applyFont="1">
      <alignment horizontal="center" readingOrder="0" shrinkToFit="0" vertical="center" wrapText="1"/>
    </xf>
    <xf borderId="19" fillId="6" fontId="28" numFmtId="0" xfId="0" applyBorder="1" applyFont="1"/>
    <xf borderId="21" fillId="6" fontId="9" numFmtId="0" xfId="0" applyAlignment="1" applyBorder="1" applyFont="1">
      <alignment horizontal="center" vertical="center"/>
    </xf>
    <xf borderId="21" fillId="6" fontId="3" numFmtId="0" xfId="0" applyAlignment="1" applyBorder="1" applyFont="1">
      <alignment horizontal="center" vertical="center"/>
    </xf>
    <xf borderId="21" fillId="6" fontId="9" numFmtId="0" xfId="0" applyAlignment="1" applyBorder="1" applyFont="1">
      <alignment horizontal="center" vertical="center"/>
    </xf>
    <xf borderId="24" fillId="6" fontId="9" numFmtId="0" xfId="0" applyAlignment="1" applyBorder="1" applyFont="1">
      <alignment horizontal="center" vertical="center"/>
    </xf>
    <xf borderId="0" fillId="0" fontId="9" numFmtId="0" xfId="0" applyFont="1"/>
    <xf borderId="0" fillId="0" fontId="3" numFmtId="0" xfId="0" applyAlignment="1" applyFont="1">
      <alignment horizontal="center" readingOrder="0"/>
    </xf>
    <xf borderId="0" fillId="0" fontId="11" numFmtId="0" xfId="0" applyFont="1"/>
    <xf borderId="0" fillId="0" fontId="1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vertical="bottom"/>
    </xf>
    <xf borderId="0" fillId="3" fontId="29" numFmtId="0" xfId="0" applyAlignment="1" applyFont="1">
      <alignment readingOrder="0"/>
    </xf>
    <xf borderId="0" fillId="0" fontId="30" numFmtId="0" xfId="0" applyFont="1"/>
    <xf borderId="0" fillId="0" fontId="31" numFmtId="0" xfId="0" applyAlignment="1" applyFont="1">
      <alignment horizontal="center"/>
    </xf>
    <xf borderId="38" fillId="0" fontId="3" numFmtId="0" xfId="0" applyAlignment="1" applyBorder="1" applyFont="1">
      <alignment horizontal="center" readingOrder="0"/>
    </xf>
    <xf borderId="54" fillId="0" fontId="2" numFmtId="0" xfId="0" applyBorder="1" applyFont="1"/>
    <xf borderId="55" fillId="0" fontId="5" numFmtId="1" xfId="0" applyAlignment="1" applyBorder="1" applyFont="1" applyNumberFormat="1">
      <alignment horizontal="center" readingOrder="0"/>
    </xf>
    <xf borderId="0" fillId="0" fontId="24" numFmtId="0" xfId="0" applyAlignment="1" applyFont="1">
      <alignment horizontal="center" readingOrder="0" vertical="center"/>
    </xf>
    <xf borderId="20" fillId="0" fontId="24" numFmtId="0" xfId="0" applyAlignment="1" applyBorder="1" applyFont="1">
      <alignment horizontal="center" readingOrder="0" vertical="center"/>
    </xf>
    <xf borderId="56" fillId="0" fontId="3" numFmtId="0" xfId="0" applyAlignment="1" applyBorder="1" applyFont="1">
      <alignment textRotation="90" vertical="center"/>
    </xf>
    <xf borderId="39" fillId="0" fontId="3" numFmtId="0" xfId="0" applyBorder="1" applyFont="1"/>
    <xf borderId="57" fillId="0" fontId="3" numFmtId="166" xfId="0" applyAlignment="1" applyBorder="1" applyFont="1" applyNumberFormat="1">
      <alignment horizontal="center" readingOrder="0" vertical="bottom"/>
    </xf>
    <xf borderId="57" fillId="7" fontId="3" numFmtId="166" xfId="0" applyAlignment="1" applyBorder="1" applyFill="1" applyFont="1" applyNumberFormat="1">
      <alignment horizontal="center" readingOrder="0" vertical="bottom"/>
    </xf>
    <xf borderId="57" fillId="0" fontId="3" numFmtId="166" xfId="0" applyAlignment="1" applyBorder="1" applyFont="1" applyNumberFormat="1">
      <alignment horizontal="center" vertical="bottom"/>
    </xf>
    <xf borderId="57" fillId="0" fontId="3" numFmtId="0" xfId="0" applyAlignment="1" applyBorder="1" applyFont="1">
      <alignment horizontal="center" vertical="bottom"/>
    </xf>
    <xf borderId="57" fillId="7" fontId="3" numFmtId="166" xfId="0" applyAlignment="1" applyBorder="1" applyFont="1" applyNumberFormat="1">
      <alignment horizontal="center" vertical="bottom"/>
    </xf>
    <xf borderId="57" fillId="0" fontId="3" numFmtId="0" xfId="0" applyAlignment="1" applyBorder="1" applyFont="1">
      <alignment horizontal="center"/>
    </xf>
    <xf borderId="56" fillId="0" fontId="3" numFmtId="0" xfId="0" applyAlignment="1" applyBorder="1" applyFont="1">
      <alignment horizontal="center"/>
    </xf>
    <xf borderId="58" fillId="0" fontId="5" numFmtId="0" xfId="0" applyAlignment="1" applyBorder="1" applyFont="1">
      <alignment vertical="bottom"/>
    </xf>
    <xf borderId="59" fillId="0" fontId="5" numFmtId="0" xfId="0" applyAlignment="1" applyBorder="1" applyFont="1">
      <alignment vertical="bottom"/>
    </xf>
    <xf borderId="59" fillId="7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58" fillId="0" fontId="2" numFmtId="0" xfId="0" applyBorder="1" applyFont="1"/>
    <xf borderId="45" fillId="0" fontId="3" numFmtId="0" xfId="0" applyBorder="1" applyFont="1"/>
    <xf borderId="4" fillId="0" fontId="9" numFmtId="0" xfId="0" applyAlignment="1" applyBorder="1" applyFont="1">
      <alignment horizontal="center" readingOrder="0" vertical="bottom"/>
    </xf>
    <xf borderId="8" fillId="0" fontId="3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readingOrder="0" vertical="bottom"/>
    </xf>
    <xf borderId="10" fillId="0" fontId="9" numFmtId="0" xfId="0" applyAlignment="1" applyBorder="1" applyFont="1">
      <alignment horizontal="center" readingOrder="0" vertical="bottom"/>
    </xf>
    <xf borderId="9" fillId="0" fontId="9" numFmtId="0" xfId="0" applyAlignment="1" applyBorder="1" applyFont="1">
      <alignment horizontal="center" readingOrder="0" vertical="bottom"/>
    </xf>
    <xf borderId="8" fillId="0" fontId="9" numFmtId="0" xfId="0" applyAlignment="1" applyBorder="1" applyFont="1">
      <alignment horizontal="center" readingOrder="0" vertical="bottom"/>
    </xf>
    <xf borderId="4" fillId="7" fontId="3" numFmtId="0" xfId="0" applyAlignment="1" applyBorder="1" applyFont="1">
      <alignment horizontal="center" readingOrder="0" vertical="bottom"/>
    </xf>
    <xf borderId="10" fillId="0" fontId="3" numFmtId="0" xfId="0" applyAlignment="1" applyBorder="1" applyFont="1">
      <alignment horizontal="center" readingOrder="0" vertical="bottom"/>
    </xf>
    <xf borderId="9" fillId="0" fontId="3" numFmtId="0" xfId="0" applyAlignment="1" applyBorder="1" applyFont="1">
      <alignment horizontal="center" vertical="bottom"/>
    </xf>
    <xf borderId="8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10" fillId="0" fontId="9" numFmtId="0" xfId="0" applyAlignment="1" applyBorder="1" applyFont="1">
      <alignment horizontal="center" vertical="bottom"/>
    </xf>
    <xf borderId="8" fillId="7" fontId="3" numFmtId="0" xfId="0" applyAlignment="1" applyBorder="1" applyFont="1">
      <alignment horizontal="center" vertical="bottom"/>
    </xf>
    <xf borderId="10" fillId="0" fontId="3" numFmtId="0" xfId="0" applyAlignment="1" applyBorder="1" applyFont="1">
      <alignment horizontal="center" vertical="bottom"/>
    </xf>
    <xf borderId="9" fillId="0" fontId="3" numFmtId="0" xfId="0" applyAlignment="1" applyBorder="1" applyFont="1">
      <alignment horizontal="center"/>
    </xf>
    <xf borderId="8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10" fillId="0" fontId="3" numFmtId="0" xfId="0" applyAlignment="1" applyBorder="1" applyFont="1">
      <alignment horizontal="center"/>
    </xf>
    <xf borderId="10" fillId="0" fontId="5" numFmtId="0" xfId="0" applyAlignment="1" applyBorder="1" applyFont="1">
      <alignment vertical="bottom"/>
    </xf>
    <xf borderId="9" fillId="0" fontId="5" numFmtId="0" xfId="0" applyAlignment="1" applyBorder="1" applyFont="1">
      <alignment vertical="bottom"/>
    </xf>
    <xf borderId="10" fillId="7" fontId="5" numFmtId="0" xfId="0" applyAlignment="1" applyBorder="1" applyFont="1">
      <alignment vertical="bottom"/>
    </xf>
    <xf borderId="13" fillId="0" fontId="3" numFmtId="0" xfId="0" applyAlignment="1" applyBorder="1" applyFont="1">
      <alignment readingOrder="0"/>
    </xf>
    <xf borderId="18" fillId="0" fontId="9" numFmtId="0" xfId="0" applyAlignment="1" applyBorder="1" applyFont="1">
      <alignment horizontal="center" readingOrder="0" vertical="bottom"/>
    </xf>
    <xf borderId="12" fillId="0" fontId="3" numFmtId="0" xfId="0" applyAlignment="1" applyBorder="1" applyFont="1">
      <alignment horizontal="center" readingOrder="0" vertical="bottom"/>
    </xf>
    <xf borderId="18" fillId="0" fontId="3" numFmtId="0" xfId="0" applyAlignment="1" applyBorder="1" applyFont="1">
      <alignment horizontal="center" readingOrder="0" vertical="bottom"/>
    </xf>
    <xf borderId="17" fillId="0" fontId="9" numFmtId="0" xfId="0" applyAlignment="1" applyBorder="1" applyFont="1">
      <alignment horizontal="center" readingOrder="0" vertical="bottom"/>
    </xf>
    <xf borderId="14" fillId="0" fontId="9" numFmtId="0" xfId="0" applyAlignment="1" applyBorder="1" applyFont="1">
      <alignment horizontal="center" readingOrder="0" vertical="bottom"/>
    </xf>
    <xf borderId="12" fillId="0" fontId="9" numFmtId="0" xfId="0" applyAlignment="1" applyBorder="1" applyFont="1">
      <alignment horizontal="center" readingOrder="0" vertical="bottom"/>
    </xf>
    <xf borderId="18" fillId="7" fontId="3" numFmtId="0" xfId="0" applyAlignment="1" applyBorder="1" applyFont="1">
      <alignment horizontal="center" readingOrder="0" vertical="bottom"/>
    </xf>
    <xf borderId="17" fillId="0" fontId="3" numFmtId="0" xfId="0" applyAlignment="1" applyBorder="1" applyFont="1">
      <alignment horizontal="center" readingOrder="0" vertical="bottom"/>
    </xf>
    <xf borderId="14" fillId="0" fontId="3" numFmtId="0" xfId="0" applyAlignment="1" applyBorder="1" applyFont="1">
      <alignment horizontal="center" vertical="bottom"/>
    </xf>
    <xf borderId="12" fillId="0" fontId="3" numFmtId="0" xfId="0" applyAlignment="1" applyBorder="1" applyFont="1">
      <alignment horizontal="center" vertical="bottom"/>
    </xf>
    <xf borderId="18" fillId="0" fontId="3" numFmtId="0" xfId="0" applyAlignment="1" applyBorder="1" applyFont="1">
      <alignment horizontal="center" vertical="bottom"/>
    </xf>
    <xf borderId="17" fillId="0" fontId="9" numFmtId="0" xfId="0" applyAlignment="1" applyBorder="1" applyFont="1">
      <alignment horizontal="center" vertical="bottom"/>
    </xf>
    <xf borderId="12" fillId="7" fontId="3" numFmtId="0" xfId="0" applyAlignment="1" applyBorder="1" applyFont="1">
      <alignment horizontal="center" vertical="bottom"/>
    </xf>
    <xf borderId="17" fillId="0" fontId="9" numFmtId="0" xfId="0" applyAlignment="1" applyBorder="1" applyFont="1">
      <alignment vertical="bottom"/>
    </xf>
    <xf borderId="14" fillId="0" fontId="3" numFmtId="0" xfId="0" applyAlignment="1" applyBorder="1" applyFont="1">
      <alignment horizontal="center"/>
    </xf>
    <xf borderId="12" fillId="0" fontId="3" numFmtId="0" xfId="0" applyAlignment="1" applyBorder="1" applyFont="1">
      <alignment horizontal="center"/>
    </xf>
    <xf borderId="18" fillId="0" fontId="3" numFmtId="0" xfId="0" applyAlignment="1" applyBorder="1" applyFont="1">
      <alignment horizontal="center"/>
    </xf>
    <xf borderId="17" fillId="0" fontId="3" numFmtId="0" xfId="0" applyAlignment="1" applyBorder="1" applyFont="1">
      <alignment horizontal="center"/>
    </xf>
    <xf borderId="17" fillId="0" fontId="5" numFmtId="0" xfId="0" applyAlignment="1" applyBorder="1" applyFont="1">
      <alignment vertical="bottom"/>
    </xf>
    <xf borderId="14" fillId="0" fontId="5" numFmtId="0" xfId="0" applyAlignment="1" applyBorder="1" applyFont="1">
      <alignment vertical="bottom"/>
    </xf>
    <xf borderId="17" fillId="7" fontId="5" numFmtId="0" xfId="0" applyAlignment="1" applyBorder="1" applyFont="1">
      <alignment vertical="bottom"/>
    </xf>
    <xf borderId="18" fillId="7" fontId="9" numFmtId="0" xfId="0" applyAlignment="1" applyBorder="1" applyFont="1">
      <alignment horizontal="center" readingOrder="0" vertical="bottom"/>
    </xf>
    <xf borderId="14" fillId="0" fontId="9" numFmtId="0" xfId="0" applyAlignment="1" applyBorder="1" applyFont="1">
      <alignment horizontal="center" vertical="bottom"/>
    </xf>
    <xf borderId="12" fillId="0" fontId="9" numFmtId="0" xfId="0" applyAlignment="1" applyBorder="1" applyFont="1">
      <alignment horizontal="center" vertical="bottom"/>
    </xf>
    <xf borderId="17" fillId="0" fontId="3" numFmtId="0" xfId="0" applyAlignment="1" applyBorder="1" applyFont="1">
      <alignment horizontal="center" vertical="bottom"/>
    </xf>
    <xf borderId="13" fillId="0" fontId="3" numFmtId="0" xfId="0" applyBorder="1" applyFont="1"/>
    <xf borderId="60" fillId="0" fontId="3" numFmtId="0" xfId="0" applyAlignment="1" applyBorder="1" applyFont="1">
      <alignment shrinkToFit="0" wrapText="1"/>
    </xf>
    <xf borderId="61" fillId="0" fontId="2" numFmtId="0" xfId="0" applyBorder="1" applyFont="1"/>
    <xf borderId="14" fillId="0" fontId="3" numFmtId="0" xfId="0" applyAlignment="1" applyBorder="1" applyFont="1">
      <alignment horizontal="center" readingOrder="0" vertical="bottom"/>
    </xf>
    <xf borderId="14" fillId="7" fontId="3" numFmtId="0" xfId="0" applyAlignment="1" applyBorder="1" applyFont="1">
      <alignment horizontal="center" readingOrder="0" vertical="bottom"/>
    </xf>
    <xf borderId="35" fillId="7" fontId="3" numFmtId="0" xfId="0" applyAlignment="1" applyBorder="1" applyFont="1">
      <alignment horizontal="center" readingOrder="0" vertical="bottom"/>
    </xf>
    <xf borderId="60" fillId="0" fontId="3" numFmtId="0" xfId="0" applyAlignment="1" applyBorder="1" applyFont="1">
      <alignment shrinkToFit="0" vertical="center" wrapText="1"/>
    </xf>
    <xf borderId="14" fillId="0" fontId="3" numFmtId="0" xfId="0" applyAlignment="1" applyBorder="1" applyFont="1">
      <alignment horizontal="center" vertical="bottom"/>
    </xf>
    <xf borderId="18" fillId="0" fontId="3" numFmtId="0" xfId="0" applyAlignment="1" applyBorder="1" applyFont="1">
      <alignment horizontal="center" vertical="bottom"/>
    </xf>
    <xf borderId="14" fillId="7" fontId="3" numFmtId="0" xfId="0" applyAlignment="1" applyBorder="1" applyFont="1">
      <alignment horizontal="center" vertical="bottom"/>
    </xf>
    <xf borderId="13" fillId="0" fontId="3" numFmtId="0" xfId="0" applyAlignment="1" applyBorder="1" applyFont="1">
      <alignment horizontal="center" vertical="bottom"/>
    </xf>
    <xf borderId="17" fillId="0" fontId="3" numFmtId="0" xfId="0" applyAlignment="1" applyBorder="1" applyFont="1">
      <alignment horizontal="center" vertical="bottom"/>
    </xf>
    <xf borderId="17" fillId="7" fontId="3" numFmtId="0" xfId="0" applyAlignment="1" applyBorder="1" applyFont="1">
      <alignment horizontal="center" vertical="bottom"/>
    </xf>
    <xf borderId="18" fillId="7" fontId="3" numFmtId="0" xfId="0" applyAlignment="1" applyBorder="1" applyFont="1">
      <alignment horizontal="center" vertical="bottom"/>
    </xf>
    <xf borderId="35" fillId="7" fontId="3" numFmtId="0" xfId="0" applyAlignment="1" applyBorder="1" applyFont="1">
      <alignment horizontal="center" vertical="bottom"/>
    </xf>
    <xf borderId="62" fillId="0" fontId="3" numFmtId="0" xfId="0" applyAlignment="1" applyBorder="1" applyFont="1">
      <alignment shrinkToFit="0" vertical="center" wrapText="1"/>
    </xf>
    <xf borderId="18" fillId="7" fontId="3" numFmtId="0" xfId="0" applyAlignment="1" applyBorder="1" applyFont="1">
      <alignment horizontal="center" vertical="bottom"/>
    </xf>
    <xf borderId="11" fillId="0" fontId="2" numFmtId="0" xfId="0" applyBorder="1" applyFont="1"/>
    <xf borderId="35" fillId="0" fontId="3" numFmtId="0" xfId="0" applyAlignment="1" applyBorder="1" applyFont="1">
      <alignment horizontal="center" readingOrder="0" vertical="bottom"/>
    </xf>
    <xf borderId="59" fillId="0" fontId="2" numFmtId="0" xfId="0" applyBorder="1" applyFont="1"/>
    <xf borderId="20" fillId="0" fontId="3" numFmtId="0" xfId="0" applyAlignment="1" applyBorder="1" applyFont="1">
      <alignment vertical="center"/>
    </xf>
    <xf borderId="19" fillId="0" fontId="3" numFmtId="0" xfId="0" applyAlignment="1" applyBorder="1" applyFont="1">
      <alignment horizontal="center" readingOrder="0" vertical="bottom"/>
    </xf>
    <xf borderId="23" fillId="0" fontId="3" numFmtId="0" xfId="0" applyAlignment="1" applyBorder="1" applyFont="1">
      <alignment horizontal="center" readingOrder="0" vertical="bottom"/>
    </xf>
    <xf borderId="19" fillId="7" fontId="3" numFmtId="0" xfId="0" applyAlignment="1" applyBorder="1" applyFont="1">
      <alignment horizontal="center" readingOrder="0" vertical="bottom"/>
    </xf>
    <xf borderId="23" fillId="7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textRotation="90" vertical="center"/>
    </xf>
    <xf borderId="44" fillId="0" fontId="3" numFmtId="0" xfId="0" applyBorder="1" applyFont="1"/>
    <xf borderId="4" fillId="0" fontId="3" numFmtId="2" xfId="0" applyAlignment="1" applyBorder="1" applyFont="1" applyNumberFormat="1">
      <alignment horizontal="center" readingOrder="0" vertical="bottom"/>
    </xf>
    <xf borderId="10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center" readingOrder="0"/>
    </xf>
    <xf borderId="4" fillId="7" fontId="3" numFmtId="0" xfId="0" applyAlignment="1" applyBorder="1" applyFont="1">
      <alignment horizontal="center" readingOrder="0"/>
    </xf>
    <xf borderId="33" fillId="0" fontId="3" numFmtId="0" xfId="0" applyAlignment="1" applyBorder="1" applyFont="1">
      <alignment horizontal="center"/>
    </xf>
    <xf borderId="48" fillId="0" fontId="5" numFmtId="0" xfId="0" applyAlignment="1" applyBorder="1" applyFont="1">
      <alignment vertical="bottom"/>
    </xf>
    <xf borderId="33" fillId="0" fontId="5" numFmtId="0" xfId="0" applyAlignment="1" applyBorder="1" applyFont="1">
      <alignment vertical="bottom"/>
    </xf>
    <xf borderId="48" fillId="7" fontId="5" numFmtId="0" xfId="0" applyAlignment="1" applyBorder="1" applyFont="1">
      <alignment vertical="bottom"/>
    </xf>
    <xf borderId="25" fillId="0" fontId="2" numFmtId="0" xfId="0" applyBorder="1" applyFont="1"/>
    <xf borderId="63" fillId="0" fontId="3" numFmtId="0" xfId="0" applyBorder="1" applyFont="1"/>
    <xf borderId="14" fillId="0" fontId="3" numFmtId="0" xfId="0" applyAlignment="1" applyBorder="1" applyFont="1">
      <alignment horizontal="center" readingOrder="0"/>
    </xf>
    <xf borderId="12" fillId="0" fontId="3" numFmtId="0" xfId="0" applyAlignment="1" applyBorder="1" applyFont="1">
      <alignment horizontal="center" readingOrder="0"/>
    </xf>
    <xf borderId="18" fillId="7" fontId="3" numFmtId="0" xfId="0" applyAlignment="1" applyBorder="1" applyFont="1">
      <alignment horizontal="center" readingOrder="0"/>
    </xf>
    <xf borderId="15" fillId="0" fontId="3" numFmtId="0" xfId="0" applyAlignment="1" applyBorder="1" applyFont="1">
      <alignment horizontal="center"/>
    </xf>
    <xf borderId="15" fillId="0" fontId="5" numFmtId="0" xfId="0" applyAlignment="1" applyBorder="1" applyFont="1">
      <alignment vertical="bottom"/>
    </xf>
    <xf borderId="63" fillId="0" fontId="3" numFmtId="0" xfId="0" applyAlignment="1" applyBorder="1" applyFont="1">
      <alignment readingOrder="0"/>
    </xf>
    <xf borderId="18" fillId="7" fontId="3" numFmtId="0" xfId="0" applyAlignment="1" applyBorder="1" applyFont="1">
      <alignment horizontal="center"/>
    </xf>
    <xf borderId="62" fillId="0" fontId="3" numFmtId="0" xfId="0" applyAlignment="1" applyBorder="1" applyFont="1">
      <alignment readingOrder="0"/>
    </xf>
    <xf borderId="18" fillId="0" fontId="3" numFmtId="2" xfId="0" applyAlignment="1" applyBorder="1" applyFont="1" applyNumberFormat="1">
      <alignment horizontal="center" readingOrder="0"/>
    </xf>
    <xf borderId="14" fillId="0" fontId="3" numFmtId="2" xfId="0" applyAlignment="1" applyBorder="1" applyFont="1" applyNumberFormat="1">
      <alignment horizontal="center" readingOrder="0"/>
    </xf>
    <xf borderId="18" fillId="7" fontId="3" numFmtId="2" xfId="0" applyAlignment="1" applyBorder="1" applyFont="1" applyNumberFormat="1">
      <alignment horizontal="center" readingOrder="0"/>
    </xf>
    <xf borderId="14" fillId="7" fontId="3" numFmtId="2" xfId="0" applyAlignment="1" applyBorder="1" applyFont="1" applyNumberFormat="1">
      <alignment horizontal="center" readingOrder="0"/>
    </xf>
    <xf borderId="0" fillId="0" fontId="5" numFmtId="168" xfId="0" applyAlignment="1" applyFont="1" applyNumberFormat="1">
      <alignment vertical="bottom"/>
    </xf>
    <xf borderId="27" fillId="0" fontId="2" numFmtId="0" xfId="0" applyBorder="1" applyFont="1"/>
    <xf borderId="64" fillId="7" fontId="3" numFmtId="0" xfId="0" applyBorder="1" applyFont="1"/>
    <xf borderId="19" fillId="7" fontId="3" numFmtId="168" xfId="0" applyAlignment="1" applyBorder="1" applyFont="1" applyNumberFormat="1">
      <alignment horizontal="center"/>
    </xf>
    <xf borderId="22" fillId="7" fontId="3" numFmtId="168" xfId="0" applyAlignment="1" applyBorder="1" applyFont="1" applyNumberFormat="1">
      <alignment horizontal="center"/>
    </xf>
    <xf borderId="24" fillId="7" fontId="3" numFmtId="168" xfId="0" applyAlignment="1" applyBorder="1" applyFont="1" applyNumberFormat="1">
      <alignment horizontal="center"/>
    </xf>
    <xf borderId="23" fillId="7" fontId="3" numFmtId="168" xfId="0" applyAlignment="1" applyBorder="1" applyFont="1" applyNumberFormat="1">
      <alignment horizontal="center"/>
    </xf>
    <xf borderId="21" fillId="7" fontId="3" numFmtId="168" xfId="0" applyAlignment="1" applyBorder="1" applyFont="1" applyNumberFormat="1">
      <alignment horizontal="center"/>
    </xf>
    <xf borderId="24" fillId="7" fontId="5" numFmtId="168" xfId="0" applyAlignment="1" applyBorder="1" applyFont="1" applyNumberFormat="1">
      <alignment vertical="bottom"/>
    </xf>
    <xf borderId="21" fillId="7" fontId="5" numFmtId="168" xfId="0" applyAlignment="1" applyBorder="1" applyFont="1" applyNumberFormat="1">
      <alignment vertical="bottom"/>
    </xf>
    <xf borderId="0" fillId="7" fontId="5" numFmtId="168" xfId="0" applyAlignment="1" applyFont="1" applyNumberFormat="1">
      <alignment vertical="bottom"/>
    </xf>
    <xf borderId="9" fillId="0" fontId="3" numFmtId="0" xfId="0" applyAlignment="1" applyBorder="1" applyFont="1">
      <alignment horizontal="center" readingOrder="0" vertical="bottom"/>
    </xf>
    <xf borderId="9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9" fillId="7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vertical="bottom"/>
    </xf>
    <xf borderId="10" fillId="7" fontId="3" numFmtId="0" xfId="0" applyAlignment="1" applyBorder="1" applyFont="1">
      <alignment horizontal="center" vertical="bottom"/>
    </xf>
    <xf borderId="62" fillId="0" fontId="3" numFmtId="0" xfId="0" applyBorder="1" applyFont="1"/>
    <xf borderId="12" fillId="7" fontId="9" numFmtId="0" xfId="0" applyAlignment="1" applyBorder="1" applyFont="1">
      <alignment vertical="bottom"/>
    </xf>
    <xf borderId="18" fillId="0" fontId="9" numFmtId="0" xfId="0" applyAlignment="1" applyBorder="1" applyFont="1">
      <alignment horizontal="center" vertical="bottom"/>
    </xf>
    <xf borderId="18" fillId="0" fontId="9" numFmtId="0" xfId="0" applyAlignment="1" applyBorder="1" applyFont="1">
      <alignment vertical="bottom"/>
    </xf>
    <xf borderId="36" fillId="0" fontId="3" numFmtId="0" xfId="0" applyAlignment="1" applyBorder="1" applyFont="1">
      <alignment horizontal="center" readingOrder="0"/>
    </xf>
    <xf borderId="16" fillId="0" fontId="3" numFmtId="0" xfId="0" applyAlignment="1" applyBorder="1" applyFont="1">
      <alignment horizontal="center" readingOrder="0"/>
    </xf>
    <xf borderId="36" fillId="7" fontId="3" numFmtId="0" xfId="0" applyAlignment="1" applyBorder="1" applyFont="1">
      <alignment horizontal="center" readingOrder="0"/>
    </xf>
    <xf borderId="16" fillId="7" fontId="3" numFmtId="0" xfId="0" applyAlignment="1" applyBorder="1" applyFont="1">
      <alignment horizontal="center" readingOrder="0"/>
    </xf>
    <xf borderId="30" fillId="0" fontId="3" numFmtId="0" xfId="0" applyAlignment="1" applyBorder="1" applyFont="1">
      <alignment horizontal="center" readingOrder="0"/>
    </xf>
    <xf borderId="32" fillId="7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vertical="bottom"/>
    </xf>
    <xf borderId="56" fillId="0" fontId="3" numFmtId="0" xfId="0" applyAlignment="1" applyBorder="1" applyFont="1">
      <alignment horizontal="center" textRotation="90" vertical="center"/>
    </xf>
    <xf borderId="9" fillId="7" fontId="3" numFmtId="0" xfId="0" applyAlignment="1" applyBorder="1" applyFont="1">
      <alignment horizontal="center" readingOrder="0" vertical="bottom"/>
    </xf>
    <xf borderId="8" fillId="0" fontId="9" numFmtId="0" xfId="0" applyAlignment="1" applyBorder="1" applyFont="1">
      <alignment horizontal="center" vertical="bottom"/>
    </xf>
    <xf borderId="10" fillId="7" fontId="3" numFmtId="0" xfId="0" applyAlignment="1" applyBorder="1" applyFont="1">
      <alignment horizontal="center" vertical="bottom"/>
    </xf>
    <xf borderId="9" fillId="0" fontId="9" numFmtId="0" xfId="0" applyAlignment="1" applyBorder="1" applyFont="1">
      <alignment vertical="bottom"/>
    </xf>
    <xf borderId="45" fillId="0" fontId="5" numFmtId="0" xfId="0" applyAlignment="1" applyBorder="1" applyFont="1">
      <alignment vertical="bottom"/>
    </xf>
    <xf borderId="17" fillId="7" fontId="3" numFmtId="0" xfId="0" applyAlignment="1" applyBorder="1" applyFont="1">
      <alignment horizontal="center" vertical="bottom"/>
    </xf>
    <xf borderId="13" fillId="0" fontId="5" numFmtId="0" xfId="0" applyAlignment="1" applyBorder="1" applyFont="1">
      <alignment vertical="bottom"/>
    </xf>
    <xf borderId="18" fillId="0" fontId="3" numFmtId="169" xfId="0" applyAlignment="1" applyBorder="1" applyFont="1" applyNumberFormat="1">
      <alignment horizontal="center" vertical="bottom"/>
    </xf>
    <xf borderId="14" fillId="0" fontId="9" numFmtId="0" xfId="0" applyAlignment="1" applyBorder="1" applyFont="1">
      <alignment vertical="bottom"/>
    </xf>
    <xf borderId="17" fillId="7" fontId="9" numFmtId="0" xfId="0" applyAlignment="1" applyBorder="1" applyFont="1">
      <alignment vertical="bottom"/>
    </xf>
    <xf borderId="32" fillId="0" fontId="3" numFmtId="0" xfId="0" applyAlignment="1" applyBorder="1" applyFont="1">
      <alignment horizontal="center" readingOrder="0"/>
    </xf>
    <xf borderId="34" fillId="0" fontId="3" numFmtId="0" xfId="0" applyAlignment="1" applyBorder="1" applyFont="1">
      <alignment horizontal="center" readingOrder="0"/>
    </xf>
    <xf borderId="30" fillId="7" fontId="3" numFmtId="0" xfId="0" applyAlignment="1" applyBorder="1" applyFont="1">
      <alignment horizontal="center" readingOrder="0"/>
    </xf>
    <xf borderId="32" fillId="0" fontId="3" numFmtId="0" xfId="0" applyAlignment="1" applyBorder="1" applyFont="1">
      <alignment horizontal="center"/>
    </xf>
    <xf borderId="30" fillId="0" fontId="3" numFmtId="0" xfId="0" applyAlignment="1" applyBorder="1" applyFont="1">
      <alignment horizontal="center"/>
    </xf>
    <xf borderId="34" fillId="0" fontId="3" numFmtId="0" xfId="0" applyAlignment="1" applyBorder="1" applyFont="1">
      <alignment horizontal="center"/>
    </xf>
    <xf borderId="36" fillId="0" fontId="3" numFmtId="0" xfId="0" applyAlignment="1" applyBorder="1" applyFont="1">
      <alignment horizontal="center"/>
    </xf>
    <xf borderId="32" fillId="7" fontId="3" numFmtId="0" xfId="0" applyAlignment="1" applyBorder="1" applyFont="1">
      <alignment horizontal="center"/>
    </xf>
    <xf borderId="60" fillId="0" fontId="3" numFmtId="0" xfId="0" applyAlignment="1" applyBorder="1" applyFont="1">
      <alignment horizontal="center"/>
    </xf>
    <xf borderId="17" fillId="7" fontId="3" numFmtId="0" xfId="0" applyAlignment="1" applyBorder="1" applyFont="1">
      <alignment horizontal="center"/>
    </xf>
    <xf borderId="18" fillId="0" fontId="3" numFmtId="0" xfId="0" applyAlignment="1" applyBorder="1" applyFont="1">
      <alignment horizontal="center" readingOrder="0"/>
    </xf>
    <xf borderId="14" fillId="7" fontId="3" numFmtId="0" xfId="0" applyAlignment="1" applyBorder="1" applyFont="1">
      <alignment horizontal="center"/>
    </xf>
    <xf borderId="30" fillId="7" fontId="3" numFmtId="0" xfId="0" applyAlignment="1" applyBorder="1" applyFont="1">
      <alignment horizontal="center"/>
    </xf>
    <xf borderId="32" fillId="0" fontId="5" numFmtId="0" xfId="0" applyAlignment="1" applyBorder="1" applyFont="1">
      <alignment vertical="bottom"/>
    </xf>
    <xf borderId="30" fillId="0" fontId="5" numFmtId="0" xfId="0" applyAlignment="1" applyBorder="1" applyFont="1">
      <alignment vertical="bottom"/>
    </xf>
    <xf borderId="32" fillId="7" fontId="5" numFmtId="0" xfId="0" applyAlignment="1" applyBorder="1" applyFont="1">
      <alignment vertical="bottom"/>
    </xf>
    <xf borderId="64" fillId="0" fontId="11" numFmtId="0" xfId="0" applyAlignment="1" applyBorder="1" applyFont="1">
      <alignment readingOrder="0" vertical="bottom"/>
    </xf>
    <xf borderId="19" fillId="0" fontId="3" numFmtId="168" xfId="0" applyAlignment="1" applyBorder="1" applyFont="1" applyNumberFormat="1">
      <alignment horizontal="center" textRotation="0"/>
    </xf>
    <xf borderId="24" fillId="0" fontId="3" numFmtId="168" xfId="0" applyAlignment="1" applyBorder="1" applyFont="1" applyNumberFormat="1">
      <alignment horizontal="center" textRotation="0"/>
    </xf>
    <xf borderId="19" fillId="7" fontId="3" numFmtId="168" xfId="0" applyAlignment="1" applyBorder="1" applyFont="1" applyNumberFormat="1">
      <alignment horizontal="center" textRotation="0"/>
    </xf>
    <xf borderId="24" fillId="7" fontId="3" numFmtId="168" xfId="0" applyAlignment="1" applyBorder="1" applyFont="1" applyNumberFormat="1">
      <alignment horizontal="center" textRotation="0"/>
    </xf>
    <xf borderId="22" fillId="7" fontId="3" numFmtId="168" xfId="0" applyAlignment="1" applyBorder="1" applyFont="1" applyNumberFormat="1">
      <alignment horizontal="center" textRotation="0"/>
    </xf>
    <xf borderId="25" fillId="0" fontId="24" numFmtId="0" xfId="0" applyAlignment="1" applyBorder="1" applyFont="1">
      <alignment horizontal="center" textRotation="90"/>
    </xf>
    <xf borderId="58" fillId="8" fontId="9" numFmtId="0" xfId="0" applyAlignment="1" applyBorder="1" applyFill="1" applyFont="1">
      <alignment horizontal="center" textRotation="90" vertical="center"/>
    </xf>
    <xf borderId="65" fillId="8" fontId="11" numFmtId="0" xfId="0" applyAlignment="1" applyBorder="1" applyFont="1">
      <alignment vertical="bottom"/>
    </xf>
    <xf borderId="41" fillId="8" fontId="3" numFmtId="168" xfId="0" applyAlignment="1" applyBorder="1" applyFont="1" applyNumberFormat="1">
      <alignment horizontal="center" textRotation="0"/>
    </xf>
    <xf borderId="31" fillId="8" fontId="3" numFmtId="168" xfId="0" applyAlignment="1" applyBorder="1" applyFont="1" applyNumberFormat="1">
      <alignment horizontal="center" textRotation="0"/>
    </xf>
    <xf borderId="47" fillId="8" fontId="3" numFmtId="168" xfId="0" applyAlignment="1" applyBorder="1" applyFont="1" applyNumberFormat="1">
      <alignment horizontal="center" textRotation="0"/>
    </xf>
    <xf borderId="48" fillId="8" fontId="3" numFmtId="168" xfId="0" applyAlignment="1" applyBorder="1" applyFont="1" applyNumberFormat="1">
      <alignment horizontal="center" textRotation="0"/>
    </xf>
    <xf borderId="47" fillId="9" fontId="3" numFmtId="168" xfId="0" applyAlignment="1" applyBorder="1" applyFill="1" applyFont="1" applyNumberFormat="1">
      <alignment horizontal="center" textRotation="0"/>
    </xf>
    <xf borderId="31" fillId="9" fontId="3" numFmtId="168" xfId="0" applyAlignment="1" applyBorder="1" applyFont="1" applyNumberFormat="1">
      <alignment horizontal="center" textRotation="0"/>
    </xf>
    <xf borderId="48" fillId="9" fontId="3" numFmtId="168" xfId="0" applyAlignment="1" applyBorder="1" applyFont="1" applyNumberFormat="1">
      <alignment horizontal="center" textRotation="0"/>
    </xf>
    <xf borderId="0" fillId="0" fontId="24" numFmtId="0" xfId="0" applyAlignment="1" applyFont="1">
      <alignment horizontal="center" textRotation="90"/>
    </xf>
    <xf borderId="65" fillId="8" fontId="3" numFmtId="0" xfId="0" applyAlignment="1" applyBorder="1" applyFont="1">
      <alignment readingOrder="0"/>
    </xf>
    <xf borderId="41" fillId="8" fontId="3" numFmtId="0" xfId="0" applyAlignment="1" applyBorder="1" applyFont="1">
      <alignment horizontal="center" readingOrder="0"/>
    </xf>
    <xf borderId="31" fillId="8" fontId="3" numFmtId="0" xfId="0" applyAlignment="1" applyBorder="1" applyFont="1">
      <alignment horizontal="center" readingOrder="0"/>
    </xf>
    <xf borderId="47" fillId="8" fontId="3" numFmtId="0" xfId="0" applyAlignment="1" applyBorder="1" applyFont="1">
      <alignment horizontal="center" readingOrder="0"/>
    </xf>
    <xf borderId="48" fillId="8" fontId="3" numFmtId="0" xfId="0" applyAlignment="1" applyBorder="1" applyFont="1">
      <alignment horizontal="center" readingOrder="0"/>
    </xf>
    <xf borderId="47" fillId="9" fontId="3" numFmtId="0" xfId="0" applyAlignment="1" applyBorder="1" applyFont="1">
      <alignment horizontal="center" readingOrder="0"/>
    </xf>
    <xf borderId="31" fillId="9" fontId="3" numFmtId="0" xfId="0" applyAlignment="1" applyBorder="1" applyFont="1">
      <alignment horizontal="center" readingOrder="0"/>
    </xf>
    <xf borderId="31" fillId="8" fontId="3" numFmtId="0" xfId="0" applyAlignment="1" applyBorder="1" applyFont="1">
      <alignment horizontal="center" vertical="bottom"/>
    </xf>
    <xf borderId="47" fillId="8" fontId="3" numFmtId="0" xfId="0" applyAlignment="1" applyBorder="1" applyFont="1">
      <alignment horizontal="center" vertical="bottom"/>
    </xf>
    <xf borderId="48" fillId="9" fontId="3" numFmtId="0" xfId="0" applyAlignment="1" applyBorder="1" applyFont="1">
      <alignment horizontal="center" vertical="bottom"/>
    </xf>
    <xf borderId="66" fillId="8" fontId="3" numFmtId="0" xfId="0" applyAlignment="1" applyBorder="1" applyFont="1">
      <alignment readingOrder="0"/>
    </xf>
    <xf borderId="14" fillId="8" fontId="3" numFmtId="168" xfId="0" applyAlignment="1" applyBorder="1" applyFont="1" applyNumberFormat="1">
      <alignment horizontal="center"/>
    </xf>
    <xf borderId="12" fillId="8" fontId="3" numFmtId="168" xfId="0" applyAlignment="1" applyBorder="1" applyFont="1" applyNumberFormat="1">
      <alignment horizontal="center"/>
    </xf>
    <xf borderId="18" fillId="8" fontId="3" numFmtId="168" xfId="0" applyAlignment="1" applyBorder="1" applyFont="1" applyNumberFormat="1">
      <alignment horizontal="center"/>
    </xf>
    <xf borderId="17" fillId="8" fontId="3" numFmtId="168" xfId="0" applyAlignment="1" applyBorder="1" applyFont="1" applyNumberFormat="1">
      <alignment horizontal="center"/>
    </xf>
    <xf borderId="18" fillId="9" fontId="3" numFmtId="168" xfId="0" applyAlignment="1" applyBorder="1" applyFont="1" applyNumberFormat="1">
      <alignment horizontal="center"/>
    </xf>
    <xf borderId="12" fillId="9" fontId="3" numFmtId="168" xfId="0" applyAlignment="1" applyBorder="1" applyFont="1" applyNumberFormat="1">
      <alignment horizontal="center"/>
    </xf>
    <xf borderId="12" fillId="8" fontId="5" numFmtId="168" xfId="0" applyAlignment="1" applyBorder="1" applyFont="1" applyNumberFormat="1">
      <alignment vertical="bottom"/>
    </xf>
    <xf borderId="18" fillId="8" fontId="5" numFmtId="168" xfId="0" applyAlignment="1" applyBorder="1" applyFont="1" applyNumberFormat="1">
      <alignment vertical="bottom"/>
    </xf>
    <xf borderId="17" fillId="9" fontId="5" numFmtId="168" xfId="0" applyAlignment="1" applyBorder="1" applyFont="1" applyNumberFormat="1">
      <alignment vertical="bottom"/>
    </xf>
    <xf borderId="66" fillId="8" fontId="3" numFmtId="0" xfId="0" applyBorder="1" applyFont="1"/>
    <xf borderId="14" fillId="8" fontId="3" numFmtId="0" xfId="0" applyAlignment="1" applyBorder="1" applyFont="1">
      <alignment horizontal="center" vertical="center"/>
    </xf>
    <xf borderId="35" fillId="8" fontId="3" numFmtId="0" xfId="0" applyAlignment="1" applyBorder="1" applyFont="1">
      <alignment horizontal="center" vertical="center"/>
    </xf>
    <xf borderId="14" fillId="9" fontId="3" numFmtId="0" xfId="0" applyAlignment="1" applyBorder="1" applyFont="1">
      <alignment horizontal="center" vertical="center"/>
    </xf>
    <xf borderId="35" fillId="9" fontId="3" numFmtId="0" xfId="0" applyAlignment="1" applyBorder="1" applyFont="1">
      <alignment horizontal="center" vertical="center"/>
    </xf>
    <xf borderId="14" fillId="8" fontId="3" numFmtId="0" xfId="0" applyAlignment="1" applyBorder="1" applyFont="1">
      <alignment horizontal="center"/>
    </xf>
    <xf borderId="12" fillId="8" fontId="3" numFmtId="0" xfId="0" applyAlignment="1" applyBorder="1" applyFont="1">
      <alignment horizontal="center"/>
    </xf>
    <xf borderId="18" fillId="8" fontId="3" numFmtId="0" xfId="0" applyAlignment="1" applyBorder="1" applyFont="1">
      <alignment horizontal="center"/>
    </xf>
    <xf borderId="17" fillId="8" fontId="3" numFmtId="0" xfId="0" applyAlignment="1" applyBorder="1" applyFont="1">
      <alignment horizontal="center"/>
    </xf>
    <xf borderId="18" fillId="9" fontId="3" numFmtId="0" xfId="0" applyAlignment="1" applyBorder="1" applyFont="1">
      <alignment horizontal="center"/>
    </xf>
    <xf borderId="12" fillId="9" fontId="3" numFmtId="0" xfId="0" applyAlignment="1" applyBorder="1" applyFont="1">
      <alignment horizontal="center"/>
    </xf>
    <xf borderId="17" fillId="9" fontId="3" numFmtId="0" xfId="0" applyAlignment="1" applyBorder="1" applyFont="1">
      <alignment horizontal="center"/>
    </xf>
    <xf borderId="17" fillId="9" fontId="3" numFmtId="168" xfId="0" applyAlignment="1" applyBorder="1" applyFont="1" applyNumberFormat="1">
      <alignment horizontal="center"/>
    </xf>
    <xf borderId="14" fillId="8" fontId="3" numFmtId="2" xfId="0" applyAlignment="1" applyBorder="1" applyFont="1" applyNumberFormat="1">
      <alignment horizontal="center"/>
    </xf>
    <xf borderId="35" fillId="8" fontId="3" numFmtId="2" xfId="0" applyAlignment="1" applyBorder="1" applyFont="1" applyNumberFormat="1">
      <alignment horizontal="center"/>
    </xf>
    <xf borderId="14" fillId="9" fontId="3" numFmtId="2" xfId="0" applyAlignment="1" applyBorder="1" applyFont="1" applyNumberFormat="1">
      <alignment horizontal="center"/>
    </xf>
    <xf borderId="35" fillId="9" fontId="3" numFmtId="2" xfId="0" applyAlignment="1" applyBorder="1" applyFont="1" applyNumberFormat="1">
      <alignment horizontal="center"/>
    </xf>
    <xf borderId="0" fillId="0" fontId="3" numFmtId="2" xfId="0" applyAlignment="1" applyFont="1" applyNumberFormat="1">
      <alignment horizontal="center" vertical="bottom"/>
    </xf>
    <xf borderId="66" fillId="8" fontId="11" numFmtId="0" xfId="0" applyAlignment="1" applyBorder="1" applyFont="1">
      <alignment vertical="bottom"/>
    </xf>
    <xf borderId="14" fillId="8" fontId="3" numFmtId="2" xfId="0" applyAlignment="1" applyBorder="1" applyFont="1" applyNumberFormat="1">
      <alignment horizontal="center" textRotation="0"/>
    </xf>
    <xf borderId="12" fillId="8" fontId="3" numFmtId="2" xfId="0" applyAlignment="1" applyBorder="1" applyFont="1" applyNumberFormat="1">
      <alignment horizontal="center" textRotation="0"/>
    </xf>
    <xf borderId="18" fillId="8" fontId="3" numFmtId="2" xfId="0" applyAlignment="1" applyBorder="1" applyFont="1" applyNumberFormat="1">
      <alignment horizontal="center" textRotation="0"/>
    </xf>
    <xf borderId="17" fillId="8" fontId="3" numFmtId="2" xfId="0" applyAlignment="1" applyBorder="1" applyFont="1" applyNumberFormat="1">
      <alignment horizontal="center" textRotation="0"/>
    </xf>
    <xf borderId="18" fillId="9" fontId="3" numFmtId="2" xfId="0" applyAlignment="1" applyBorder="1" applyFont="1" applyNumberFormat="1">
      <alignment horizontal="center" textRotation="0"/>
    </xf>
    <xf borderId="12" fillId="9" fontId="3" numFmtId="2" xfId="0" applyAlignment="1" applyBorder="1" applyFont="1" applyNumberFormat="1">
      <alignment horizontal="center" textRotation="0"/>
    </xf>
    <xf borderId="17" fillId="9" fontId="3" numFmtId="2" xfId="0" applyAlignment="1" applyBorder="1" applyFont="1" applyNumberFormat="1">
      <alignment horizontal="center" textRotation="0"/>
    </xf>
    <xf borderId="66" fillId="8" fontId="11" numFmtId="0" xfId="0" applyAlignment="1" applyBorder="1" applyFont="1">
      <alignment vertical="bottom"/>
    </xf>
    <xf borderId="13" fillId="8" fontId="3" numFmtId="2" xfId="0" applyAlignment="1" applyBorder="1" applyFont="1" applyNumberFormat="1">
      <alignment horizontal="center" textRotation="0"/>
    </xf>
    <xf borderId="13" fillId="9" fontId="3" numFmtId="2" xfId="0" applyAlignment="1" applyBorder="1" applyFont="1" applyNumberFormat="1">
      <alignment horizontal="center" textRotation="0"/>
    </xf>
    <xf borderId="14" fillId="9" fontId="3" numFmtId="2" xfId="0" applyAlignment="1" applyBorder="1" applyFont="1" applyNumberFormat="1">
      <alignment horizontal="center" textRotation="0"/>
    </xf>
    <xf borderId="12" fillId="8" fontId="3" numFmtId="0" xfId="0" applyAlignment="1" applyBorder="1" applyFont="1">
      <alignment horizontal="center" textRotation="0"/>
    </xf>
    <xf borderId="18" fillId="8" fontId="3" numFmtId="170" xfId="0" applyAlignment="1" applyBorder="1" applyFont="1" applyNumberFormat="1">
      <alignment horizontal="center" textRotation="0"/>
    </xf>
    <xf borderId="17" fillId="8" fontId="3" numFmtId="0" xfId="0" applyAlignment="1" applyBorder="1" applyFont="1">
      <alignment horizontal="center" textRotation="0"/>
    </xf>
    <xf borderId="14" fillId="8" fontId="3" numFmtId="0" xfId="0" applyAlignment="1" applyBorder="1" applyFont="1">
      <alignment horizontal="center" textRotation="0"/>
    </xf>
    <xf borderId="18" fillId="8" fontId="3" numFmtId="0" xfId="0" applyAlignment="1" applyBorder="1" applyFont="1">
      <alignment horizontal="center" textRotation="0"/>
    </xf>
    <xf borderId="12" fillId="9" fontId="3" numFmtId="0" xfId="0" applyAlignment="1" applyBorder="1" applyFont="1">
      <alignment horizontal="center" textRotation="0"/>
    </xf>
    <xf borderId="17" fillId="9" fontId="3" numFmtId="0" xfId="0" applyAlignment="1" applyBorder="1" applyFont="1">
      <alignment horizontal="center" textRotation="0"/>
    </xf>
    <xf borderId="67" fillId="8" fontId="13" numFmtId="0" xfId="0" applyAlignment="1" applyBorder="1" applyFont="1">
      <alignment horizontal="left" readingOrder="0" textRotation="0"/>
    </xf>
    <xf borderId="30" fillId="8" fontId="3" numFmtId="0" xfId="0" applyAlignment="1" applyBorder="1" applyFont="1">
      <alignment horizontal="center" textRotation="0"/>
    </xf>
    <xf borderId="34" fillId="8" fontId="3" numFmtId="0" xfId="0" applyAlignment="1" applyBorder="1" applyFont="1">
      <alignment horizontal="center" textRotation="0"/>
    </xf>
    <xf borderId="36" fillId="8" fontId="3" numFmtId="0" xfId="0" applyAlignment="1" applyBorder="1" applyFont="1">
      <alignment horizontal="center" textRotation="0"/>
    </xf>
    <xf borderId="32" fillId="8" fontId="3" numFmtId="0" xfId="0" applyAlignment="1" applyBorder="1" applyFont="1">
      <alignment horizontal="center" textRotation="0"/>
    </xf>
    <xf borderId="36" fillId="9" fontId="3" numFmtId="0" xfId="0" applyAlignment="1" applyBorder="1" applyFont="1">
      <alignment horizontal="center" textRotation="0"/>
    </xf>
    <xf borderId="34" fillId="9" fontId="3" numFmtId="0" xfId="0" applyAlignment="1" applyBorder="1" applyFont="1">
      <alignment horizontal="center" textRotation="0"/>
    </xf>
    <xf borderId="32" fillId="9" fontId="3" numFmtId="0" xfId="0" applyAlignment="1" applyBorder="1" applyFont="1">
      <alignment horizontal="center" textRotation="0"/>
    </xf>
    <xf borderId="68" fillId="8" fontId="3" numFmtId="0" xfId="0" applyAlignment="1" applyBorder="1" applyFont="1">
      <alignment readingOrder="0"/>
    </xf>
    <xf borderId="30" fillId="8" fontId="3" numFmtId="2" xfId="0" applyAlignment="1" applyBorder="1" applyFont="1" applyNumberFormat="1">
      <alignment horizontal="center"/>
    </xf>
    <xf borderId="68" fillId="8" fontId="3" numFmtId="2" xfId="0" applyAlignment="1" applyBorder="1" applyFont="1" applyNumberFormat="1">
      <alignment horizontal="center"/>
    </xf>
    <xf borderId="30" fillId="9" fontId="3" numFmtId="2" xfId="0" applyAlignment="1" applyBorder="1" applyFont="1" applyNumberFormat="1">
      <alignment horizontal="center"/>
    </xf>
    <xf borderId="68" fillId="9" fontId="3" numFmtId="2" xfId="0" applyAlignment="1" applyBorder="1" applyFont="1" applyNumberFormat="1">
      <alignment horizontal="center"/>
    </xf>
    <xf borderId="60" fillId="8" fontId="3" numFmtId="2" xfId="0" applyAlignment="1" applyBorder="1" applyFont="1" applyNumberFormat="1">
      <alignment horizontal="center"/>
    </xf>
    <xf borderId="36" fillId="9" fontId="3" numFmtId="2" xfId="0" applyAlignment="1" applyBorder="1" applyFont="1" applyNumberFormat="1">
      <alignment horizontal="center"/>
    </xf>
    <xf borderId="69" fillId="8" fontId="3" numFmtId="0" xfId="0" applyAlignment="1" applyBorder="1" applyFont="1">
      <alignment readingOrder="0" vertical="top"/>
    </xf>
    <xf borderId="19" fillId="8" fontId="3" numFmtId="168" xfId="0" applyAlignment="1" applyBorder="1" applyFont="1" applyNumberFormat="1">
      <alignment horizontal="center"/>
    </xf>
    <xf borderId="24" fillId="8" fontId="3" numFmtId="168" xfId="0" applyAlignment="1" applyBorder="1" applyFont="1" applyNumberFormat="1">
      <alignment horizontal="center"/>
    </xf>
    <xf borderId="23" fillId="8" fontId="3" numFmtId="168" xfId="0" applyAlignment="1" applyBorder="1" applyFont="1" applyNumberFormat="1">
      <alignment horizontal="center"/>
    </xf>
    <xf borderId="23" fillId="9" fontId="3" numFmtId="168" xfId="0" applyAlignment="1" applyBorder="1" applyFont="1" applyNumberFormat="1">
      <alignment horizontal="center"/>
    </xf>
    <xf borderId="24" fillId="9" fontId="3" numFmtId="0" xfId="0" applyAlignment="1" applyBorder="1" applyFont="1">
      <alignment horizontal="center"/>
    </xf>
    <xf borderId="23" fillId="8" fontId="3" numFmtId="0" xfId="0" applyAlignment="1" applyBorder="1" applyFont="1">
      <alignment horizontal="center"/>
    </xf>
    <xf borderId="24" fillId="8" fontId="3" numFmtId="0" xfId="0" applyAlignment="1" applyBorder="1" applyFont="1">
      <alignment horizontal="center"/>
    </xf>
    <xf borderId="0" fillId="0" fontId="32" numFmtId="0" xfId="0" applyAlignment="1" applyFont="1">
      <alignment vertical="top"/>
    </xf>
    <xf borderId="0" fillId="0" fontId="3" numFmtId="0" xfId="0" applyAlignment="1" applyFont="1">
      <alignment readingOrder="0" vertical="top"/>
    </xf>
    <xf borderId="1" fillId="8" fontId="3" numFmtId="0" xfId="0" applyAlignment="1" applyBorder="1" applyFont="1">
      <alignment readingOrder="0" vertical="top"/>
    </xf>
    <xf borderId="70" fillId="8" fontId="3" numFmtId="0" xfId="0" applyAlignment="1" applyBorder="1" applyFont="1">
      <alignment horizontal="center" vertical="center"/>
    </xf>
    <xf borderId="52" fillId="8" fontId="3" numFmtId="0" xfId="0" applyAlignment="1" applyBorder="1" applyFont="1">
      <alignment horizontal="center" readingOrder="0"/>
    </xf>
    <xf borderId="26" fillId="8" fontId="3" numFmtId="0" xfId="0" applyAlignment="1" applyBorder="1" applyFont="1">
      <alignment horizontal="center" vertical="center"/>
    </xf>
    <xf borderId="26" fillId="8" fontId="3" numFmtId="0" xfId="0" applyAlignment="1" applyBorder="1" applyFont="1">
      <alignment horizontal="center"/>
    </xf>
    <xf borderId="38" fillId="8" fontId="3" numFmtId="0" xfId="0" applyAlignment="1" applyBorder="1" applyFont="1">
      <alignment horizontal="center" readingOrder="0" vertical="center"/>
    </xf>
    <xf borderId="40" fillId="8" fontId="3" numFmtId="0" xfId="0" applyAlignment="1" applyBorder="1" applyFont="1">
      <alignment horizontal="center" vertical="center"/>
    </xf>
    <xf borderId="1" fillId="8" fontId="3" numFmtId="0" xfId="0" applyAlignment="1" applyBorder="1" applyFont="1">
      <alignment horizontal="center" readingOrder="0" vertical="center"/>
    </xf>
    <xf borderId="71" fillId="8" fontId="3" numFmtId="0" xfId="0" applyAlignment="1" applyBorder="1" applyFont="1">
      <alignment readingOrder="0"/>
    </xf>
    <xf borderId="55" fillId="8" fontId="3" numFmtId="0" xfId="0" applyAlignment="1" applyBorder="1" applyFont="1">
      <alignment horizontal="center"/>
    </xf>
    <xf borderId="52" fillId="10" fontId="3" numFmtId="0" xfId="0" applyAlignment="1" applyBorder="1" applyFill="1" applyFont="1">
      <alignment readingOrder="0"/>
    </xf>
    <xf borderId="26" fillId="10" fontId="3" numFmtId="0" xfId="0" applyAlignment="1" applyBorder="1" applyFont="1">
      <alignment horizontal="center" vertical="center"/>
    </xf>
    <xf borderId="52" fillId="10" fontId="3" numFmtId="0" xfId="0" applyAlignment="1" applyBorder="1" applyFont="1">
      <alignment horizontal="center" readingOrder="0"/>
    </xf>
    <xf borderId="70" fillId="10" fontId="3" numFmtId="0" xfId="0" applyAlignment="1" applyBorder="1" applyFont="1">
      <alignment horizontal="center" vertical="center"/>
    </xf>
    <xf borderId="70" fillId="10" fontId="9" numFmtId="0" xfId="0" applyAlignment="1" applyBorder="1" applyFont="1">
      <alignment horizontal="center"/>
    </xf>
    <xf borderId="0" fillId="0" fontId="9" numFmtId="0" xfId="0" applyAlignment="1" applyFont="1">
      <alignment horizontal="center"/>
    </xf>
    <xf borderId="38" fillId="10" fontId="9" numFmtId="0" xfId="0" applyAlignment="1" applyBorder="1" applyFont="1">
      <alignment horizontal="center" readingOrder="0" vertical="center"/>
    </xf>
    <xf borderId="40" fillId="10" fontId="9" numFmtId="0" xfId="0" applyAlignment="1" applyBorder="1" applyFont="1">
      <alignment horizontal="center" vertical="center"/>
    </xf>
    <xf borderId="1" fillId="10" fontId="9" numFmtId="0" xfId="0" applyAlignment="1" applyBorder="1" applyFont="1">
      <alignment horizontal="center" readingOrder="0"/>
    </xf>
    <xf borderId="26" fillId="10" fontId="9" numFmtId="0" xfId="0" applyAlignment="1" applyBorder="1" applyFont="1">
      <alignment readingOrder="0"/>
    </xf>
    <xf borderId="0" fillId="0" fontId="9" numFmtId="0" xfId="0" applyAlignment="1" applyFont="1">
      <alignment horizontal="center" textRotation="90" vertical="center"/>
    </xf>
    <xf borderId="29" fillId="10" fontId="9" numFmtId="0" xfId="0" applyAlignment="1" applyBorder="1" applyFont="1">
      <alignment readingOrder="0" vertical="bottom"/>
    </xf>
    <xf borderId="3" fillId="10" fontId="9" numFmtId="0" xfId="0" applyAlignment="1" applyBorder="1" applyFont="1">
      <alignment horizontal="center" vertical="center"/>
    </xf>
    <xf borderId="0" fillId="0" fontId="9" numFmtId="0" xfId="0" applyAlignment="1" applyFont="1">
      <alignment horizontal="center"/>
    </xf>
    <xf borderId="29" fillId="10" fontId="9" numFmtId="0" xfId="0" applyAlignment="1" applyBorder="1" applyFont="1">
      <alignment horizontal="center" readingOrder="0"/>
    </xf>
    <xf borderId="72" fillId="10" fontId="9" numFmtId="0" xfId="0" applyAlignment="1" applyBorder="1" applyFont="1">
      <alignment horizontal="center" vertical="center"/>
    </xf>
    <xf borderId="72" fillId="10" fontId="9" numFmtId="0" xfId="0" applyAlignment="1" applyBorder="1" applyFont="1">
      <alignment horizontal="center"/>
    </xf>
    <xf borderId="27" fillId="10" fontId="9" numFmtId="0" xfId="0" applyAlignment="1" applyBorder="1" applyFont="1">
      <alignment horizontal="center" readingOrder="0"/>
    </xf>
    <xf borderId="73" fillId="10" fontId="9" numFmtId="0" xfId="0" applyAlignment="1" applyBorder="1" applyFont="1">
      <alignment horizontal="center"/>
    </xf>
    <xf borderId="28" fillId="10" fontId="9" numFmtId="0" xfId="0" applyAlignment="1" applyBorder="1" applyFont="1">
      <alignment readingOrder="0"/>
    </xf>
    <xf borderId="3" fillId="10" fontId="9" numFmtId="0" xfId="0" applyAlignment="1" applyBorder="1" applyFont="1">
      <alignment horizontal="center" vertical="center"/>
    </xf>
    <xf borderId="38" fillId="8" fontId="9" numFmtId="0" xfId="0" applyAlignment="1" applyBorder="1" applyFont="1">
      <alignment horizontal="center" readingOrder="0"/>
    </xf>
    <xf borderId="55" fillId="8" fontId="9" numFmtId="0" xfId="0" applyAlignment="1" applyBorder="1" applyFont="1">
      <alignment horizontal="center" vertical="center"/>
    </xf>
    <xf borderId="52" fillId="8" fontId="9" numFmtId="0" xfId="0" applyAlignment="1" applyBorder="1" applyFont="1">
      <alignment horizontal="center" readingOrder="0"/>
    </xf>
    <xf borderId="26" fillId="8" fontId="9" numFmtId="0" xfId="0" applyAlignment="1" applyBorder="1" applyFont="1">
      <alignment horizontal="center"/>
    </xf>
    <xf borderId="25" fillId="10" fontId="9" numFmtId="0" xfId="0" applyAlignment="1" applyBorder="1" applyFont="1">
      <alignment horizontal="center" readingOrder="0"/>
    </xf>
    <xf borderId="72" fillId="10" fontId="9" numFmtId="0" xfId="0" applyAlignment="1" applyBorder="1" applyFont="1">
      <alignment horizontal="center" vertical="center"/>
    </xf>
    <xf borderId="52" fillId="10" fontId="9" numFmtId="0" xfId="0" applyAlignment="1" applyBorder="1" applyFont="1">
      <alignment horizontal="center" readingOrder="0"/>
    </xf>
    <xf borderId="26" fillId="10" fontId="9" numFmtId="0" xfId="0" applyAlignment="1" applyBorder="1" applyFont="1">
      <alignment horizontal="center"/>
    </xf>
    <xf borderId="53" fillId="10" fontId="9" numFmtId="0" xfId="0" applyAlignment="1" applyBorder="1" applyFont="1">
      <alignment readingOrder="0" vertical="bottom"/>
    </xf>
    <xf borderId="28" fillId="10" fontId="9" numFmtId="0" xfId="0" applyAlignment="1" applyBorder="1" applyFont="1">
      <alignment horizontal="center"/>
    </xf>
    <xf borderId="53" fillId="10" fontId="9" numFmtId="0" xfId="0" applyAlignment="1" applyBorder="1" applyFont="1">
      <alignment horizontal="center" readingOrder="0"/>
    </xf>
    <xf borderId="73" fillId="10" fontId="9" numFmtId="0" xfId="0" applyAlignment="1" applyBorder="1" applyFont="1">
      <alignment horizontal="center" vertical="center"/>
    </xf>
    <xf borderId="0" fillId="0" fontId="9" numFmtId="0" xfId="0" applyAlignment="1" applyFont="1">
      <alignment horizontal="center" readingOrder="0"/>
    </xf>
    <xf borderId="0" fillId="0" fontId="33" numFmtId="0" xfId="0" applyAlignment="1" applyFont="1">
      <alignment horizontal="center" readingOrder="0" vertical="center"/>
    </xf>
    <xf borderId="1" fillId="11" fontId="33" numFmtId="0" xfId="0" applyAlignment="1" applyBorder="1" applyFill="1" applyFont="1">
      <alignment horizontal="center" readingOrder="0" vertical="center"/>
    </xf>
    <xf borderId="2" fillId="11" fontId="33" numFmtId="0" xfId="0" applyAlignment="1" applyBorder="1" applyFont="1">
      <alignment horizontal="center" readingOrder="0" vertical="center"/>
    </xf>
    <xf borderId="1" fillId="12" fontId="34" numFmtId="0" xfId="0" applyAlignment="1" applyBorder="1" applyFill="1" applyFont="1">
      <alignment horizontal="center" readingOrder="0" vertical="center"/>
    </xf>
    <xf borderId="38" fillId="8" fontId="34" numFmtId="0" xfId="0" applyAlignment="1" applyBorder="1" applyFont="1">
      <alignment horizontal="center" readingOrder="0" vertical="center"/>
    </xf>
    <xf borderId="38" fillId="13" fontId="34" numFmtId="0" xfId="0" applyAlignment="1" applyBorder="1" applyFill="1" applyFont="1">
      <alignment horizontal="center" readingOrder="0" vertical="center"/>
    </xf>
    <xf borderId="38" fillId="14" fontId="34" numFmtId="0" xfId="0" applyAlignment="1" applyBorder="1" applyFill="1" applyFont="1">
      <alignment horizontal="center" readingOrder="0" vertical="center"/>
    </xf>
    <xf borderId="38" fillId="15" fontId="34" numFmtId="0" xfId="0" applyAlignment="1" applyBorder="1" applyFill="1" applyFont="1">
      <alignment horizontal="center" readingOrder="0" vertical="center"/>
    </xf>
    <xf borderId="38" fillId="16" fontId="34" numFmtId="0" xfId="0" applyAlignment="1" applyBorder="1" applyFill="1" applyFont="1">
      <alignment horizontal="center" readingOrder="0" vertical="center"/>
    </xf>
    <xf borderId="38" fillId="17" fontId="34" numFmtId="0" xfId="0" applyAlignment="1" applyBorder="1" applyFill="1" applyFont="1">
      <alignment horizontal="center" readingOrder="0" vertical="center"/>
    </xf>
    <xf borderId="38" fillId="18" fontId="34" numFmtId="0" xfId="0" applyAlignment="1" applyBorder="1" applyFill="1" applyFont="1">
      <alignment horizontal="center" readingOrder="0" vertical="center"/>
    </xf>
    <xf borderId="38" fillId="19" fontId="34" numFmtId="0" xfId="0" applyAlignment="1" applyBorder="1" applyFill="1" applyFont="1">
      <alignment horizontal="center" readingOrder="0" vertical="center"/>
    </xf>
    <xf borderId="38" fillId="9" fontId="34" numFmtId="0" xfId="0" applyAlignment="1" applyBorder="1" applyFont="1">
      <alignment horizontal="center" readingOrder="0" vertical="center"/>
    </xf>
    <xf borderId="38" fillId="20" fontId="34" numFmtId="0" xfId="0" applyAlignment="1" applyBorder="1" applyFill="1" applyFont="1">
      <alignment horizontal="center" readingOrder="0" vertical="center"/>
    </xf>
    <xf borderId="38" fillId="21" fontId="34" numFmtId="0" xfId="0" applyAlignment="1" applyBorder="1" applyFill="1" applyFont="1">
      <alignment horizontal="center" readingOrder="0" vertical="center"/>
    </xf>
    <xf borderId="38" fillId="22" fontId="34" numFmtId="0" xfId="0" applyAlignment="1" applyBorder="1" applyFill="1" applyFont="1">
      <alignment horizontal="center" readingOrder="0" vertical="center"/>
    </xf>
    <xf borderId="38" fillId="23" fontId="34" numFmtId="0" xfId="0" applyAlignment="1" applyBorder="1" applyFill="1" applyFont="1">
      <alignment horizontal="center" readingOrder="0" vertical="center"/>
    </xf>
    <xf borderId="38" fillId="24" fontId="34" numFmtId="0" xfId="0" applyAlignment="1" applyBorder="1" applyFill="1" applyFont="1">
      <alignment horizontal="center" readingOrder="0" vertical="center"/>
    </xf>
    <xf borderId="38" fillId="0" fontId="34" numFmtId="0" xfId="0" applyAlignment="1" applyBorder="1" applyFont="1">
      <alignment horizontal="center" readingOrder="0" vertical="center"/>
    </xf>
    <xf borderId="38" fillId="6" fontId="34" numFmtId="0" xfId="0" applyAlignment="1" applyBorder="1" applyFont="1">
      <alignment horizontal="center" readingOrder="0" vertical="center"/>
    </xf>
    <xf borderId="38" fillId="6" fontId="35" numFmtId="0" xfId="0" applyAlignment="1" applyBorder="1" applyFont="1">
      <alignment horizontal="center" readingOrder="0" vertical="center"/>
    </xf>
    <xf borderId="39" fillId="0" fontId="34" numFmtId="0" xfId="0" applyAlignment="1" applyBorder="1" applyFont="1">
      <alignment horizontal="center" readingOrder="0" vertical="center"/>
    </xf>
    <xf borderId="40" fillId="0" fontId="34" numFmtId="0" xfId="0" applyAlignment="1" applyBorder="1" applyFont="1">
      <alignment horizontal="center" readingOrder="0" vertical="center"/>
    </xf>
    <xf borderId="71" fillId="15" fontId="5" numFmtId="0" xfId="0" applyAlignment="1" applyBorder="1" applyFont="1">
      <alignment horizontal="center" readingOrder="0" shrinkToFit="0" vertical="center" wrapText="1"/>
    </xf>
    <xf borderId="74" fillId="15" fontId="5" numFmtId="0" xfId="0" applyAlignment="1" applyBorder="1" applyFont="1">
      <alignment horizontal="center" readingOrder="0" shrinkToFit="0" vertical="center" wrapText="1"/>
    </xf>
    <xf borderId="75" fillId="15" fontId="5" numFmtId="0" xfId="0" applyAlignment="1" applyBorder="1" applyFont="1">
      <alignment horizontal="center" readingOrder="0" shrinkToFit="0" vertical="center" wrapText="1"/>
    </xf>
    <xf borderId="55" fillId="15" fontId="5" numFmtId="0" xfId="0" applyAlignment="1" applyBorder="1" applyFont="1">
      <alignment horizontal="center" readingOrder="0" shrinkToFit="0" vertical="center" wrapText="1"/>
    </xf>
    <xf borderId="71" fillId="25" fontId="3" numFmtId="0" xfId="0" applyAlignment="1" applyBorder="1" applyFill="1" applyFont="1">
      <alignment horizontal="center" shrinkToFit="0" vertical="center" wrapText="1"/>
    </xf>
    <xf borderId="74" fillId="25" fontId="3" numFmtId="0" xfId="0" applyAlignment="1" applyBorder="1" applyFont="1">
      <alignment horizontal="center" shrinkToFit="0" vertical="center" wrapText="1"/>
    </xf>
    <xf borderId="74" fillId="25" fontId="27" numFmtId="0" xfId="0" applyAlignment="1" applyBorder="1" applyFont="1">
      <alignment horizontal="center" shrinkToFit="0" vertical="center" wrapText="1"/>
    </xf>
    <xf borderId="55" fillId="25" fontId="3" numFmtId="0" xfId="0" applyAlignment="1" applyBorder="1" applyFont="1">
      <alignment horizontal="center" shrinkToFit="0" vertical="center" wrapText="1"/>
    </xf>
    <xf borderId="38" fillId="26" fontId="3" numFmtId="0" xfId="0" applyAlignment="1" applyBorder="1" applyFill="1" applyFont="1">
      <alignment horizontal="center" readingOrder="0" shrinkToFit="0" vertical="center" wrapText="1"/>
    </xf>
    <xf borderId="75" fillId="26" fontId="3" numFmtId="0" xfId="0" applyAlignment="1" applyBorder="1" applyFont="1">
      <alignment horizontal="center" readingOrder="0" shrinkToFit="0" vertical="center" wrapText="1"/>
    </xf>
    <xf borderId="75" fillId="26" fontId="24" numFmtId="0" xfId="0" applyAlignment="1" applyBorder="1" applyFont="1">
      <alignment horizontal="center" readingOrder="0" shrinkToFit="0" vertical="center" wrapText="1"/>
    </xf>
    <xf borderId="55" fillId="26" fontId="3" numFmtId="0" xfId="0" applyAlignment="1" applyBorder="1" applyFont="1">
      <alignment horizontal="center" readingOrder="0" shrinkToFit="0" vertical="center" wrapText="1"/>
    </xf>
    <xf borderId="38" fillId="10" fontId="3" numFmtId="0" xfId="0" applyAlignment="1" applyBorder="1" applyFont="1">
      <alignment horizontal="center" readingOrder="0" shrinkToFit="0" vertical="center" wrapText="1"/>
    </xf>
    <xf borderId="75" fillId="10" fontId="3" numFmtId="0" xfId="0" applyAlignment="1" applyBorder="1" applyFont="1">
      <alignment horizontal="center" readingOrder="0" shrinkToFit="0" vertical="center" wrapText="1"/>
    </xf>
    <xf borderId="74" fillId="10" fontId="3" numFmtId="0" xfId="0" applyAlignment="1" applyBorder="1" applyFont="1">
      <alignment horizontal="center" readingOrder="0" shrinkToFit="0" vertical="center" wrapText="1"/>
    </xf>
    <xf borderId="55" fillId="10" fontId="3" numFmtId="0" xfId="0" applyAlignment="1" applyBorder="1" applyFont="1">
      <alignment horizontal="center" readingOrder="0" shrinkToFit="0" vertical="center" wrapText="1"/>
    </xf>
    <xf borderId="71" fillId="27" fontId="3" numFmtId="0" xfId="0" applyAlignment="1" applyBorder="1" applyFill="1" applyFont="1">
      <alignment horizontal="center" readingOrder="0" shrinkToFit="0" vertical="center" wrapText="1"/>
    </xf>
    <xf borderId="74" fillId="27" fontId="3" numFmtId="0" xfId="0" applyAlignment="1" applyBorder="1" applyFont="1">
      <alignment horizontal="center" readingOrder="0" shrinkToFit="0" vertical="center" wrapText="1"/>
    </xf>
    <xf borderId="75" fillId="27" fontId="3" numFmtId="0" xfId="0" applyAlignment="1" applyBorder="1" applyFont="1">
      <alignment horizontal="center" readingOrder="0" shrinkToFit="0" vertical="center" wrapText="1"/>
    </xf>
    <xf borderId="55" fillId="27" fontId="3" numFmtId="0" xfId="0" applyAlignment="1" applyBorder="1" applyFont="1">
      <alignment horizontal="center" readingOrder="0" shrinkToFit="0" vertical="center" wrapText="1"/>
    </xf>
    <xf borderId="71" fillId="28" fontId="3" numFmtId="0" xfId="0" applyAlignment="1" applyBorder="1" applyFill="1" applyFont="1">
      <alignment horizontal="center" readingOrder="0" shrinkToFit="0" vertical="center" wrapText="1"/>
    </xf>
    <xf borderId="74" fillId="28" fontId="3" numFmtId="0" xfId="0" applyAlignment="1" applyBorder="1" applyFont="1">
      <alignment horizontal="center" readingOrder="0" shrinkToFit="0" vertical="center" wrapText="1"/>
    </xf>
    <xf borderId="75" fillId="28" fontId="3" numFmtId="0" xfId="0" applyAlignment="1" applyBorder="1" applyFont="1">
      <alignment horizontal="center" readingOrder="0" shrinkToFit="0" vertical="center" wrapText="1"/>
    </xf>
    <xf borderId="55" fillId="28" fontId="3" numFmtId="0" xfId="0" applyAlignment="1" applyBorder="1" applyFont="1">
      <alignment horizontal="center" readingOrder="0" shrinkToFit="0" vertical="center" wrapText="1"/>
    </xf>
    <xf borderId="71" fillId="29" fontId="3" numFmtId="0" xfId="0" applyAlignment="1" applyBorder="1" applyFill="1" applyFont="1">
      <alignment horizontal="center" readingOrder="0" shrinkToFit="0" vertical="center" wrapText="1"/>
    </xf>
    <xf borderId="74" fillId="29" fontId="3" numFmtId="0" xfId="0" applyAlignment="1" applyBorder="1" applyFont="1">
      <alignment horizontal="center" readingOrder="0" shrinkToFit="0" vertical="center" wrapText="1"/>
    </xf>
    <xf borderId="75" fillId="29" fontId="3" numFmtId="0" xfId="0" applyAlignment="1" applyBorder="1" applyFont="1">
      <alignment horizontal="center" readingOrder="0" shrinkToFit="0" vertical="center" wrapText="1"/>
    </xf>
    <xf borderId="55" fillId="29" fontId="3" numFmtId="0" xfId="0" applyAlignment="1" applyBorder="1" applyFont="1">
      <alignment horizontal="center" readingOrder="0" shrinkToFit="0" vertical="center" wrapText="1"/>
    </xf>
    <xf borderId="53" fillId="14" fontId="24" numFmtId="0" xfId="0" applyAlignment="1" applyBorder="1" applyFont="1">
      <alignment horizontal="center" shrinkToFit="0" vertical="center" wrapText="1"/>
    </xf>
    <xf borderId="76" fillId="14" fontId="24" numFmtId="0" xfId="0" applyAlignment="1" applyBorder="1" applyFont="1">
      <alignment horizontal="center" shrinkToFit="0" vertical="center" wrapText="1"/>
    </xf>
    <xf borderId="76" fillId="14" fontId="24" numFmtId="0" xfId="0" applyAlignment="1" applyBorder="1" applyFont="1">
      <alignment horizontal="center" readingOrder="0" shrinkToFit="0" vertical="center" wrapText="1"/>
    </xf>
    <xf borderId="73" fillId="14" fontId="24" numFmtId="0" xfId="0" applyAlignment="1" applyBorder="1" applyFont="1">
      <alignment horizontal="center" shrinkToFit="0" vertical="center" wrapText="1"/>
    </xf>
    <xf borderId="49" fillId="15" fontId="3" numFmtId="0" xfId="0" applyAlignment="1" applyBorder="1" applyFont="1">
      <alignment horizontal="center" readingOrder="0" shrinkToFit="0" vertical="center" wrapText="1"/>
    </xf>
    <xf borderId="49" fillId="30" fontId="3" numFmtId="0" xfId="0" applyAlignment="1" applyBorder="1" applyFill="1" applyFont="1">
      <alignment horizontal="center" readingOrder="0" shrinkToFit="0" vertical="center" wrapText="1"/>
    </xf>
    <xf borderId="49" fillId="31" fontId="3" numFmtId="0" xfId="0" applyAlignment="1" applyBorder="1" applyFill="1" applyFont="1">
      <alignment horizontal="center" readingOrder="0" shrinkToFit="0" vertical="center" wrapText="1"/>
    </xf>
    <xf borderId="49" fillId="13" fontId="3" numFmtId="0" xfId="0" applyAlignment="1" applyBorder="1" applyFont="1">
      <alignment horizontal="center" readingOrder="0" shrinkToFit="0" vertical="center" wrapText="1"/>
    </xf>
    <xf borderId="49" fillId="20" fontId="3" numFmtId="0" xfId="0" applyAlignment="1" applyBorder="1" applyFont="1">
      <alignment horizontal="center" readingOrder="0" shrinkToFit="0" vertical="center" wrapText="1"/>
    </xf>
    <xf borderId="49" fillId="32" fontId="3" numFmtId="0" xfId="0" applyAlignment="1" applyBorder="1" applyFill="1" applyFont="1">
      <alignment horizontal="center" readingOrder="0" shrinkToFit="0" vertical="center" wrapText="1"/>
    </xf>
    <xf borderId="73" fillId="32" fontId="3" numFmtId="0" xfId="0" applyAlignment="1" applyBorder="1" applyFont="1">
      <alignment horizontal="center" readingOrder="0" shrinkToFit="0" vertical="center" wrapText="1"/>
    </xf>
    <xf borderId="54" fillId="29" fontId="3" numFmtId="0" xfId="0" applyAlignment="1" applyBorder="1" applyFont="1">
      <alignment horizontal="center" readingOrder="0" shrinkToFit="0" vertical="center" wrapText="1"/>
    </xf>
    <xf borderId="71" fillId="15" fontId="3" numFmtId="0" xfId="0" applyAlignment="1" applyBorder="1" applyFont="1">
      <alignment horizontal="center" readingOrder="0" shrinkToFit="0" vertical="center" wrapText="1"/>
    </xf>
    <xf borderId="74" fillId="15" fontId="3" numFmtId="0" xfId="0" applyAlignment="1" applyBorder="1" applyFont="1">
      <alignment horizontal="center" readingOrder="0" shrinkToFit="0" vertical="center" wrapText="1"/>
    </xf>
    <xf borderId="54" fillId="14" fontId="3" numFmtId="0" xfId="0" applyAlignment="1" applyBorder="1" applyFont="1">
      <alignment horizontal="center" readingOrder="0" shrinkToFit="0" vertical="center" wrapText="1"/>
    </xf>
    <xf borderId="74" fillId="14" fontId="3" numFmtId="0" xfId="0" applyAlignment="1" applyBorder="1" applyFont="1">
      <alignment horizontal="center" readingOrder="0" shrinkToFit="0" vertical="center" wrapText="1"/>
    </xf>
    <xf borderId="71" fillId="25" fontId="3" numFmtId="0" xfId="0" applyAlignment="1" applyBorder="1" applyFont="1">
      <alignment horizontal="center" readingOrder="0" shrinkToFit="0" vertical="center" wrapText="1"/>
    </xf>
    <xf borderId="74" fillId="25" fontId="3" numFmtId="0" xfId="0" applyAlignment="1" applyBorder="1" applyFont="1">
      <alignment horizontal="center" readingOrder="0" shrinkToFit="0" vertical="center" wrapText="1"/>
    </xf>
    <xf borderId="54" fillId="30" fontId="3" numFmtId="0" xfId="0" applyAlignment="1" applyBorder="1" applyFont="1">
      <alignment horizontal="center" readingOrder="0" shrinkToFit="0" vertical="center" wrapText="1"/>
    </xf>
    <xf borderId="74" fillId="30" fontId="3" numFmtId="0" xfId="0" applyAlignment="1" applyBorder="1" applyFont="1">
      <alignment horizontal="center" readingOrder="0" shrinkToFit="0" vertical="center" wrapText="1"/>
    </xf>
    <xf borderId="54" fillId="6" fontId="3" numFmtId="0" xfId="0" applyAlignment="1" applyBorder="1" applyFont="1">
      <alignment horizontal="center" readingOrder="0" shrinkToFit="0" vertical="center" wrapText="1"/>
    </xf>
    <xf borderId="74" fillId="6" fontId="3" numFmtId="0" xfId="0" applyAlignment="1" applyBorder="1" applyFont="1">
      <alignment horizontal="center" readingOrder="0" shrinkToFit="0" vertical="center" wrapText="1"/>
    </xf>
    <xf borderId="71" fillId="16" fontId="3" numFmtId="0" xfId="0" applyAlignment="1" applyBorder="1" applyFont="1">
      <alignment horizontal="center" readingOrder="0" shrinkToFit="0" vertical="center" wrapText="1"/>
    </xf>
    <xf borderId="74" fillId="16" fontId="3" numFmtId="0" xfId="0" applyAlignment="1" applyBorder="1" applyFont="1">
      <alignment horizontal="center" readingOrder="0" shrinkToFit="0" vertical="center" wrapText="1"/>
    </xf>
    <xf borderId="54" fillId="28" fontId="3" numFmtId="0" xfId="0" applyAlignment="1" applyBorder="1" applyFont="1">
      <alignment horizontal="center" readingOrder="0" shrinkToFit="0" vertical="center" wrapText="1"/>
    </xf>
    <xf borderId="71" fillId="32" fontId="3" numFmtId="0" xfId="0" applyAlignment="1" applyBorder="1" applyFont="1">
      <alignment horizontal="center" readingOrder="0" shrinkToFit="0" vertical="center" wrapText="1"/>
    </xf>
    <xf borderId="74" fillId="32" fontId="3" numFmtId="0" xfId="0" applyAlignment="1" applyBorder="1" applyFont="1">
      <alignment horizontal="center" readingOrder="0" shrinkToFit="0" vertical="center" wrapText="1"/>
    </xf>
    <xf borderId="75" fillId="32" fontId="3" numFmtId="0" xfId="0" applyAlignment="1" applyBorder="1" applyFont="1">
      <alignment horizontal="center" readingOrder="0" shrinkToFit="0" vertical="center" wrapText="1"/>
    </xf>
    <xf borderId="71" fillId="18" fontId="3" numFmtId="0" xfId="0" applyAlignment="1" applyBorder="1" applyFont="1">
      <alignment horizontal="center" readingOrder="0" shrinkToFit="0" vertical="center" wrapText="1"/>
    </xf>
    <xf borderId="74" fillId="18" fontId="3" numFmtId="0" xfId="0" applyAlignment="1" applyBorder="1" applyFont="1">
      <alignment horizontal="center" readingOrder="0" shrinkToFit="0" vertical="center" wrapText="1"/>
    </xf>
    <xf borderId="55" fillId="18" fontId="3" numFmtId="0" xfId="0" applyAlignment="1" applyBorder="1" applyFont="1">
      <alignment horizontal="center" readingOrder="0" shrinkToFit="0" vertical="center" wrapText="1"/>
    </xf>
    <xf borderId="54" fillId="0" fontId="3" numFmtId="0" xfId="0" applyAlignment="1" applyBorder="1" applyFont="1">
      <alignment horizontal="center" readingOrder="0" shrinkToFit="0" vertical="center" wrapText="1"/>
    </xf>
    <xf borderId="74" fillId="0" fontId="3" numFmtId="0" xfId="0" applyAlignment="1" applyBorder="1" applyFont="1">
      <alignment horizontal="center" readingOrder="0" shrinkToFit="0" vertical="center" wrapText="1"/>
    </xf>
    <xf borderId="75" fillId="0" fontId="3" numFmtId="0" xfId="0" applyAlignment="1" applyBorder="1" applyFont="1">
      <alignment horizontal="center" readingOrder="0" shrinkToFit="0" vertical="center" wrapText="1"/>
    </xf>
    <xf borderId="54" fillId="15" fontId="3" numFmtId="0" xfId="0" applyAlignment="1" applyBorder="1" applyFont="1">
      <alignment horizontal="center" readingOrder="0" shrinkToFit="0" vertical="center" wrapText="1"/>
    </xf>
    <xf borderId="54" fillId="18" fontId="3" numFmtId="0" xfId="0" applyAlignment="1" applyBorder="1" applyFont="1">
      <alignment horizontal="center" readingOrder="0" shrinkToFit="0" vertical="center" wrapText="1"/>
    </xf>
    <xf borderId="71" fillId="6" fontId="3" numFmtId="0" xfId="0" applyAlignment="1" applyBorder="1" applyFont="1">
      <alignment horizontal="center" readingOrder="0" shrinkToFit="0" vertical="center" wrapText="1"/>
    </xf>
    <xf borderId="54" fillId="17" fontId="3" numFmtId="0" xfId="0" applyAlignment="1" applyBorder="1" applyFont="1">
      <alignment horizontal="center" readingOrder="0" shrinkToFit="0" vertical="center" wrapText="1"/>
    </xf>
    <xf borderId="74" fillId="17" fontId="3" numFmtId="0" xfId="0" applyAlignment="1" applyBorder="1" applyFont="1">
      <alignment horizontal="center" readingOrder="0" shrinkToFit="0" vertical="center" wrapText="1"/>
    </xf>
    <xf borderId="71" fillId="30" fontId="3" numFmtId="0" xfId="0" applyAlignment="1" applyBorder="1" applyFont="1">
      <alignment horizontal="center" readingOrder="0" shrinkToFit="0" vertical="center" wrapText="1"/>
    </xf>
    <xf borderId="75" fillId="30" fontId="3" numFmtId="0" xfId="0" applyAlignment="1" applyBorder="1" applyFont="1">
      <alignment horizontal="center" readingOrder="0" shrinkToFit="0" vertical="center" wrapText="1"/>
    </xf>
    <xf borderId="55" fillId="15" fontId="3" numFmtId="0" xfId="0" applyAlignment="1" applyBorder="1" applyFont="1">
      <alignment horizontal="center" readingOrder="0" shrinkToFit="0" vertical="center" wrapText="1"/>
    </xf>
    <xf borderId="71" fillId="0" fontId="3" numFmtId="0" xfId="0" applyAlignment="1" applyBorder="1" applyFont="1">
      <alignment horizontal="center" readingOrder="0" shrinkToFit="0" vertical="center" wrapText="1"/>
    </xf>
    <xf borderId="39" fillId="0" fontId="3" numFmtId="0" xfId="0" applyAlignment="1" applyBorder="1" applyFont="1">
      <alignment horizontal="center" readingOrder="0" shrinkToFit="0" vertical="center" wrapText="1"/>
    </xf>
    <xf borderId="40" fillId="0" fontId="3" numFmtId="0" xfId="0" applyAlignment="1" applyBorder="1" applyFont="1">
      <alignment horizontal="center" readingOrder="0" shrinkToFit="0" vertical="center" wrapText="1"/>
    </xf>
    <xf borderId="55" fillId="0" fontId="3" numFmtId="0" xfId="0" applyAlignment="1" applyBorder="1" applyFont="1">
      <alignment horizontal="center" readingOrder="0" shrinkToFit="0" vertical="center" wrapText="1"/>
    </xf>
    <xf borderId="54" fillId="0" fontId="3" numFmtId="0" xfId="0" applyAlignment="1" applyBorder="1" applyFont="1">
      <alignment horizontal="center" shrinkToFit="0" vertical="center" wrapText="1"/>
    </xf>
    <xf borderId="74" fillId="0" fontId="3" numFmtId="0" xfId="0" applyAlignment="1" applyBorder="1" applyFont="1">
      <alignment horizontal="center" shrinkToFit="0" vertical="center" wrapText="1"/>
    </xf>
    <xf borderId="55" fillId="0" fontId="3" numFmtId="0" xfId="0" applyAlignment="1" applyBorder="1" applyFont="1">
      <alignment horizontal="center" shrinkToFit="0" vertical="center" wrapText="1"/>
    </xf>
    <xf borderId="0" fillId="0" fontId="5" numFmtId="1" xfId="0" applyFont="1" applyNumberFormat="1"/>
    <xf borderId="0" fillId="0" fontId="5" numFmtId="164" xfId="0" applyFont="1" applyNumberFormat="1"/>
    <xf borderId="0" fillId="0" fontId="5" numFmtId="167" xfId="0" applyFont="1" applyNumberFormat="1"/>
    <xf borderId="0" fillId="0" fontId="5" numFmtId="165" xfId="0" applyFont="1" applyNumberFormat="1"/>
    <xf borderId="0" fillId="0" fontId="5" numFmtId="166" xfId="0" applyFont="1" applyNumberFormat="1"/>
    <xf borderId="0" fillId="3" fontId="36" numFmtId="0" xfId="0" applyFont="1"/>
    <xf borderId="0" fillId="3" fontId="3" numFmtId="0" xfId="0" applyFont="1"/>
    <xf borderId="0" fillId="33" fontId="9" numFmtId="0" xfId="0" applyAlignment="1" applyFill="1" applyFont="1">
      <alignment horizontal="center"/>
    </xf>
    <xf borderId="0" fillId="33" fontId="9" numFmtId="1" xfId="0" applyAlignment="1" applyFont="1" applyNumberFormat="1">
      <alignment horizontal="center"/>
    </xf>
    <xf borderId="0" fillId="33" fontId="9" numFmtId="168" xfId="0" applyAlignment="1" applyFont="1" applyNumberFormat="1">
      <alignment horizontal="center"/>
    </xf>
    <xf borderId="0" fillId="33" fontId="9" numFmtId="164" xfId="0" applyAlignment="1" applyFont="1" applyNumberFormat="1">
      <alignment horizontal="center"/>
    </xf>
    <xf borderId="0" fillId="33" fontId="9" numFmtId="167" xfId="0" applyAlignment="1" applyFont="1" applyNumberFormat="1">
      <alignment horizontal="center"/>
    </xf>
    <xf borderId="0" fillId="33" fontId="9" numFmtId="165" xfId="0" applyAlignment="1" applyFont="1" applyNumberFormat="1">
      <alignment horizontal="center"/>
    </xf>
    <xf borderId="0" fillId="33" fontId="3" numFmtId="0" xfId="0" applyAlignment="1" applyFont="1">
      <alignment horizontal="center"/>
    </xf>
    <xf borderId="0" fillId="33" fontId="9" numFmtId="166" xfId="0" applyAlignment="1" applyFont="1" applyNumberFormat="1">
      <alignment horizontal="center"/>
    </xf>
    <xf borderId="0" fillId="33" fontId="9" numFmtId="0" xfId="0" applyAlignment="1" applyFont="1">
      <alignment horizontal="center" vertical="center"/>
    </xf>
    <xf borderId="0" fillId="33" fontId="8" numFmtId="0" xfId="0" applyAlignment="1" applyFont="1">
      <alignment vertical="center"/>
    </xf>
    <xf borderId="0" fillId="33" fontId="9" numFmtId="2" xfId="0" applyAlignment="1" applyFont="1" applyNumberFormat="1">
      <alignment horizontal="center"/>
    </xf>
    <xf borderId="0" fillId="33" fontId="9" numFmtId="170" xfId="0" applyAlignment="1" applyFont="1" applyNumberFormat="1">
      <alignment horizontal="center"/>
    </xf>
    <xf borderId="0" fillId="3" fontId="9" numFmtId="0" xfId="0" applyAlignment="1" applyFont="1">
      <alignment horizontal="center"/>
    </xf>
    <xf borderId="77" fillId="34" fontId="37" numFmtId="0" xfId="0" applyAlignment="1" applyBorder="1" applyFill="1" applyFont="1">
      <alignment horizontal="center" readingOrder="0" shrinkToFit="0" vertical="center" wrapText="1"/>
    </xf>
    <xf borderId="78" fillId="0" fontId="2" numFmtId="0" xfId="0" applyBorder="1" applyFont="1"/>
    <xf borderId="79" fillId="0" fontId="2" numFmtId="0" xfId="0" applyBorder="1" applyFont="1"/>
    <xf borderId="80" fillId="0" fontId="2" numFmtId="0" xfId="0" applyBorder="1" applyFont="1"/>
    <xf borderId="81" fillId="0" fontId="2" numFmtId="0" xfId="0" applyBorder="1" applyFont="1"/>
    <xf borderId="82" fillId="0" fontId="2" numFmtId="0" xfId="0" applyBorder="1" applyFont="1"/>
    <xf borderId="83" fillId="0" fontId="2" numFmtId="0" xfId="0" applyBorder="1" applyFont="1"/>
    <xf borderId="84" fillId="0" fontId="2" numFmtId="0" xfId="0" applyBorder="1" applyFont="1"/>
    <xf borderId="34" fillId="35" fontId="38" numFmtId="0" xfId="0" applyAlignment="1" applyBorder="1" applyFill="1" applyFont="1">
      <alignment horizontal="center" shrinkToFit="0" vertical="center" wrapText="1"/>
    </xf>
    <xf borderId="60" fillId="0" fontId="2" numFmtId="0" xfId="0" applyBorder="1" applyFont="1"/>
    <xf borderId="30" fillId="0" fontId="2" numFmtId="0" xfId="0" applyBorder="1" applyFont="1"/>
    <xf borderId="0" fillId="0" fontId="11" numFmtId="0" xfId="0" applyAlignment="1" applyFont="1">
      <alignment vertical="bottom"/>
    </xf>
    <xf borderId="31" fillId="0" fontId="2" numFmtId="0" xfId="0" applyBorder="1" applyFont="1"/>
    <xf borderId="15" fillId="0" fontId="39" numFmtId="0" xfId="0" applyAlignment="1" applyBorder="1" applyFont="1">
      <alignment vertical="center"/>
    </xf>
    <xf borderId="12" fillId="35" fontId="40" numFmtId="0" xfId="0" applyAlignment="1" applyBorder="1" applyFont="1">
      <alignment horizontal="center" shrinkToFit="0" vertical="center" wrapText="1"/>
    </xf>
    <xf borderId="12" fillId="35" fontId="41" numFmtId="49" xfId="0" applyAlignment="1" applyBorder="1" applyFont="1" applyNumberFormat="1">
      <alignment horizontal="center" shrinkToFit="0" vertical="center" wrapText="1"/>
    </xf>
    <xf borderId="15" fillId="35" fontId="39" numFmtId="49" xfId="0" applyAlignment="1" applyBorder="1" applyFont="1" applyNumberFormat="1">
      <alignment vertical="center"/>
    </xf>
    <xf borderId="0" fillId="0" fontId="39" numFmtId="0" xfId="0" applyAlignment="1" applyFont="1">
      <alignment vertical="center"/>
    </xf>
    <xf borderId="15" fillId="0" fontId="42" numFmtId="0" xfId="0" applyAlignment="1" applyBorder="1" applyFont="1">
      <alignment vertical="center"/>
    </xf>
    <xf borderId="15" fillId="35" fontId="43" numFmtId="0" xfId="0" applyAlignment="1" applyBorder="1" applyFont="1">
      <alignment horizontal="center" shrinkToFit="0" vertical="center" wrapText="1"/>
    </xf>
    <xf borderId="15" fillId="35" fontId="43" numFmtId="1" xfId="0" applyAlignment="1" applyBorder="1" applyFont="1" applyNumberFormat="1">
      <alignment horizontal="center" shrinkToFit="0" vertical="center" wrapText="1"/>
    </xf>
    <xf borderId="15" fillId="35" fontId="43" numFmtId="171" xfId="0" applyAlignment="1" applyBorder="1" applyFont="1" applyNumberFormat="1">
      <alignment horizontal="center" shrinkToFit="0" vertical="center" wrapText="1"/>
    </xf>
    <xf borderId="15" fillId="35" fontId="43" numFmtId="49" xfId="0" applyAlignment="1" applyBorder="1" applyFont="1" applyNumberFormat="1">
      <alignment horizontal="center" shrinkToFit="0" vertical="center" wrapText="1"/>
    </xf>
    <xf borderId="15" fillId="35" fontId="43" numFmtId="172" xfId="0" applyAlignment="1" applyBorder="1" applyFont="1" applyNumberFormat="1">
      <alignment horizontal="center" shrinkToFit="0" vertical="center" wrapText="1"/>
    </xf>
    <xf borderId="15" fillId="35" fontId="43" numFmtId="167" xfId="0" applyAlignment="1" applyBorder="1" applyFont="1" applyNumberFormat="1">
      <alignment horizontal="center" shrinkToFit="0" vertical="center" wrapText="1"/>
    </xf>
    <xf borderId="12" fillId="35" fontId="43" numFmtId="167" xfId="0" applyAlignment="1" applyBorder="1" applyFont="1" applyNumberFormat="1">
      <alignment horizontal="center" shrinkToFit="0" vertical="center" wrapText="1"/>
    </xf>
    <xf borderId="43" fillId="0" fontId="42" numFmtId="0" xfId="0" applyAlignment="1" applyBorder="1" applyFont="1">
      <alignment vertical="center"/>
    </xf>
    <xf borderId="0" fillId="0" fontId="42" numFmtId="0" xfId="0" applyAlignment="1" applyFont="1">
      <alignment vertical="center"/>
    </xf>
    <xf borderId="0" fillId="0" fontId="5" numFmtId="165" xfId="0" applyAlignment="1" applyFont="1" applyNumberFormat="1">
      <alignment horizontal="center"/>
    </xf>
    <xf borderId="0" fillId="0" fontId="9" numFmtId="0" xfId="0" applyAlignment="1" applyFont="1">
      <alignment horizontal="center" vertical="center"/>
    </xf>
    <xf borderId="0" fillId="0" fontId="5" numFmtId="164" xfId="0" applyAlignment="1" applyFont="1" applyNumberFormat="1">
      <alignment horizontal="center"/>
    </xf>
    <xf borderId="0" fillId="0" fontId="5" numFmtId="167" xfId="0" applyAlignment="1" applyFont="1" applyNumberFormat="1">
      <alignment horizontal="center"/>
    </xf>
    <xf borderId="0" fillId="0" fontId="5" numFmtId="166" xfId="0" applyAlignment="1" applyFont="1" applyNumberFormat="1">
      <alignment horizontal="center"/>
    </xf>
    <xf borderId="0" fillId="2" fontId="9" numFmtId="0" xfId="0" applyAlignment="1" applyFont="1">
      <alignment horizontal="center" vertical="center"/>
    </xf>
    <xf borderId="0" fillId="2" fontId="9" numFmtId="164" xfId="0" applyAlignment="1" applyFont="1" applyNumberFormat="1">
      <alignment horizontal="center" vertical="center"/>
    </xf>
    <xf borderId="0" fillId="2" fontId="44" numFmtId="0" xfId="0" applyAlignment="1" applyFont="1">
      <alignment horizontal="center" readingOrder="0" vertical="center"/>
    </xf>
    <xf borderId="0" fillId="2" fontId="9" numFmtId="167" xfId="0" applyAlignment="1" applyFont="1" applyNumberFormat="1">
      <alignment horizontal="center" vertical="center"/>
    </xf>
    <xf borderId="1" fillId="34" fontId="4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6"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75"/>
  <cols>
    <col customWidth="1" min="2" max="4" width="10.71"/>
    <col customWidth="1" min="5" max="5" width="10.29"/>
    <col customWidth="1" min="6" max="6" width="12.29"/>
    <col customWidth="1" min="7" max="7" width="10.57"/>
    <col customWidth="1" min="8" max="8" width="10.29"/>
    <col customWidth="1" min="9" max="9" width="11.29"/>
    <col customWidth="1" min="10" max="12" width="10.71"/>
    <col customWidth="1" min="13" max="13" width="10.14"/>
    <col customWidth="1" min="14" max="28" width="10.71"/>
  </cols>
  <sheetData>
    <row r="1">
      <c r="A1" s="1"/>
      <c r="B1" s="2"/>
      <c r="C1" s="3"/>
      <c r="D1" s="4" t="s">
        <v>0</v>
      </c>
      <c r="E1" s="2"/>
      <c r="F1" s="2"/>
      <c r="G1" s="2"/>
      <c r="H1" s="3"/>
      <c r="J1" s="5"/>
    </row>
    <row r="2">
      <c r="A2" s="6" t="s">
        <v>1</v>
      </c>
      <c r="J2" s="7"/>
    </row>
    <row r="3">
      <c r="A3" s="8" t="s">
        <v>2</v>
      </c>
      <c r="B3" s="9">
        <v>10.0</v>
      </c>
      <c r="C3" s="10" t="s">
        <v>3</v>
      </c>
      <c r="D3" s="11">
        <v>164778.0</v>
      </c>
      <c r="E3" s="12" t="s">
        <v>4</v>
      </c>
      <c r="F3" s="13"/>
      <c r="G3" s="14">
        <v>44200.0</v>
      </c>
      <c r="H3" s="15" t="s">
        <v>5</v>
      </c>
      <c r="I3" s="16">
        <v>6.0</v>
      </c>
      <c r="J3" s="17">
        <v>1.0</v>
      </c>
      <c r="K3" s="18"/>
    </row>
    <row r="4">
      <c r="A4" s="19" t="s">
        <v>6</v>
      </c>
      <c r="B4" s="20" t="s">
        <v>7</v>
      </c>
      <c r="C4" s="21"/>
      <c r="D4" s="22"/>
      <c r="E4" s="23" t="s">
        <v>8</v>
      </c>
      <c r="F4" s="22"/>
      <c r="G4" s="24">
        <v>44212.0</v>
      </c>
      <c r="H4" s="25" t="s">
        <v>9</v>
      </c>
      <c r="I4" s="26">
        <v>13.0</v>
      </c>
      <c r="J4" s="27">
        <v>16.5</v>
      </c>
      <c r="K4" s="18"/>
      <c r="L4" s="28"/>
    </row>
    <row r="5">
      <c r="A5" s="29" t="s">
        <v>10</v>
      </c>
      <c r="B5" s="30">
        <v>82.0</v>
      </c>
      <c r="C5" s="31" t="s">
        <v>11</v>
      </c>
      <c r="D5" s="32" t="s">
        <v>12</v>
      </c>
      <c r="E5" s="33" t="s">
        <v>13</v>
      </c>
      <c r="F5" s="22"/>
      <c r="G5" s="34">
        <v>85.0</v>
      </c>
      <c r="H5" s="35" t="s">
        <v>14</v>
      </c>
      <c r="I5" s="36">
        <v>43.0</v>
      </c>
      <c r="J5" s="27">
        <v>30.5</v>
      </c>
      <c r="K5" s="18"/>
      <c r="L5" s="28"/>
    </row>
    <row r="6">
      <c r="A6" s="37" t="s">
        <v>15</v>
      </c>
      <c r="B6" s="38">
        <v>180.0</v>
      </c>
      <c r="C6" s="39" t="s">
        <v>16</v>
      </c>
      <c r="D6" s="40">
        <f>IFS(D5="Mujer",((B6-152.4)*0.91)+45.5,D5="Hombre",((B6-152.4)*0.91)+50,D5="","")</f>
        <v>75.116</v>
      </c>
      <c r="E6" s="41" t="s">
        <v>17</v>
      </c>
      <c r="F6" s="42"/>
      <c r="G6" s="43" t="s">
        <v>18</v>
      </c>
      <c r="H6" s="42"/>
      <c r="I6" s="44" t="s">
        <v>19</v>
      </c>
      <c r="J6" s="45">
        <v>2.0</v>
      </c>
      <c r="K6" s="18"/>
      <c r="L6" s="28"/>
    </row>
    <row r="7">
      <c r="A7" s="46" t="s">
        <v>20</v>
      </c>
      <c r="B7" s="47" t="s">
        <v>21</v>
      </c>
      <c r="C7" s="47"/>
      <c r="D7" s="47"/>
      <c r="E7" s="47"/>
      <c r="F7" s="47"/>
      <c r="G7" s="47"/>
      <c r="H7" s="47"/>
      <c r="I7" s="47"/>
      <c r="J7" s="48"/>
      <c r="K7" s="18"/>
      <c r="L7" s="28"/>
    </row>
    <row r="8">
      <c r="A8" s="49" t="s">
        <v>22</v>
      </c>
      <c r="B8" s="47"/>
      <c r="C8" s="47"/>
      <c r="D8" s="47"/>
      <c r="E8" s="47"/>
      <c r="F8" s="47"/>
      <c r="G8" s="47"/>
      <c r="H8" s="47"/>
      <c r="I8" s="47"/>
      <c r="J8" s="48"/>
      <c r="K8" s="18"/>
    </row>
    <row r="9">
      <c r="A9" s="49" t="s">
        <v>23</v>
      </c>
      <c r="B9" s="47"/>
      <c r="C9" s="47"/>
      <c r="D9" s="47"/>
      <c r="E9" s="47"/>
      <c r="F9" s="47"/>
      <c r="G9" s="47"/>
      <c r="H9" s="47"/>
      <c r="I9" s="47"/>
      <c r="J9" s="48"/>
      <c r="K9" s="18"/>
    </row>
    <row r="10">
      <c r="A10" s="50" t="s">
        <v>24</v>
      </c>
      <c r="B10" s="51" t="s">
        <v>25</v>
      </c>
      <c r="C10" s="2"/>
      <c r="D10" s="2"/>
      <c r="E10" s="2"/>
      <c r="F10" s="51"/>
      <c r="G10" s="2"/>
      <c r="H10" s="2"/>
      <c r="I10" s="2"/>
      <c r="J10" s="52"/>
      <c r="K10" s="18"/>
    </row>
    <row r="11">
      <c r="A11" s="53"/>
      <c r="B11" s="47"/>
      <c r="F11" s="47"/>
      <c r="J11" s="7"/>
      <c r="K11" s="18"/>
    </row>
    <row r="12">
      <c r="A12" s="54" t="s">
        <v>26</v>
      </c>
      <c r="D12" s="55"/>
      <c r="J12" s="7"/>
      <c r="K12" s="18"/>
    </row>
    <row r="13">
      <c r="A13" s="56"/>
      <c r="J13" s="7"/>
    </row>
    <row r="14">
      <c r="A14" s="56"/>
      <c r="J14" s="7"/>
    </row>
    <row r="15">
      <c r="A15" s="46" t="s">
        <v>27</v>
      </c>
      <c r="C15" s="57" t="s">
        <v>28</v>
      </c>
      <c r="J15" s="7"/>
    </row>
    <row r="16">
      <c r="A16" s="53"/>
      <c r="J16" s="7"/>
    </row>
    <row r="17">
      <c r="A17" s="58"/>
      <c r="B17" s="59"/>
      <c r="C17" s="59"/>
      <c r="D17" s="59"/>
      <c r="E17" s="59"/>
      <c r="F17" s="59"/>
      <c r="G17" s="59"/>
      <c r="H17" s="59"/>
      <c r="I17" s="59"/>
      <c r="J17" s="60"/>
    </row>
    <row r="18" ht="18.0" customHeight="1">
      <c r="A18" s="61" t="s">
        <v>29</v>
      </c>
      <c r="B18" s="2"/>
      <c r="C18" s="2"/>
      <c r="D18" s="2"/>
      <c r="E18" s="2"/>
      <c r="F18" s="2"/>
      <c r="G18" s="2"/>
      <c r="H18" s="2"/>
      <c r="I18" s="2"/>
      <c r="J18" s="52"/>
    </row>
    <row r="19" ht="15.75" customHeight="1">
      <c r="A19" s="62" t="s">
        <v>30</v>
      </c>
      <c r="B19" s="63"/>
      <c r="C19" s="64" t="s">
        <v>31</v>
      </c>
      <c r="D19" s="65"/>
      <c r="E19" s="62" t="s">
        <v>32</v>
      </c>
      <c r="F19" s="65"/>
      <c r="G19" s="62" t="s">
        <v>33</v>
      </c>
      <c r="H19" s="66"/>
      <c r="I19" s="62" t="s">
        <v>34</v>
      </c>
      <c r="J19" s="67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</row>
    <row r="20" ht="15.75" customHeight="1">
      <c r="A20" s="69" t="s">
        <v>35</v>
      </c>
      <c r="B20" s="70"/>
      <c r="C20" s="71" t="s">
        <v>31</v>
      </c>
      <c r="D20" s="65"/>
      <c r="E20" s="72" t="s">
        <v>32</v>
      </c>
      <c r="F20" s="65"/>
      <c r="G20" s="72" t="s">
        <v>33</v>
      </c>
      <c r="H20" s="73"/>
      <c r="I20" s="72" t="s">
        <v>34</v>
      </c>
      <c r="J20" s="74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</row>
    <row r="21" ht="19.5" customHeight="1">
      <c r="A21" s="61" t="s">
        <v>36</v>
      </c>
      <c r="B21" s="2"/>
      <c r="C21" s="2"/>
      <c r="D21" s="2"/>
      <c r="E21" s="2"/>
      <c r="F21" s="2"/>
      <c r="G21" s="2"/>
      <c r="H21" s="2"/>
      <c r="I21" s="2"/>
      <c r="J21" s="52"/>
    </row>
    <row r="22" ht="14.25" customHeight="1">
      <c r="A22" s="62" t="s">
        <v>37</v>
      </c>
      <c r="B22" s="75">
        <v>44213.0</v>
      </c>
      <c r="C22" s="76" t="s">
        <v>38</v>
      </c>
      <c r="D22" s="77">
        <v>8.0</v>
      </c>
      <c r="E22" s="76" t="s">
        <v>39</v>
      </c>
      <c r="F22" s="32">
        <v>24.0</v>
      </c>
      <c r="G22" s="76" t="s">
        <v>40</v>
      </c>
      <c r="H22" s="75">
        <v>44213.0</v>
      </c>
      <c r="I22" s="78" t="s">
        <v>41</v>
      </c>
      <c r="J22" s="79">
        <v>44222.0</v>
      </c>
      <c r="K22" s="80"/>
      <c r="M22" s="80"/>
    </row>
    <row r="23" ht="15.75" customHeight="1">
      <c r="A23" s="72" t="s">
        <v>42</v>
      </c>
      <c r="B23" s="81"/>
      <c r="C23" s="82" t="s">
        <v>43</v>
      </c>
      <c r="D23" s="81"/>
      <c r="E23" s="83" t="s">
        <v>44</v>
      </c>
      <c r="F23" s="84"/>
      <c r="G23" s="85" t="s">
        <v>45</v>
      </c>
      <c r="H23" s="86"/>
      <c r="I23" s="87" t="s">
        <v>46</v>
      </c>
      <c r="J23" s="88"/>
      <c r="K23" s="80"/>
      <c r="L23" s="80"/>
      <c r="M23" s="80"/>
      <c r="N23" s="80"/>
      <c r="O23" s="80"/>
    </row>
    <row r="24" ht="20.25" customHeight="1">
      <c r="A24" s="61" t="s">
        <v>47</v>
      </c>
      <c r="B24" s="2"/>
      <c r="C24" s="2"/>
      <c r="D24" s="2"/>
      <c r="E24" s="2"/>
      <c r="F24" s="2"/>
      <c r="G24" s="2"/>
      <c r="H24" s="2"/>
      <c r="I24" s="2"/>
      <c r="J24" s="52"/>
      <c r="K24" s="80"/>
      <c r="L24" s="80"/>
      <c r="M24" s="80"/>
      <c r="N24" s="80"/>
      <c r="O24" s="80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</row>
    <row r="25" ht="16.5" customHeight="1">
      <c r="A25" s="62" t="s">
        <v>48</v>
      </c>
      <c r="B25" s="77" t="s">
        <v>49</v>
      </c>
      <c r="C25" s="62" t="s">
        <v>50</v>
      </c>
      <c r="D25" s="77">
        <v>2.0</v>
      </c>
      <c r="E25" s="62" t="s">
        <v>51</v>
      </c>
      <c r="F25" s="77">
        <v>0.0</v>
      </c>
      <c r="G25" s="89" t="s">
        <v>52</v>
      </c>
      <c r="H25" s="77">
        <v>0.0</v>
      </c>
      <c r="I25" s="89" t="s">
        <v>53</v>
      </c>
      <c r="J25" s="90">
        <v>0.0</v>
      </c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</row>
    <row r="26" ht="16.5" customHeight="1">
      <c r="A26" s="62" t="s">
        <v>54</v>
      </c>
      <c r="B26" s="91"/>
      <c r="C26" s="92" t="s">
        <v>55</v>
      </c>
      <c r="D26" s="93"/>
      <c r="E26" s="21"/>
      <c r="F26" s="21"/>
      <c r="G26" s="21"/>
      <c r="H26" s="21"/>
      <c r="I26" s="21"/>
      <c r="J26" s="94"/>
    </row>
    <row r="27" ht="16.5" customHeight="1">
      <c r="A27" s="95" t="s">
        <v>56</v>
      </c>
      <c r="B27" s="96"/>
      <c r="C27" s="97" t="s">
        <v>57</v>
      </c>
      <c r="D27" s="98"/>
      <c r="E27" s="99" t="s">
        <v>58</v>
      </c>
      <c r="F27" s="98"/>
      <c r="G27" s="100" t="s">
        <v>59</v>
      </c>
      <c r="H27" s="101">
        <v>3.0</v>
      </c>
      <c r="I27" s="92" t="s">
        <v>60</v>
      </c>
      <c r="J27" s="102">
        <v>2.0</v>
      </c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</row>
    <row r="28" ht="19.5" customHeight="1">
      <c r="A28" s="61" t="s">
        <v>61</v>
      </c>
      <c r="B28" s="2"/>
      <c r="C28" s="2"/>
      <c r="D28" s="2"/>
      <c r="E28" s="2"/>
      <c r="F28" s="2"/>
      <c r="G28" s="2"/>
      <c r="H28" s="2"/>
      <c r="I28" s="2"/>
      <c r="J28" s="52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</row>
    <row r="29" ht="19.5" customHeight="1">
      <c r="A29" s="103" t="s">
        <v>62</v>
      </c>
      <c r="B29" s="104">
        <v>44216.0</v>
      </c>
      <c r="C29" s="76" t="s">
        <v>63</v>
      </c>
      <c r="D29" s="32" t="s">
        <v>64</v>
      </c>
      <c r="E29" s="76" t="s">
        <v>65</v>
      </c>
      <c r="F29" s="32"/>
      <c r="G29" s="105" t="s">
        <v>66</v>
      </c>
      <c r="H29" s="106"/>
      <c r="I29" s="107" t="s">
        <v>67</v>
      </c>
      <c r="J29" s="108" t="s">
        <v>68</v>
      </c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</row>
    <row r="30" ht="17.25" customHeight="1">
      <c r="A30" s="109" t="s">
        <v>69</v>
      </c>
      <c r="B30" s="104"/>
      <c r="C30" s="92" t="s">
        <v>70</v>
      </c>
      <c r="D30" s="77"/>
      <c r="E30" s="110" t="s">
        <v>71</v>
      </c>
      <c r="F30" s="73"/>
      <c r="G30" s="111" t="s">
        <v>72</v>
      </c>
      <c r="H30" s="22"/>
      <c r="I30" s="32"/>
      <c r="J30" s="112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</row>
    <row r="31" ht="17.25" customHeight="1">
      <c r="A31" s="109" t="s">
        <v>73</v>
      </c>
      <c r="B31" s="113"/>
      <c r="C31" s="92" t="s">
        <v>74</v>
      </c>
      <c r="D31" s="65"/>
      <c r="E31" s="92" t="s">
        <v>75</v>
      </c>
      <c r="F31" s="114"/>
      <c r="G31" s="115" t="s">
        <v>76</v>
      </c>
      <c r="H31" s="32"/>
      <c r="I31" s="76" t="s">
        <v>77</v>
      </c>
      <c r="J31" s="116"/>
      <c r="K31" s="47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</row>
    <row r="32" ht="18.75" customHeight="1">
      <c r="A32" s="109" t="s">
        <v>78</v>
      </c>
      <c r="B32" s="30"/>
      <c r="C32" s="62" t="s">
        <v>74</v>
      </c>
      <c r="D32" s="117"/>
      <c r="E32" s="62" t="s">
        <v>75</v>
      </c>
      <c r="F32" s="117"/>
      <c r="G32" s="92" t="s">
        <v>76</v>
      </c>
      <c r="H32" s="30"/>
      <c r="I32" s="76" t="s">
        <v>79</v>
      </c>
      <c r="J32" s="118"/>
    </row>
    <row r="33" ht="15.75" customHeight="1">
      <c r="A33" s="119" t="s">
        <v>80</v>
      </c>
      <c r="B33" s="84"/>
      <c r="C33" s="105" t="s">
        <v>48</v>
      </c>
      <c r="D33" s="120"/>
      <c r="E33" s="85" t="s">
        <v>81</v>
      </c>
      <c r="F33" s="121"/>
      <c r="G33" s="122"/>
      <c r="H33" s="123" t="s">
        <v>82</v>
      </c>
      <c r="I33" s="70"/>
      <c r="J33" s="124"/>
    </row>
    <row r="34" ht="21.0" customHeight="1">
      <c r="A34" s="125" t="s">
        <v>83</v>
      </c>
      <c r="B34" s="126"/>
      <c r="C34" s="126"/>
      <c r="D34" s="126"/>
      <c r="E34" s="126"/>
      <c r="F34" s="126"/>
      <c r="G34" s="126"/>
      <c r="H34" s="126"/>
      <c r="I34" s="126"/>
      <c r="J34" s="127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</row>
    <row r="35" ht="15.75" customHeight="1">
      <c r="A35" s="128" t="s">
        <v>84</v>
      </c>
      <c r="B35" s="129"/>
      <c r="C35" s="130"/>
      <c r="D35" s="131" t="s">
        <v>85</v>
      </c>
      <c r="E35" s="132"/>
      <c r="F35" s="133" t="s">
        <v>86</v>
      </c>
      <c r="G35" s="129"/>
      <c r="H35" s="134"/>
      <c r="I35" s="89" t="s">
        <v>87</v>
      </c>
      <c r="J35" s="116"/>
    </row>
    <row r="36" ht="15.75" customHeight="1">
      <c r="A36" s="135" t="s">
        <v>88</v>
      </c>
      <c r="C36" s="136"/>
      <c r="D36" s="137" t="s">
        <v>89</v>
      </c>
      <c r="E36" s="138"/>
      <c r="F36" s="139" t="s">
        <v>90</v>
      </c>
      <c r="G36" s="140"/>
      <c r="H36" s="141"/>
      <c r="I36" s="141"/>
      <c r="J36" s="142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</row>
    <row r="37" ht="18.0" customHeight="1">
      <c r="A37" s="143" t="s">
        <v>91</v>
      </c>
      <c r="B37" s="144"/>
      <c r="C37" s="144"/>
      <c r="D37" s="144"/>
      <c r="E37" s="144"/>
      <c r="F37" s="144"/>
      <c r="G37" s="144"/>
      <c r="H37" s="144"/>
      <c r="I37" s="144"/>
      <c r="J37" s="145"/>
      <c r="L37" s="146"/>
    </row>
    <row r="38" ht="15.75" customHeight="1">
      <c r="A38" s="147" t="s">
        <v>92</v>
      </c>
      <c r="B38" s="148" t="s">
        <v>93</v>
      </c>
      <c r="C38" s="131" t="s">
        <v>94</v>
      </c>
      <c r="D38" s="130">
        <v>44222.0</v>
      </c>
      <c r="E38" s="149"/>
      <c r="F38" s="150" t="s">
        <v>95</v>
      </c>
      <c r="G38" s="129"/>
      <c r="H38" s="148" t="s">
        <v>96</v>
      </c>
      <c r="I38" s="151" t="s">
        <v>97</v>
      </c>
      <c r="J38" s="152" t="s">
        <v>98</v>
      </c>
      <c r="L38" s="146"/>
    </row>
    <row r="39" ht="18.0" customHeight="1">
      <c r="A39" s="153" t="s">
        <v>99</v>
      </c>
      <c r="B39" s="136" t="s">
        <v>96</v>
      </c>
      <c r="C39" s="154" t="s">
        <v>94</v>
      </c>
      <c r="D39" s="155">
        <v>44221.0</v>
      </c>
      <c r="E39" s="156"/>
      <c r="F39" s="157" t="s">
        <v>100</v>
      </c>
      <c r="G39" s="158"/>
      <c r="H39" s="159" t="s">
        <v>101</v>
      </c>
      <c r="I39" s="160"/>
      <c r="J39" s="161"/>
    </row>
    <row r="40" ht="18.0" customHeight="1">
      <c r="A40" s="162" t="s">
        <v>102</v>
      </c>
      <c r="B40" s="163" t="s">
        <v>103</v>
      </c>
      <c r="C40" s="163" t="s">
        <v>104</v>
      </c>
      <c r="D40" s="163" t="s">
        <v>105</v>
      </c>
      <c r="E40" s="163" t="s">
        <v>106</v>
      </c>
      <c r="F40" s="163" t="s">
        <v>107</v>
      </c>
      <c r="G40" s="163"/>
      <c r="H40" s="163"/>
      <c r="I40" s="163"/>
      <c r="J40" s="164"/>
    </row>
    <row r="41" ht="17.25" customHeight="1">
      <c r="A41" s="165"/>
      <c r="B41" s="166"/>
      <c r="C41" s="166"/>
      <c r="D41" s="166"/>
      <c r="E41" s="166"/>
      <c r="F41" s="166"/>
      <c r="G41" s="166"/>
      <c r="H41" s="166"/>
      <c r="I41" s="166"/>
      <c r="J41" s="167"/>
    </row>
    <row r="42" ht="33.75" customHeight="1">
      <c r="A42" s="168" t="s">
        <v>108</v>
      </c>
      <c r="B42" s="169" t="s">
        <v>109</v>
      </c>
      <c r="C42" s="169" t="s">
        <v>110</v>
      </c>
      <c r="D42" s="169" t="s">
        <v>111</v>
      </c>
      <c r="E42" s="170" t="s">
        <v>103</v>
      </c>
      <c r="F42" s="169" t="s">
        <v>112</v>
      </c>
      <c r="G42" s="171" t="s">
        <v>113</v>
      </c>
      <c r="H42" s="171" t="s">
        <v>114</v>
      </c>
      <c r="I42" s="172" t="s">
        <v>115</v>
      </c>
      <c r="J42" s="173" t="s">
        <v>116</v>
      </c>
    </row>
    <row r="43" ht="15.75" customHeight="1">
      <c r="A43" s="174" t="s">
        <v>117</v>
      </c>
      <c r="B43" s="175">
        <f>+Monitoreo!F65</f>
        <v>7</v>
      </c>
      <c r="C43" s="175">
        <f>+Monitoreo!C65</f>
        <v>8</v>
      </c>
      <c r="D43" s="175">
        <f>+Monitoreo!I65</f>
        <v>6</v>
      </c>
      <c r="E43" s="175">
        <f>+Monitoreo!P69</f>
        <v>4</v>
      </c>
      <c r="F43" s="175">
        <f>+Monitoreo!M65</f>
        <v>0</v>
      </c>
      <c r="G43" s="175">
        <f>+Monitoreo!M69</f>
        <v>0</v>
      </c>
      <c r="H43" s="176">
        <f>IFS(B22="","",B30=B22,"1",B30&gt;0,B30-B22,C35&gt;0,C35-B22,D38&gt;0,D38-B22,B22&gt;0,TODAY()-B22)</f>
        <v>9</v>
      </c>
      <c r="I43" s="177">
        <f>IFS(H22="","",H22=J22,"1",J22&gt;0,J22-H22,H22&gt;0,TODAY()-H22)</f>
        <v>9</v>
      </c>
      <c r="J43" s="178">
        <f>IFS(G4="","",G4=D38,"1",D38&gt;0,D38-G4,G4&gt;0,TODAY()-G4)</f>
        <v>10</v>
      </c>
      <c r="K43" s="179"/>
      <c r="L43" s="179"/>
      <c r="M43" s="179"/>
      <c r="N43" s="179"/>
      <c r="O43" s="179"/>
      <c r="P43" s="179"/>
      <c r="Q43" s="179"/>
      <c r="R43" s="179"/>
      <c r="S43" s="179"/>
      <c r="T43" s="179"/>
      <c r="U43" s="179"/>
      <c r="V43" s="179"/>
      <c r="W43" s="179"/>
      <c r="X43" s="179"/>
      <c r="Y43" s="179"/>
      <c r="Z43" s="179"/>
      <c r="AA43" s="179"/>
      <c r="AB43" s="179"/>
    </row>
    <row r="44" ht="15.75" customHeight="1">
      <c r="G44" s="68"/>
      <c r="H44" s="68"/>
    </row>
    <row r="45" ht="15.75" customHeight="1">
      <c r="G45" s="68"/>
      <c r="H45" s="180"/>
    </row>
    <row r="46" ht="15.75" customHeight="1">
      <c r="A46" s="181"/>
      <c r="B46" s="182"/>
      <c r="C46" s="182"/>
      <c r="D46" s="182"/>
      <c r="E46" s="182"/>
      <c r="F46" s="182"/>
      <c r="G46" s="182"/>
      <c r="H46" s="182"/>
    </row>
    <row r="47" ht="15.75" customHeight="1">
      <c r="G47" s="68"/>
      <c r="H47" s="68"/>
    </row>
    <row r="48" ht="15.75" customHeight="1">
      <c r="G48" s="68"/>
      <c r="H48" s="68"/>
    </row>
    <row r="49" ht="15.75" customHeight="1">
      <c r="G49" s="68"/>
      <c r="H49" s="68"/>
    </row>
    <row r="50" ht="15.75" customHeight="1">
      <c r="G50" s="68"/>
      <c r="H50" s="68"/>
    </row>
    <row r="51" ht="15.75" customHeight="1">
      <c r="G51" s="68"/>
      <c r="H51" s="68"/>
    </row>
    <row r="52" ht="15.75" customHeight="1">
      <c r="G52" s="68"/>
      <c r="H52" s="68"/>
    </row>
    <row r="53" ht="15.75" customHeight="1">
      <c r="G53" s="68"/>
      <c r="H53" s="68"/>
    </row>
    <row r="54" ht="15.75" customHeight="1">
      <c r="G54" s="68"/>
      <c r="H54" s="68"/>
    </row>
    <row r="55" ht="15.75" customHeight="1">
      <c r="G55" s="68"/>
      <c r="H55" s="68"/>
    </row>
    <row r="56" ht="15.75" customHeight="1">
      <c r="G56" s="68"/>
      <c r="H56" s="68"/>
    </row>
    <row r="57" ht="15.75" customHeight="1">
      <c r="G57" s="68"/>
      <c r="H57" s="68"/>
    </row>
    <row r="58" ht="15.75" customHeight="1">
      <c r="G58" s="68"/>
      <c r="H58" s="68"/>
    </row>
    <row r="59" ht="15.75" customHeight="1">
      <c r="G59" s="68"/>
      <c r="H59" s="68"/>
    </row>
    <row r="60" ht="15.75" customHeight="1">
      <c r="G60" s="68"/>
      <c r="H60" s="68"/>
    </row>
    <row r="61" ht="15.75" customHeight="1">
      <c r="G61" s="68"/>
      <c r="H61" s="68"/>
    </row>
    <row r="62" ht="15.75" customHeight="1">
      <c r="G62" s="68"/>
      <c r="H62" s="68"/>
    </row>
    <row r="63" ht="15.75" customHeight="1">
      <c r="G63" s="68"/>
      <c r="H63" s="68"/>
    </row>
    <row r="64" ht="15.75" customHeight="1">
      <c r="G64" s="68"/>
      <c r="H64" s="68"/>
    </row>
    <row r="65" ht="15.75" customHeight="1">
      <c r="G65" s="68"/>
      <c r="H65" s="68"/>
    </row>
    <row r="66" ht="15.75" customHeight="1">
      <c r="G66" s="68"/>
      <c r="H66" s="68"/>
    </row>
    <row r="67" ht="15.75" customHeight="1">
      <c r="G67" s="68"/>
      <c r="H67" s="68"/>
    </row>
    <row r="68" ht="15.75" customHeight="1">
      <c r="G68" s="68"/>
      <c r="H68" s="68"/>
    </row>
    <row r="69" ht="15.75" customHeight="1">
      <c r="G69" s="68"/>
      <c r="H69" s="68"/>
    </row>
    <row r="70" ht="15.75" customHeight="1">
      <c r="G70" s="68"/>
      <c r="H70" s="68"/>
    </row>
    <row r="71" ht="15.75" customHeight="1">
      <c r="G71" s="68"/>
      <c r="H71" s="68"/>
    </row>
    <row r="72" ht="15.75" customHeight="1">
      <c r="G72" s="68"/>
      <c r="H72" s="68"/>
    </row>
    <row r="73" ht="15.75" customHeight="1">
      <c r="G73" s="68"/>
      <c r="H73" s="68"/>
    </row>
    <row r="74" ht="15.75" customHeight="1">
      <c r="G74" s="68"/>
      <c r="H74" s="68"/>
    </row>
    <row r="75" ht="15.75" customHeight="1">
      <c r="G75" s="68"/>
      <c r="H75" s="68"/>
    </row>
    <row r="76" ht="15.75" customHeight="1">
      <c r="G76" s="68"/>
      <c r="H76" s="68"/>
    </row>
    <row r="77" ht="15.75" customHeight="1">
      <c r="G77" s="68"/>
      <c r="H77" s="68"/>
    </row>
    <row r="78" ht="15.75" customHeight="1">
      <c r="G78" s="68"/>
      <c r="H78" s="68"/>
    </row>
    <row r="79" ht="15.75" customHeight="1">
      <c r="G79" s="68"/>
      <c r="H79" s="68"/>
    </row>
    <row r="80" ht="15.75" customHeight="1">
      <c r="G80" s="68"/>
      <c r="H80" s="68"/>
    </row>
    <row r="81" ht="15.75" customHeight="1">
      <c r="G81" s="68"/>
      <c r="H81" s="68"/>
    </row>
    <row r="82" ht="15.75" customHeight="1">
      <c r="G82" s="68"/>
      <c r="H82" s="68"/>
    </row>
    <row r="83" ht="15.75" customHeight="1">
      <c r="G83" s="68"/>
      <c r="H83" s="68"/>
    </row>
    <row r="84" ht="15.75" customHeight="1">
      <c r="G84" s="68"/>
      <c r="H84" s="68"/>
    </row>
    <row r="85" ht="15.75" customHeight="1">
      <c r="G85" s="68"/>
      <c r="H85" s="68"/>
    </row>
    <row r="86" ht="15.75" customHeight="1">
      <c r="G86" s="68"/>
      <c r="H86" s="68"/>
    </row>
    <row r="87" ht="15.75" customHeight="1">
      <c r="G87" s="68"/>
      <c r="H87" s="68"/>
    </row>
    <row r="88" ht="15.75" customHeight="1">
      <c r="G88" s="68"/>
      <c r="H88" s="68"/>
    </row>
    <row r="89" ht="15.75" customHeight="1">
      <c r="G89" s="68"/>
      <c r="H89" s="68"/>
    </row>
    <row r="90" ht="15.75" customHeight="1">
      <c r="G90" s="68"/>
      <c r="H90" s="68"/>
    </row>
    <row r="91" ht="15.75" customHeight="1">
      <c r="G91" s="68"/>
      <c r="H91" s="68"/>
    </row>
    <row r="92" ht="15.75" customHeight="1">
      <c r="G92" s="68"/>
      <c r="H92" s="68"/>
    </row>
    <row r="93" ht="15.75" customHeight="1">
      <c r="G93" s="68"/>
      <c r="H93" s="68"/>
    </row>
    <row r="94" ht="15.75" customHeight="1">
      <c r="G94" s="68"/>
      <c r="H94" s="68"/>
    </row>
    <row r="95" ht="15.75" customHeight="1">
      <c r="G95" s="68"/>
      <c r="H95" s="68"/>
    </row>
    <row r="96" ht="15.75" customHeight="1">
      <c r="G96" s="68"/>
      <c r="H96" s="68"/>
    </row>
    <row r="97" ht="15.75" customHeight="1">
      <c r="G97" s="68"/>
      <c r="H97" s="68"/>
    </row>
    <row r="98" ht="15.75" customHeight="1">
      <c r="G98" s="68"/>
      <c r="H98" s="68"/>
    </row>
    <row r="99" ht="15.75" customHeight="1">
      <c r="G99" s="68"/>
      <c r="H99" s="68"/>
    </row>
    <row r="100" ht="15.75" customHeight="1">
      <c r="G100" s="68"/>
      <c r="H100" s="68"/>
    </row>
    <row r="101" ht="15.75" customHeight="1">
      <c r="G101" s="68"/>
      <c r="H101" s="68"/>
    </row>
    <row r="102" ht="15.75" customHeight="1">
      <c r="G102" s="68"/>
      <c r="H102" s="68"/>
    </row>
    <row r="103" ht="15.75" customHeight="1">
      <c r="G103" s="68"/>
      <c r="H103" s="68"/>
    </row>
    <row r="104" ht="15.75" customHeight="1">
      <c r="G104" s="68"/>
      <c r="H104" s="68"/>
    </row>
    <row r="105" ht="15.75" customHeight="1">
      <c r="G105" s="68"/>
      <c r="H105" s="68"/>
    </row>
    <row r="106" ht="15.75" customHeight="1">
      <c r="G106" s="68"/>
      <c r="H106" s="68"/>
    </row>
    <row r="107" ht="15.75" customHeight="1">
      <c r="G107" s="68"/>
      <c r="H107" s="68"/>
    </row>
    <row r="108" ht="15.75" customHeight="1">
      <c r="G108" s="68"/>
      <c r="H108" s="68"/>
    </row>
    <row r="109" ht="15.75" customHeight="1">
      <c r="G109" s="68"/>
      <c r="H109" s="68"/>
    </row>
    <row r="110" ht="15.75" customHeight="1">
      <c r="G110" s="68"/>
      <c r="H110" s="68"/>
    </row>
    <row r="111" ht="15.75" customHeight="1">
      <c r="G111" s="68"/>
      <c r="H111" s="68"/>
    </row>
    <row r="112" ht="15.75" customHeight="1">
      <c r="G112" s="68"/>
      <c r="H112" s="68"/>
    </row>
    <row r="113" ht="15.75" customHeight="1">
      <c r="G113" s="68"/>
      <c r="H113" s="68"/>
    </row>
    <row r="114" ht="15.75" customHeight="1">
      <c r="G114" s="68"/>
      <c r="H114" s="68"/>
    </row>
    <row r="115" ht="15.75" customHeight="1">
      <c r="G115" s="68"/>
      <c r="H115" s="68"/>
    </row>
    <row r="116" ht="15.75" customHeight="1">
      <c r="G116" s="68"/>
      <c r="H116" s="68"/>
    </row>
    <row r="117" ht="15.75" customHeight="1">
      <c r="G117" s="68"/>
      <c r="H117" s="68"/>
    </row>
    <row r="118" ht="15.75" customHeight="1">
      <c r="G118" s="68"/>
      <c r="H118" s="68"/>
    </row>
    <row r="119" ht="15.75" customHeight="1">
      <c r="G119" s="68"/>
      <c r="H119" s="68"/>
    </row>
    <row r="120" ht="15.75" customHeight="1">
      <c r="G120" s="68"/>
      <c r="H120" s="68"/>
    </row>
    <row r="121" ht="15.75" customHeight="1">
      <c r="G121" s="68"/>
      <c r="H121" s="68"/>
    </row>
    <row r="122" ht="15.75" customHeight="1">
      <c r="G122" s="68"/>
      <c r="H122" s="68"/>
    </row>
    <row r="123" ht="15.75" customHeight="1">
      <c r="G123" s="68"/>
      <c r="H123" s="68"/>
    </row>
    <row r="124" ht="15.75" customHeight="1">
      <c r="G124" s="68"/>
      <c r="H124" s="68"/>
    </row>
    <row r="125" ht="15.75" customHeight="1">
      <c r="G125" s="68"/>
      <c r="H125" s="68"/>
    </row>
    <row r="126" ht="15.75" customHeight="1">
      <c r="G126" s="68"/>
      <c r="H126" s="68"/>
    </row>
    <row r="127" ht="15.75" customHeight="1">
      <c r="G127" s="68"/>
      <c r="H127" s="68"/>
    </row>
    <row r="128" ht="15.75" customHeight="1">
      <c r="G128" s="68"/>
      <c r="H128" s="68"/>
    </row>
    <row r="129" ht="15.75" customHeight="1">
      <c r="G129" s="68"/>
      <c r="H129" s="68"/>
    </row>
    <row r="130" ht="15.75" customHeight="1">
      <c r="G130" s="68"/>
      <c r="H130" s="68"/>
    </row>
    <row r="131" ht="15.75" customHeight="1">
      <c r="G131" s="68"/>
      <c r="H131" s="68"/>
    </row>
    <row r="132" ht="15.75" customHeight="1">
      <c r="G132" s="68"/>
      <c r="H132" s="68"/>
    </row>
    <row r="133" ht="15.75" customHeight="1">
      <c r="G133" s="68"/>
      <c r="H133" s="68"/>
    </row>
    <row r="134" ht="15.75" customHeight="1">
      <c r="G134" s="68"/>
      <c r="H134" s="68"/>
    </row>
    <row r="135" ht="15.75" customHeight="1">
      <c r="G135" s="68"/>
      <c r="H135" s="68"/>
    </row>
    <row r="136" ht="15.75" customHeight="1">
      <c r="G136" s="68"/>
      <c r="H136" s="68"/>
    </row>
    <row r="137" ht="15.75" customHeight="1">
      <c r="G137" s="68"/>
      <c r="H137" s="68"/>
    </row>
    <row r="138" ht="15.75" customHeight="1">
      <c r="G138" s="68"/>
      <c r="H138" s="68"/>
    </row>
    <row r="139" ht="15.75" customHeight="1">
      <c r="G139" s="68"/>
      <c r="H139" s="68"/>
    </row>
    <row r="140" ht="15.75" customHeight="1">
      <c r="G140" s="68"/>
      <c r="H140" s="68"/>
    </row>
    <row r="141" ht="15.75" customHeight="1">
      <c r="G141" s="68"/>
      <c r="H141" s="68"/>
    </row>
    <row r="142" ht="15.75" customHeight="1">
      <c r="G142" s="68"/>
      <c r="H142" s="68"/>
    </row>
    <row r="143" ht="15.75" customHeight="1">
      <c r="G143" s="68"/>
      <c r="H143" s="68"/>
    </row>
    <row r="144" ht="15.75" customHeight="1">
      <c r="G144" s="68"/>
      <c r="H144" s="68"/>
    </row>
    <row r="145" ht="15.75" customHeight="1">
      <c r="G145" s="68"/>
      <c r="H145" s="68"/>
    </row>
    <row r="146" ht="15.75" customHeight="1">
      <c r="G146" s="68"/>
      <c r="H146" s="68"/>
    </row>
    <row r="147" ht="15.75" customHeight="1">
      <c r="G147" s="68"/>
      <c r="H147" s="68"/>
    </row>
    <row r="148" ht="15.75" customHeight="1">
      <c r="G148" s="68"/>
      <c r="H148" s="68"/>
    </row>
    <row r="149" ht="15.75" customHeight="1">
      <c r="G149" s="68"/>
      <c r="H149" s="68"/>
    </row>
    <row r="150" ht="15.75" customHeight="1">
      <c r="G150" s="68"/>
      <c r="H150" s="68"/>
    </row>
    <row r="151" ht="15.75" customHeight="1">
      <c r="G151" s="68"/>
      <c r="H151" s="68"/>
    </row>
    <row r="152" ht="15.75" customHeight="1">
      <c r="G152" s="68"/>
      <c r="H152" s="68"/>
    </row>
    <row r="153" ht="15.75" customHeight="1">
      <c r="G153" s="68"/>
      <c r="H153" s="68"/>
    </row>
    <row r="154" ht="15.75" customHeight="1">
      <c r="G154" s="68"/>
      <c r="H154" s="68"/>
    </row>
    <row r="155" ht="15.75" customHeight="1">
      <c r="G155" s="68"/>
      <c r="H155" s="68"/>
    </row>
    <row r="156" ht="15.75" customHeight="1">
      <c r="G156" s="68"/>
      <c r="H156" s="68"/>
    </row>
    <row r="157" ht="15.75" customHeight="1">
      <c r="G157" s="68"/>
      <c r="H157" s="68"/>
    </row>
    <row r="158" ht="15.75" customHeight="1">
      <c r="G158" s="68"/>
      <c r="H158" s="68"/>
    </row>
    <row r="159" ht="15.75" customHeight="1">
      <c r="G159" s="68"/>
      <c r="H159" s="68"/>
    </row>
    <row r="160" ht="15.75" customHeight="1">
      <c r="G160" s="68"/>
      <c r="H160" s="68"/>
    </row>
    <row r="161" ht="15.75" customHeight="1">
      <c r="G161" s="68"/>
      <c r="H161" s="68"/>
    </row>
    <row r="162" ht="15.75" customHeight="1">
      <c r="G162" s="68"/>
      <c r="H162" s="68"/>
    </row>
    <row r="163" ht="15.75" customHeight="1">
      <c r="G163" s="68"/>
      <c r="H163" s="68"/>
    </row>
    <row r="164" ht="15.75" customHeight="1">
      <c r="G164" s="68"/>
      <c r="H164" s="68"/>
    </row>
    <row r="165" ht="15.75" customHeight="1">
      <c r="G165" s="68"/>
      <c r="H165" s="68"/>
    </row>
    <row r="166" ht="15.75" customHeight="1">
      <c r="G166" s="68"/>
      <c r="H166" s="68"/>
    </row>
    <row r="167" ht="15.75" customHeight="1">
      <c r="G167" s="68"/>
      <c r="H167" s="68"/>
    </row>
    <row r="168" ht="15.75" customHeight="1">
      <c r="G168" s="68"/>
      <c r="H168" s="68"/>
    </row>
    <row r="169" ht="15.75" customHeight="1">
      <c r="G169" s="68"/>
      <c r="H169" s="68"/>
    </row>
    <row r="170" ht="15.75" customHeight="1">
      <c r="G170" s="68"/>
      <c r="H170" s="68"/>
    </row>
    <row r="171" ht="15.75" customHeight="1">
      <c r="G171" s="68"/>
      <c r="H171" s="68"/>
    </row>
    <row r="172" ht="15.75" customHeight="1">
      <c r="G172" s="68"/>
      <c r="H172" s="68"/>
    </row>
    <row r="173" ht="15.75" customHeight="1">
      <c r="G173" s="68"/>
      <c r="H173" s="68"/>
    </row>
    <row r="174" ht="15.75" customHeight="1">
      <c r="G174" s="68"/>
      <c r="H174" s="68"/>
    </row>
    <row r="175" ht="15.75" customHeight="1">
      <c r="G175" s="68"/>
      <c r="H175" s="68"/>
    </row>
    <row r="176" ht="15.75" customHeight="1">
      <c r="G176" s="68"/>
      <c r="H176" s="68"/>
    </row>
    <row r="177" ht="15.75" customHeight="1">
      <c r="G177" s="68"/>
      <c r="H177" s="68"/>
    </row>
    <row r="178" ht="15.75" customHeight="1">
      <c r="G178" s="68"/>
      <c r="H178" s="68"/>
    </row>
    <row r="179" ht="15.75" customHeight="1">
      <c r="G179" s="68"/>
      <c r="H179" s="68"/>
    </row>
    <row r="180" ht="15.75" customHeight="1">
      <c r="G180" s="68"/>
      <c r="H180" s="68"/>
    </row>
    <row r="181" ht="15.75" customHeight="1">
      <c r="G181" s="68"/>
      <c r="H181" s="68"/>
    </row>
    <row r="182" ht="15.75" customHeight="1">
      <c r="G182" s="68"/>
      <c r="H182" s="68"/>
    </row>
    <row r="183" ht="15.75" customHeight="1">
      <c r="G183" s="68"/>
      <c r="H183" s="68"/>
    </row>
    <row r="184" ht="15.75" customHeight="1">
      <c r="G184" s="68"/>
      <c r="H184" s="68"/>
    </row>
    <row r="185" ht="15.75" customHeight="1">
      <c r="G185" s="68"/>
      <c r="H185" s="68"/>
    </row>
    <row r="186" ht="15.75" customHeight="1">
      <c r="G186" s="68"/>
      <c r="H186" s="68"/>
    </row>
    <row r="187" ht="15.75" customHeight="1">
      <c r="G187" s="68"/>
      <c r="H187" s="68"/>
    </row>
    <row r="188" ht="15.75" customHeight="1">
      <c r="G188" s="68"/>
      <c r="H188" s="68"/>
    </row>
    <row r="189" ht="15.75" customHeight="1">
      <c r="G189" s="68"/>
      <c r="H189" s="68"/>
    </row>
    <row r="190" ht="15.75" customHeight="1">
      <c r="G190" s="68"/>
      <c r="H190" s="68"/>
    </row>
    <row r="191" ht="15.75" customHeight="1">
      <c r="G191" s="68"/>
      <c r="H191" s="68"/>
    </row>
    <row r="192" ht="15.75" customHeight="1">
      <c r="G192" s="68"/>
      <c r="H192" s="68"/>
    </row>
    <row r="193" ht="15.75" customHeight="1">
      <c r="G193" s="68"/>
      <c r="H193" s="68"/>
    </row>
    <row r="194" ht="15.75" customHeight="1">
      <c r="G194" s="68"/>
      <c r="H194" s="68"/>
    </row>
    <row r="195" ht="15.75" customHeight="1">
      <c r="G195" s="68"/>
      <c r="H195" s="68"/>
    </row>
    <row r="196" ht="15.75" customHeight="1">
      <c r="G196" s="68"/>
      <c r="H196" s="68"/>
    </row>
    <row r="197" ht="15.75" customHeight="1">
      <c r="G197" s="68"/>
      <c r="H197" s="68"/>
    </row>
    <row r="198" ht="15.75" customHeight="1">
      <c r="G198" s="68"/>
      <c r="H198" s="68"/>
    </row>
    <row r="199" ht="15.75" customHeight="1">
      <c r="G199" s="68"/>
      <c r="H199" s="68"/>
    </row>
    <row r="200" ht="15.75" customHeight="1">
      <c r="G200" s="68"/>
      <c r="H200" s="68"/>
    </row>
    <row r="201" ht="15.75" customHeight="1">
      <c r="G201" s="68"/>
      <c r="H201" s="68"/>
    </row>
    <row r="202" ht="15.75" customHeight="1">
      <c r="G202" s="68"/>
      <c r="H202" s="68"/>
    </row>
    <row r="203" ht="15.75" customHeight="1">
      <c r="G203" s="68"/>
      <c r="H203" s="68"/>
    </row>
    <row r="204" ht="15.75" customHeight="1">
      <c r="G204" s="68"/>
      <c r="H204" s="68"/>
    </row>
    <row r="205" ht="15.75" customHeight="1">
      <c r="G205" s="68"/>
      <c r="H205" s="68"/>
    </row>
    <row r="206" ht="15.75" customHeight="1">
      <c r="G206" s="68"/>
      <c r="H206" s="68"/>
    </row>
    <row r="207" ht="15.75" customHeight="1">
      <c r="G207" s="68"/>
      <c r="H207" s="68"/>
    </row>
    <row r="208" ht="15.75" customHeight="1">
      <c r="G208" s="68"/>
      <c r="H208" s="68"/>
    </row>
    <row r="209" ht="15.75" customHeight="1">
      <c r="G209" s="68"/>
      <c r="H209" s="68"/>
    </row>
    <row r="210" ht="15.75" customHeight="1">
      <c r="G210" s="68"/>
      <c r="H210" s="68"/>
    </row>
    <row r="211" ht="15.75" customHeight="1">
      <c r="G211" s="68"/>
      <c r="H211" s="68"/>
    </row>
    <row r="212" ht="15.75" customHeight="1">
      <c r="G212" s="68"/>
      <c r="H212" s="68"/>
    </row>
    <row r="213" ht="15.75" customHeight="1">
      <c r="G213" s="68"/>
      <c r="H213" s="68"/>
    </row>
    <row r="214" ht="15.75" customHeight="1">
      <c r="G214" s="68"/>
      <c r="H214" s="68"/>
    </row>
    <row r="215" ht="15.75" customHeight="1">
      <c r="G215" s="68"/>
      <c r="H215" s="68"/>
    </row>
    <row r="216" ht="15.75" customHeight="1">
      <c r="G216" s="68"/>
      <c r="H216" s="68"/>
    </row>
    <row r="217" ht="15.75" customHeight="1">
      <c r="G217" s="68"/>
      <c r="H217" s="68"/>
    </row>
    <row r="218" ht="15.75" customHeight="1">
      <c r="G218" s="68"/>
      <c r="H218" s="68"/>
    </row>
    <row r="219" ht="15.75" customHeight="1">
      <c r="G219" s="68"/>
      <c r="H219" s="68"/>
    </row>
    <row r="220" ht="15.75" customHeight="1">
      <c r="G220" s="68"/>
      <c r="H220" s="68"/>
    </row>
    <row r="221" ht="15.75" customHeight="1">
      <c r="G221" s="68"/>
      <c r="H221" s="68"/>
    </row>
    <row r="222" ht="15.75" customHeight="1">
      <c r="G222" s="68"/>
      <c r="H222" s="68"/>
    </row>
    <row r="223" ht="15.75" customHeight="1">
      <c r="G223" s="68"/>
      <c r="H223" s="68"/>
    </row>
    <row r="224" ht="15.75" customHeight="1">
      <c r="G224" s="68"/>
      <c r="H224" s="68"/>
    </row>
    <row r="225" ht="15.75" customHeight="1">
      <c r="G225" s="68"/>
      <c r="H225" s="68"/>
    </row>
    <row r="226" ht="15.75" customHeight="1">
      <c r="G226" s="68"/>
      <c r="H226" s="68"/>
    </row>
    <row r="227" ht="15.75" customHeight="1">
      <c r="G227" s="68"/>
      <c r="H227" s="68"/>
    </row>
    <row r="228" ht="15.75" customHeight="1">
      <c r="G228" s="68"/>
      <c r="H228" s="68"/>
    </row>
    <row r="229" ht="15.75" customHeight="1">
      <c r="G229" s="68"/>
      <c r="H229" s="68"/>
    </row>
    <row r="230" ht="15.75" customHeight="1">
      <c r="G230" s="68"/>
      <c r="H230" s="68"/>
    </row>
    <row r="231" ht="15.75" customHeight="1">
      <c r="G231" s="68"/>
      <c r="H231" s="68"/>
    </row>
    <row r="232" ht="15.75" customHeight="1">
      <c r="G232" s="68"/>
      <c r="H232" s="68"/>
    </row>
    <row r="233" ht="15.75" customHeight="1">
      <c r="G233" s="68"/>
      <c r="H233" s="68"/>
    </row>
    <row r="234" ht="15.75" customHeight="1">
      <c r="G234" s="68"/>
      <c r="H234" s="68"/>
    </row>
    <row r="235" ht="15.75" customHeight="1">
      <c r="G235" s="68"/>
      <c r="H235" s="68"/>
    </row>
    <row r="236" ht="15.75" customHeight="1">
      <c r="G236" s="68"/>
      <c r="H236" s="68"/>
    </row>
    <row r="237" ht="15.75" customHeight="1">
      <c r="G237" s="68"/>
      <c r="H237" s="68"/>
    </row>
    <row r="238" ht="15.75" customHeight="1">
      <c r="G238" s="68"/>
      <c r="H238" s="68"/>
    </row>
    <row r="239" ht="15.75" customHeight="1">
      <c r="G239" s="68"/>
      <c r="H239" s="68"/>
    </row>
    <row r="240" ht="15.75" customHeight="1">
      <c r="G240" s="68"/>
      <c r="H240" s="68"/>
    </row>
    <row r="241" ht="15.75" customHeight="1">
      <c r="G241" s="68"/>
      <c r="H241" s="68"/>
    </row>
    <row r="242" ht="15.75" customHeight="1">
      <c r="G242" s="68"/>
      <c r="H242" s="68"/>
    </row>
    <row r="243" ht="15.75" customHeight="1">
      <c r="G243" s="68"/>
      <c r="H243" s="68"/>
    </row>
    <row r="244" ht="15.75" customHeight="1">
      <c r="G244" s="68"/>
      <c r="H244" s="68"/>
    </row>
    <row r="245" ht="15.75" customHeight="1">
      <c r="G245" s="68"/>
      <c r="H245" s="68"/>
    </row>
    <row r="246" ht="15.75" customHeight="1">
      <c r="G246" s="68"/>
      <c r="H246" s="68"/>
    </row>
    <row r="247" ht="15.75" customHeight="1">
      <c r="G247" s="68"/>
      <c r="H247" s="68"/>
    </row>
    <row r="248" ht="15.75" customHeight="1">
      <c r="G248" s="68"/>
      <c r="H248" s="68"/>
    </row>
    <row r="249" ht="15.75" customHeight="1">
      <c r="G249" s="68"/>
      <c r="H249" s="68"/>
    </row>
    <row r="250" ht="15.75" customHeight="1">
      <c r="G250" s="68"/>
      <c r="H250" s="68"/>
    </row>
    <row r="251" ht="15.75" customHeight="1">
      <c r="G251" s="68"/>
      <c r="H251" s="68"/>
    </row>
    <row r="252" ht="15.75" customHeight="1">
      <c r="G252" s="68"/>
      <c r="H252" s="68"/>
    </row>
    <row r="253" ht="15.75" customHeight="1">
      <c r="G253" s="68"/>
      <c r="H253" s="68"/>
    </row>
    <row r="254" ht="15.75" customHeight="1">
      <c r="G254" s="68"/>
      <c r="H254" s="68"/>
    </row>
    <row r="255" ht="15.75" customHeight="1">
      <c r="G255" s="68"/>
      <c r="H255" s="68"/>
    </row>
    <row r="256" ht="15.75" customHeight="1">
      <c r="G256" s="68"/>
      <c r="H256" s="68"/>
    </row>
    <row r="257" ht="15.75" customHeight="1">
      <c r="G257" s="68"/>
      <c r="H257" s="68"/>
    </row>
    <row r="258" ht="15.75" customHeight="1">
      <c r="G258" s="68"/>
      <c r="H258" s="68"/>
    </row>
    <row r="259" ht="15.75" customHeight="1">
      <c r="G259" s="68"/>
      <c r="H259" s="68"/>
    </row>
    <row r="260" ht="15.75" customHeight="1">
      <c r="G260" s="68"/>
      <c r="H260" s="68"/>
    </row>
    <row r="261" ht="15.75" customHeight="1">
      <c r="G261" s="68"/>
      <c r="H261" s="68"/>
    </row>
    <row r="262" ht="15.75" customHeight="1">
      <c r="G262" s="68"/>
      <c r="H262" s="68"/>
    </row>
    <row r="263" ht="15.75" customHeight="1">
      <c r="G263" s="68"/>
      <c r="H263" s="68"/>
    </row>
    <row r="264" ht="15.75" customHeight="1">
      <c r="G264" s="68"/>
      <c r="H264" s="68"/>
    </row>
    <row r="265" ht="15.75" customHeight="1">
      <c r="G265" s="68"/>
      <c r="H265" s="68"/>
    </row>
    <row r="266" ht="15.75" customHeight="1">
      <c r="G266" s="68"/>
      <c r="H266" s="68"/>
    </row>
    <row r="267" ht="15.75" customHeight="1">
      <c r="G267" s="68"/>
      <c r="H267" s="68"/>
    </row>
    <row r="268" ht="15.75" customHeight="1">
      <c r="G268" s="68"/>
      <c r="H268" s="68"/>
    </row>
    <row r="269" ht="15.75" customHeight="1">
      <c r="G269" s="68"/>
      <c r="H269" s="68"/>
    </row>
    <row r="270" ht="15.75" customHeight="1">
      <c r="G270" s="68"/>
      <c r="H270" s="68"/>
    </row>
    <row r="271" ht="15.75" customHeight="1">
      <c r="G271" s="68"/>
      <c r="H271" s="68"/>
    </row>
    <row r="272" ht="15.75" customHeight="1">
      <c r="G272" s="68"/>
      <c r="H272" s="68"/>
    </row>
    <row r="273" ht="15.75" customHeight="1">
      <c r="G273" s="68"/>
      <c r="H273" s="68"/>
    </row>
    <row r="274" ht="15.75" customHeight="1">
      <c r="G274" s="68"/>
      <c r="H274" s="68"/>
    </row>
    <row r="275" ht="15.75" customHeight="1">
      <c r="G275" s="68"/>
      <c r="H275" s="68"/>
    </row>
    <row r="276" ht="15.75" customHeight="1">
      <c r="G276" s="68"/>
      <c r="H276" s="68"/>
    </row>
    <row r="277" ht="15.75" customHeight="1">
      <c r="G277" s="68"/>
      <c r="H277" s="68"/>
    </row>
    <row r="278" ht="15.75" customHeight="1">
      <c r="G278" s="68"/>
      <c r="H278" s="68"/>
    </row>
    <row r="279" ht="15.75" customHeight="1">
      <c r="G279" s="68"/>
      <c r="H279" s="68"/>
    </row>
    <row r="280" ht="15.75" customHeight="1">
      <c r="G280" s="68"/>
      <c r="H280" s="68"/>
    </row>
    <row r="281" ht="15.75" customHeight="1">
      <c r="G281" s="68"/>
      <c r="H281" s="68"/>
    </row>
    <row r="282" ht="15.75" customHeight="1">
      <c r="G282" s="68"/>
      <c r="H282" s="68"/>
    </row>
    <row r="283" ht="15.75" customHeight="1">
      <c r="G283" s="68"/>
      <c r="H283" s="68"/>
    </row>
    <row r="284" ht="15.75" customHeight="1">
      <c r="G284" s="68"/>
      <c r="H284" s="68"/>
    </row>
    <row r="285" ht="15.75" customHeight="1">
      <c r="G285" s="68"/>
      <c r="H285" s="68"/>
    </row>
    <row r="286" ht="15.75" customHeight="1">
      <c r="G286" s="68"/>
      <c r="H286" s="68"/>
    </row>
    <row r="287" ht="15.75" customHeight="1">
      <c r="G287" s="68"/>
      <c r="H287" s="68"/>
    </row>
    <row r="288" ht="15.75" customHeight="1">
      <c r="G288" s="68"/>
      <c r="H288" s="68"/>
    </row>
    <row r="289" ht="15.75" customHeight="1">
      <c r="G289" s="68"/>
      <c r="H289" s="68"/>
    </row>
    <row r="290" ht="15.75" customHeight="1">
      <c r="G290" s="68"/>
      <c r="H290" s="68"/>
    </row>
    <row r="291" ht="15.75" customHeight="1">
      <c r="G291" s="68"/>
      <c r="H291" s="68"/>
    </row>
    <row r="292" ht="15.75" customHeight="1">
      <c r="G292" s="68"/>
      <c r="H292" s="68"/>
    </row>
    <row r="293" ht="15.75" customHeight="1">
      <c r="G293" s="68"/>
      <c r="H293" s="68"/>
    </row>
    <row r="294" ht="15.75" customHeight="1">
      <c r="G294" s="68"/>
      <c r="H294" s="68"/>
    </row>
    <row r="295" ht="15.75" customHeight="1">
      <c r="G295" s="68"/>
      <c r="H295" s="68"/>
    </row>
    <row r="296" ht="15.75" customHeight="1">
      <c r="G296" s="68"/>
      <c r="H296" s="68"/>
    </row>
    <row r="297" ht="15.75" customHeight="1">
      <c r="G297" s="68"/>
      <c r="H297" s="68"/>
    </row>
    <row r="298" ht="15.75" customHeight="1">
      <c r="G298" s="68"/>
      <c r="H298" s="68"/>
    </row>
    <row r="299" ht="15.75" customHeight="1">
      <c r="G299" s="68"/>
      <c r="H299" s="68"/>
    </row>
    <row r="300" ht="15.75" customHeight="1">
      <c r="G300" s="68"/>
      <c r="H300" s="68"/>
    </row>
    <row r="301" ht="15.75" customHeight="1">
      <c r="G301" s="68"/>
      <c r="H301" s="68"/>
    </row>
    <row r="302" ht="15.75" customHeight="1">
      <c r="G302" s="68"/>
      <c r="H302" s="68"/>
    </row>
    <row r="303" ht="15.75" customHeight="1">
      <c r="G303" s="68"/>
      <c r="H303" s="68"/>
    </row>
    <row r="304" ht="15.75" customHeight="1">
      <c r="G304" s="68"/>
      <c r="H304" s="68"/>
    </row>
    <row r="305" ht="15.75" customHeight="1">
      <c r="G305" s="68"/>
      <c r="H305" s="68"/>
    </row>
    <row r="306" ht="15.75" customHeight="1">
      <c r="G306" s="68"/>
      <c r="H306" s="68"/>
    </row>
    <row r="307" ht="15.75" customHeight="1">
      <c r="G307" s="68"/>
      <c r="H307" s="68"/>
    </row>
    <row r="308" ht="15.75" customHeight="1">
      <c r="G308" s="68"/>
      <c r="H308" s="68"/>
    </row>
    <row r="309" ht="15.75" customHeight="1">
      <c r="G309" s="68"/>
      <c r="H309" s="68"/>
    </row>
    <row r="310" ht="15.75" customHeight="1">
      <c r="G310" s="68"/>
      <c r="H310" s="68"/>
    </row>
    <row r="311" ht="15.75" customHeight="1">
      <c r="G311" s="68"/>
      <c r="H311" s="68"/>
    </row>
    <row r="312" ht="15.75" customHeight="1">
      <c r="G312" s="68"/>
      <c r="H312" s="68"/>
    </row>
    <row r="313" ht="15.75" customHeight="1">
      <c r="G313" s="68"/>
      <c r="H313" s="68"/>
    </row>
    <row r="314" ht="15.75" customHeight="1">
      <c r="G314" s="68"/>
      <c r="H314" s="68"/>
    </row>
    <row r="315" ht="15.75" customHeight="1">
      <c r="G315" s="68"/>
      <c r="H315" s="68"/>
    </row>
    <row r="316" ht="15.75" customHeight="1">
      <c r="G316" s="68"/>
      <c r="H316" s="68"/>
    </row>
    <row r="317" ht="15.75" customHeight="1">
      <c r="G317" s="68"/>
      <c r="H317" s="68"/>
    </row>
    <row r="318" ht="15.75" customHeight="1">
      <c r="G318" s="68"/>
      <c r="H318" s="68"/>
    </row>
    <row r="319" ht="15.75" customHeight="1">
      <c r="G319" s="68"/>
      <c r="H319" s="68"/>
    </row>
    <row r="320" ht="15.75" customHeight="1">
      <c r="G320" s="68"/>
      <c r="H320" s="68"/>
    </row>
    <row r="321" ht="15.75" customHeight="1">
      <c r="G321" s="68"/>
      <c r="H321" s="68"/>
    </row>
    <row r="322" ht="15.75" customHeight="1">
      <c r="G322" s="68"/>
      <c r="H322" s="68"/>
    </row>
    <row r="323" ht="15.75" customHeight="1">
      <c r="G323" s="68"/>
      <c r="H323" s="68"/>
    </row>
    <row r="324" ht="15.75" customHeight="1">
      <c r="G324" s="68"/>
      <c r="H324" s="68"/>
    </row>
    <row r="325" ht="15.75" customHeight="1">
      <c r="G325" s="68"/>
      <c r="H325" s="68"/>
    </row>
    <row r="326" ht="15.75" customHeight="1">
      <c r="G326" s="68"/>
      <c r="H326" s="68"/>
    </row>
    <row r="327" ht="15.75" customHeight="1">
      <c r="G327" s="68"/>
      <c r="H327" s="68"/>
    </row>
    <row r="328" ht="15.75" customHeight="1">
      <c r="G328" s="68"/>
      <c r="H328" s="68"/>
    </row>
    <row r="329" ht="15.75" customHeight="1">
      <c r="G329" s="68"/>
      <c r="H329" s="68"/>
    </row>
    <row r="330" ht="15.75" customHeight="1">
      <c r="G330" s="68"/>
      <c r="H330" s="68"/>
    </row>
    <row r="331" ht="15.75" customHeight="1">
      <c r="G331" s="68"/>
      <c r="H331" s="68"/>
    </row>
    <row r="332" ht="15.75" customHeight="1">
      <c r="G332" s="68"/>
      <c r="H332" s="68"/>
    </row>
    <row r="333" ht="15.75" customHeight="1">
      <c r="G333" s="68"/>
      <c r="H333" s="68"/>
    </row>
    <row r="334" ht="15.75" customHeight="1">
      <c r="G334" s="68"/>
      <c r="H334" s="68"/>
    </row>
    <row r="335" ht="15.75" customHeight="1">
      <c r="G335" s="68"/>
      <c r="H335" s="68"/>
    </row>
    <row r="336" ht="15.75" customHeight="1">
      <c r="G336" s="68"/>
      <c r="H336" s="68"/>
    </row>
    <row r="337" ht="15.75" customHeight="1">
      <c r="G337" s="68"/>
      <c r="H337" s="68"/>
    </row>
    <row r="338" ht="15.75" customHeight="1">
      <c r="G338" s="68"/>
      <c r="H338" s="68"/>
    </row>
    <row r="339" ht="15.75" customHeight="1">
      <c r="G339" s="68"/>
      <c r="H339" s="68"/>
    </row>
    <row r="340" ht="15.75" customHeight="1">
      <c r="G340" s="68"/>
      <c r="H340" s="68"/>
    </row>
    <row r="341" ht="15.75" customHeight="1">
      <c r="G341" s="68"/>
      <c r="H341" s="68"/>
    </row>
    <row r="342" ht="15.75" customHeight="1">
      <c r="G342" s="68"/>
      <c r="H342" s="68"/>
    </row>
    <row r="343" ht="15.75" customHeight="1">
      <c r="G343" s="68"/>
      <c r="H343" s="68"/>
    </row>
    <row r="344" ht="15.75" customHeight="1">
      <c r="G344" s="68"/>
      <c r="H344" s="68"/>
    </row>
    <row r="345" ht="15.75" customHeight="1">
      <c r="G345" s="68"/>
      <c r="H345" s="68"/>
    </row>
    <row r="346" ht="15.75" customHeight="1">
      <c r="G346" s="68"/>
      <c r="H346" s="68"/>
    </row>
    <row r="347" ht="15.75" customHeight="1">
      <c r="G347" s="68"/>
      <c r="H347" s="68"/>
    </row>
    <row r="348" ht="15.75" customHeight="1">
      <c r="G348" s="68"/>
      <c r="H348" s="68"/>
    </row>
    <row r="349" ht="15.75" customHeight="1">
      <c r="G349" s="68"/>
      <c r="H349" s="68"/>
    </row>
    <row r="350" ht="15.75" customHeight="1">
      <c r="G350" s="68"/>
      <c r="H350" s="68"/>
    </row>
    <row r="351" ht="15.75" customHeight="1">
      <c r="G351" s="68"/>
      <c r="H351" s="68"/>
    </row>
    <row r="352" ht="15.75" customHeight="1">
      <c r="G352" s="68"/>
      <c r="H352" s="68"/>
    </row>
    <row r="353" ht="15.75" customHeight="1">
      <c r="G353" s="68"/>
      <c r="H353" s="68"/>
    </row>
    <row r="354" ht="15.75" customHeight="1">
      <c r="G354" s="68"/>
      <c r="H354" s="68"/>
    </row>
    <row r="355" ht="15.75" customHeight="1">
      <c r="G355" s="68"/>
      <c r="H355" s="68"/>
    </row>
    <row r="356" ht="15.75" customHeight="1">
      <c r="G356" s="68"/>
      <c r="H356" s="68"/>
    </row>
    <row r="357" ht="15.75" customHeight="1">
      <c r="G357" s="68"/>
      <c r="H357" s="68"/>
    </row>
    <row r="358" ht="15.75" customHeight="1">
      <c r="G358" s="68"/>
      <c r="H358" s="68"/>
    </row>
    <row r="359" ht="15.75" customHeight="1">
      <c r="G359" s="68"/>
      <c r="H359" s="68"/>
    </row>
    <row r="360" ht="15.75" customHeight="1">
      <c r="G360" s="68"/>
      <c r="H360" s="68"/>
    </row>
    <row r="361" ht="15.75" customHeight="1">
      <c r="G361" s="68"/>
      <c r="H361" s="68"/>
    </row>
    <row r="362" ht="15.75" customHeight="1">
      <c r="G362" s="68"/>
      <c r="H362" s="68"/>
    </row>
    <row r="363" ht="15.75" customHeight="1">
      <c r="G363" s="68"/>
      <c r="H363" s="68"/>
    </row>
    <row r="364" ht="15.75" customHeight="1">
      <c r="G364" s="68"/>
      <c r="H364" s="68"/>
    </row>
    <row r="365" ht="15.75" customHeight="1">
      <c r="G365" s="68"/>
      <c r="H365" s="68"/>
    </row>
    <row r="366" ht="15.75" customHeight="1">
      <c r="G366" s="68"/>
      <c r="H366" s="68"/>
    </row>
    <row r="367" ht="15.75" customHeight="1">
      <c r="G367" s="68"/>
      <c r="H367" s="68"/>
    </row>
    <row r="368" ht="15.75" customHeight="1">
      <c r="G368" s="68"/>
      <c r="H368" s="68"/>
    </row>
    <row r="369" ht="15.75" customHeight="1">
      <c r="G369" s="68"/>
      <c r="H369" s="68"/>
    </row>
    <row r="370" ht="15.75" customHeight="1">
      <c r="G370" s="68"/>
      <c r="H370" s="68"/>
    </row>
    <row r="371" ht="15.75" customHeight="1">
      <c r="G371" s="68"/>
      <c r="H371" s="68"/>
    </row>
    <row r="372" ht="15.75" customHeight="1">
      <c r="G372" s="68"/>
      <c r="H372" s="68"/>
    </row>
    <row r="373" ht="15.75" customHeight="1">
      <c r="G373" s="68"/>
      <c r="H373" s="68"/>
    </row>
    <row r="374" ht="15.75" customHeight="1">
      <c r="G374" s="68"/>
      <c r="H374" s="68"/>
    </row>
    <row r="375" ht="15.75" customHeight="1">
      <c r="G375" s="68"/>
      <c r="H375" s="68"/>
    </row>
    <row r="376" ht="15.75" customHeight="1">
      <c r="G376" s="68"/>
      <c r="H376" s="68"/>
    </row>
    <row r="377" ht="15.75" customHeight="1">
      <c r="G377" s="68"/>
      <c r="H377" s="68"/>
    </row>
    <row r="378" ht="15.75" customHeight="1">
      <c r="G378" s="68"/>
      <c r="H378" s="68"/>
    </row>
    <row r="379" ht="15.75" customHeight="1">
      <c r="G379" s="68"/>
      <c r="H379" s="68"/>
    </row>
    <row r="380" ht="15.75" customHeight="1">
      <c r="G380" s="68"/>
      <c r="H380" s="68"/>
    </row>
    <row r="381" ht="15.75" customHeight="1">
      <c r="G381" s="68"/>
      <c r="H381" s="68"/>
    </row>
    <row r="382" ht="15.75" customHeight="1">
      <c r="G382" s="68"/>
      <c r="H382" s="68"/>
    </row>
    <row r="383" ht="15.75" customHeight="1">
      <c r="G383" s="68"/>
      <c r="H383" s="68"/>
    </row>
    <row r="384" ht="15.75" customHeight="1">
      <c r="G384" s="68"/>
      <c r="H384" s="68"/>
    </row>
    <row r="385" ht="15.75" customHeight="1">
      <c r="G385" s="68"/>
      <c r="H385" s="68"/>
    </row>
    <row r="386" ht="15.75" customHeight="1">
      <c r="G386" s="68"/>
      <c r="H386" s="68"/>
    </row>
    <row r="387" ht="15.75" customHeight="1">
      <c r="G387" s="68"/>
      <c r="H387" s="68"/>
    </row>
    <row r="388" ht="15.75" customHeight="1">
      <c r="G388" s="68"/>
      <c r="H388" s="68"/>
    </row>
    <row r="389" ht="15.75" customHeight="1">
      <c r="G389" s="68"/>
      <c r="H389" s="68"/>
    </row>
    <row r="390" ht="15.75" customHeight="1">
      <c r="G390" s="68"/>
      <c r="H390" s="68"/>
    </row>
    <row r="391" ht="15.75" customHeight="1">
      <c r="G391" s="68"/>
      <c r="H391" s="68"/>
    </row>
    <row r="392" ht="15.75" customHeight="1">
      <c r="G392" s="68"/>
      <c r="H392" s="68"/>
    </row>
    <row r="393" ht="15.75" customHeight="1">
      <c r="G393" s="68"/>
      <c r="H393" s="68"/>
    </row>
    <row r="394" ht="15.75" customHeight="1">
      <c r="G394" s="68"/>
      <c r="H394" s="68"/>
    </row>
    <row r="395" ht="15.75" customHeight="1">
      <c r="G395" s="68"/>
      <c r="H395" s="68"/>
    </row>
    <row r="396" ht="15.75" customHeight="1">
      <c r="G396" s="68"/>
      <c r="H396" s="68"/>
    </row>
    <row r="397" ht="15.75" customHeight="1">
      <c r="G397" s="68"/>
      <c r="H397" s="68"/>
    </row>
    <row r="398" ht="15.75" customHeight="1">
      <c r="G398" s="68"/>
      <c r="H398" s="68"/>
    </row>
    <row r="399" ht="15.75" customHeight="1">
      <c r="G399" s="68"/>
      <c r="H399" s="68"/>
    </row>
    <row r="400" ht="15.75" customHeight="1">
      <c r="G400" s="68"/>
      <c r="H400" s="68"/>
    </row>
    <row r="401" ht="15.75" customHeight="1">
      <c r="G401" s="68"/>
      <c r="H401" s="68"/>
    </row>
    <row r="402" ht="15.75" customHeight="1">
      <c r="G402" s="68"/>
      <c r="H402" s="68"/>
    </row>
    <row r="403" ht="15.75" customHeight="1">
      <c r="G403" s="68"/>
      <c r="H403" s="68"/>
    </row>
    <row r="404" ht="15.75" customHeight="1">
      <c r="G404" s="68"/>
      <c r="H404" s="68"/>
    </row>
    <row r="405" ht="15.75" customHeight="1">
      <c r="G405" s="68"/>
      <c r="H405" s="68"/>
    </row>
    <row r="406" ht="15.75" customHeight="1">
      <c r="G406" s="68"/>
      <c r="H406" s="68"/>
    </row>
    <row r="407" ht="15.75" customHeight="1">
      <c r="G407" s="68"/>
      <c r="H407" s="68"/>
    </row>
    <row r="408" ht="15.75" customHeight="1">
      <c r="G408" s="68"/>
      <c r="H408" s="68"/>
    </row>
    <row r="409" ht="15.75" customHeight="1">
      <c r="G409" s="68"/>
      <c r="H409" s="68"/>
    </row>
    <row r="410" ht="15.75" customHeight="1">
      <c r="G410" s="68"/>
      <c r="H410" s="68"/>
    </row>
    <row r="411" ht="15.75" customHeight="1">
      <c r="G411" s="68"/>
      <c r="H411" s="68"/>
    </row>
    <row r="412" ht="15.75" customHeight="1">
      <c r="G412" s="68"/>
      <c r="H412" s="68"/>
    </row>
    <row r="413" ht="15.75" customHeight="1">
      <c r="G413" s="68"/>
      <c r="H413" s="68"/>
    </row>
    <row r="414" ht="15.75" customHeight="1">
      <c r="G414" s="68"/>
      <c r="H414" s="68"/>
    </row>
    <row r="415" ht="15.75" customHeight="1">
      <c r="G415" s="68"/>
      <c r="H415" s="68"/>
    </row>
    <row r="416" ht="15.75" customHeight="1">
      <c r="G416" s="68"/>
      <c r="H416" s="68"/>
    </row>
    <row r="417" ht="15.75" customHeight="1">
      <c r="G417" s="68"/>
      <c r="H417" s="68"/>
    </row>
    <row r="418" ht="15.75" customHeight="1">
      <c r="G418" s="68"/>
      <c r="H418" s="68"/>
    </row>
    <row r="419" ht="15.75" customHeight="1">
      <c r="G419" s="68"/>
      <c r="H419" s="68"/>
    </row>
    <row r="420" ht="15.75" customHeight="1">
      <c r="G420" s="68"/>
      <c r="H420" s="68"/>
    </row>
    <row r="421" ht="15.75" customHeight="1">
      <c r="G421" s="68"/>
      <c r="H421" s="68"/>
    </row>
    <row r="422" ht="15.75" customHeight="1">
      <c r="G422" s="68"/>
      <c r="H422" s="68"/>
    </row>
    <row r="423" ht="15.75" customHeight="1">
      <c r="G423" s="68"/>
      <c r="H423" s="68"/>
    </row>
    <row r="424" ht="15.75" customHeight="1">
      <c r="G424" s="68"/>
      <c r="H424" s="68"/>
    </row>
    <row r="425" ht="15.75" customHeight="1">
      <c r="G425" s="68"/>
      <c r="H425" s="68"/>
    </row>
    <row r="426" ht="15.75" customHeight="1">
      <c r="G426" s="68"/>
      <c r="H426" s="68"/>
    </row>
    <row r="427" ht="15.75" customHeight="1">
      <c r="G427" s="68"/>
      <c r="H427" s="68"/>
    </row>
    <row r="428" ht="15.75" customHeight="1">
      <c r="G428" s="68"/>
      <c r="H428" s="68"/>
    </row>
    <row r="429" ht="15.75" customHeight="1">
      <c r="G429" s="68"/>
      <c r="H429" s="68"/>
    </row>
    <row r="430" ht="15.75" customHeight="1">
      <c r="G430" s="68"/>
      <c r="H430" s="68"/>
    </row>
    <row r="431" ht="15.75" customHeight="1">
      <c r="G431" s="68"/>
      <c r="H431" s="68"/>
    </row>
    <row r="432" ht="15.75" customHeight="1">
      <c r="G432" s="68"/>
      <c r="H432" s="68"/>
    </row>
    <row r="433" ht="15.75" customHeight="1">
      <c r="G433" s="68"/>
      <c r="H433" s="68"/>
    </row>
    <row r="434" ht="15.75" customHeight="1">
      <c r="G434" s="68"/>
      <c r="H434" s="68"/>
    </row>
    <row r="435" ht="15.75" customHeight="1">
      <c r="G435" s="68"/>
      <c r="H435" s="68"/>
    </row>
    <row r="436" ht="15.75" customHeight="1">
      <c r="G436" s="68"/>
      <c r="H436" s="68"/>
    </row>
    <row r="437" ht="15.75" customHeight="1">
      <c r="G437" s="68"/>
      <c r="H437" s="68"/>
    </row>
    <row r="438" ht="15.75" customHeight="1">
      <c r="G438" s="68"/>
      <c r="H438" s="68"/>
    </row>
    <row r="439" ht="15.75" customHeight="1">
      <c r="G439" s="68"/>
      <c r="H439" s="68"/>
    </row>
    <row r="440" ht="15.75" customHeight="1">
      <c r="G440" s="68"/>
      <c r="H440" s="68"/>
    </row>
    <row r="441" ht="15.75" customHeight="1">
      <c r="G441" s="68"/>
      <c r="H441" s="68"/>
    </row>
    <row r="442" ht="15.75" customHeight="1">
      <c r="G442" s="68"/>
      <c r="H442" s="68"/>
    </row>
    <row r="443" ht="15.75" customHeight="1">
      <c r="G443" s="68"/>
      <c r="H443" s="68"/>
    </row>
    <row r="444" ht="15.75" customHeight="1">
      <c r="G444" s="68"/>
      <c r="H444" s="68"/>
    </row>
    <row r="445" ht="15.75" customHeight="1">
      <c r="G445" s="68"/>
      <c r="H445" s="68"/>
    </row>
    <row r="446" ht="15.75" customHeight="1">
      <c r="G446" s="68"/>
      <c r="H446" s="68"/>
    </row>
    <row r="447" ht="15.75" customHeight="1">
      <c r="G447" s="68"/>
      <c r="H447" s="68"/>
    </row>
    <row r="448" ht="15.75" customHeight="1">
      <c r="G448" s="68"/>
      <c r="H448" s="68"/>
    </row>
    <row r="449" ht="15.75" customHeight="1">
      <c r="G449" s="68"/>
      <c r="H449" s="68"/>
    </row>
    <row r="450" ht="15.75" customHeight="1">
      <c r="G450" s="68"/>
      <c r="H450" s="68"/>
    </row>
    <row r="451" ht="15.75" customHeight="1">
      <c r="G451" s="68"/>
      <c r="H451" s="68"/>
    </row>
    <row r="452" ht="15.75" customHeight="1">
      <c r="G452" s="68"/>
      <c r="H452" s="68"/>
    </row>
    <row r="453" ht="15.75" customHeight="1">
      <c r="G453" s="68"/>
      <c r="H453" s="68"/>
    </row>
    <row r="454" ht="15.75" customHeight="1">
      <c r="G454" s="68"/>
      <c r="H454" s="68"/>
    </row>
    <row r="455" ht="15.75" customHeight="1">
      <c r="G455" s="68"/>
      <c r="H455" s="68"/>
    </row>
    <row r="456" ht="15.75" customHeight="1">
      <c r="G456" s="68"/>
      <c r="H456" s="68"/>
    </row>
    <row r="457" ht="15.75" customHeight="1">
      <c r="G457" s="68"/>
      <c r="H457" s="68"/>
    </row>
    <row r="458" ht="15.75" customHeight="1">
      <c r="G458" s="68"/>
      <c r="H458" s="68"/>
    </row>
    <row r="459" ht="15.75" customHeight="1">
      <c r="G459" s="68"/>
      <c r="H459" s="68"/>
    </row>
    <row r="460" ht="15.75" customHeight="1">
      <c r="G460" s="68"/>
      <c r="H460" s="68"/>
    </row>
    <row r="461" ht="15.75" customHeight="1">
      <c r="G461" s="68"/>
      <c r="H461" s="68"/>
    </row>
    <row r="462" ht="15.75" customHeight="1">
      <c r="G462" s="68"/>
      <c r="H462" s="68"/>
    </row>
    <row r="463" ht="15.75" customHeight="1">
      <c r="G463" s="68"/>
      <c r="H463" s="68"/>
    </row>
    <row r="464" ht="15.75" customHeight="1">
      <c r="G464" s="68"/>
      <c r="H464" s="68"/>
    </row>
    <row r="465" ht="15.75" customHeight="1">
      <c r="G465" s="68"/>
      <c r="H465" s="68"/>
    </row>
    <row r="466" ht="15.75" customHeight="1">
      <c r="G466" s="68"/>
      <c r="H466" s="68"/>
    </row>
    <row r="467" ht="15.75" customHeight="1">
      <c r="G467" s="68"/>
      <c r="H467" s="68"/>
    </row>
    <row r="468" ht="15.75" customHeight="1">
      <c r="G468" s="68"/>
      <c r="H468" s="68"/>
    </row>
    <row r="469" ht="15.75" customHeight="1">
      <c r="G469" s="68"/>
      <c r="H469" s="68"/>
    </row>
    <row r="470" ht="15.75" customHeight="1">
      <c r="G470" s="68"/>
      <c r="H470" s="68"/>
    </row>
    <row r="471" ht="15.75" customHeight="1">
      <c r="G471" s="68"/>
      <c r="H471" s="68"/>
    </row>
    <row r="472" ht="15.75" customHeight="1">
      <c r="G472" s="68"/>
      <c r="H472" s="68"/>
    </row>
    <row r="473" ht="15.75" customHeight="1">
      <c r="G473" s="68"/>
      <c r="H473" s="68"/>
    </row>
    <row r="474" ht="15.75" customHeight="1">
      <c r="G474" s="68"/>
      <c r="H474" s="68"/>
    </row>
    <row r="475" ht="15.75" customHeight="1">
      <c r="G475" s="68"/>
      <c r="H475" s="68"/>
    </row>
    <row r="476" ht="15.75" customHeight="1">
      <c r="G476" s="68"/>
      <c r="H476" s="68"/>
    </row>
    <row r="477" ht="15.75" customHeight="1">
      <c r="G477" s="68"/>
      <c r="H477" s="68"/>
    </row>
    <row r="478" ht="15.75" customHeight="1">
      <c r="G478" s="68"/>
      <c r="H478" s="68"/>
    </row>
    <row r="479" ht="15.75" customHeight="1">
      <c r="G479" s="68"/>
      <c r="H479" s="68"/>
    </row>
    <row r="480" ht="15.75" customHeight="1">
      <c r="G480" s="68"/>
      <c r="H480" s="68"/>
    </row>
    <row r="481" ht="15.75" customHeight="1">
      <c r="G481" s="68"/>
      <c r="H481" s="68"/>
    </row>
    <row r="482" ht="15.75" customHeight="1">
      <c r="G482" s="68"/>
      <c r="H482" s="68"/>
    </row>
    <row r="483" ht="15.75" customHeight="1">
      <c r="G483" s="68"/>
      <c r="H483" s="68"/>
    </row>
    <row r="484" ht="15.75" customHeight="1">
      <c r="G484" s="68"/>
      <c r="H484" s="68"/>
    </row>
    <row r="485" ht="15.75" customHeight="1">
      <c r="G485" s="68"/>
      <c r="H485" s="68"/>
    </row>
    <row r="486" ht="15.75" customHeight="1">
      <c r="G486" s="68"/>
      <c r="H486" s="68"/>
    </row>
    <row r="487" ht="15.75" customHeight="1">
      <c r="G487" s="68"/>
      <c r="H487" s="68"/>
    </row>
    <row r="488" ht="15.75" customHeight="1">
      <c r="G488" s="68"/>
      <c r="H488" s="68"/>
    </row>
    <row r="489" ht="15.75" customHeight="1">
      <c r="G489" s="68"/>
      <c r="H489" s="68"/>
    </row>
    <row r="490" ht="15.75" customHeight="1">
      <c r="G490" s="68"/>
      <c r="H490" s="68"/>
    </row>
    <row r="491" ht="15.75" customHeight="1">
      <c r="G491" s="68"/>
      <c r="H491" s="68"/>
    </row>
    <row r="492" ht="15.75" customHeight="1">
      <c r="G492" s="68"/>
      <c r="H492" s="68"/>
    </row>
    <row r="493" ht="15.75" customHeight="1">
      <c r="G493" s="68"/>
      <c r="H493" s="68"/>
    </row>
    <row r="494" ht="15.75" customHeight="1">
      <c r="G494" s="68"/>
      <c r="H494" s="68"/>
    </row>
    <row r="495" ht="15.75" customHeight="1">
      <c r="G495" s="68"/>
      <c r="H495" s="68"/>
    </row>
    <row r="496" ht="15.75" customHeight="1">
      <c r="G496" s="68"/>
      <c r="H496" s="68"/>
    </row>
    <row r="497" ht="15.75" customHeight="1">
      <c r="G497" s="68"/>
      <c r="H497" s="68"/>
    </row>
    <row r="498" ht="15.75" customHeight="1">
      <c r="G498" s="68"/>
      <c r="H498" s="68"/>
    </row>
    <row r="499" ht="15.75" customHeight="1">
      <c r="G499" s="68"/>
      <c r="H499" s="68"/>
    </row>
    <row r="500" ht="15.75" customHeight="1">
      <c r="G500" s="68"/>
      <c r="H500" s="68"/>
    </row>
    <row r="501" ht="15.75" customHeight="1">
      <c r="G501" s="68"/>
      <c r="H501" s="68"/>
    </row>
    <row r="502" ht="15.75" customHeight="1">
      <c r="G502" s="68"/>
      <c r="H502" s="68"/>
    </row>
    <row r="503" ht="15.75" customHeight="1">
      <c r="G503" s="68"/>
      <c r="H503" s="68"/>
    </row>
    <row r="504" ht="15.75" customHeight="1">
      <c r="G504" s="68"/>
      <c r="H504" s="68"/>
    </row>
    <row r="505" ht="15.75" customHeight="1">
      <c r="G505" s="68"/>
      <c r="H505" s="68"/>
    </row>
    <row r="506" ht="15.75" customHeight="1">
      <c r="G506" s="68"/>
      <c r="H506" s="68"/>
    </row>
    <row r="507" ht="15.75" customHeight="1">
      <c r="G507" s="68"/>
      <c r="H507" s="68"/>
    </row>
    <row r="508" ht="15.75" customHeight="1">
      <c r="G508" s="68"/>
      <c r="H508" s="68"/>
    </row>
    <row r="509" ht="15.75" customHeight="1">
      <c r="G509" s="68"/>
      <c r="H509" s="68"/>
    </row>
    <row r="510" ht="15.75" customHeight="1">
      <c r="G510" s="68"/>
      <c r="H510" s="68"/>
    </row>
    <row r="511" ht="15.75" customHeight="1">
      <c r="G511" s="68"/>
      <c r="H511" s="68"/>
    </row>
    <row r="512" ht="15.75" customHeight="1">
      <c r="G512" s="68"/>
      <c r="H512" s="68"/>
    </row>
    <row r="513" ht="15.75" customHeight="1">
      <c r="G513" s="68"/>
      <c r="H513" s="68"/>
    </row>
    <row r="514" ht="15.75" customHeight="1">
      <c r="G514" s="68"/>
      <c r="H514" s="68"/>
    </row>
    <row r="515" ht="15.75" customHeight="1">
      <c r="G515" s="68"/>
      <c r="H515" s="68"/>
    </row>
    <row r="516" ht="15.75" customHeight="1">
      <c r="G516" s="68"/>
      <c r="H516" s="68"/>
    </row>
    <row r="517" ht="15.75" customHeight="1">
      <c r="G517" s="68"/>
      <c r="H517" s="68"/>
    </row>
    <row r="518" ht="15.75" customHeight="1">
      <c r="G518" s="68"/>
      <c r="H518" s="68"/>
    </row>
    <row r="519" ht="15.75" customHeight="1">
      <c r="G519" s="68"/>
      <c r="H519" s="68"/>
    </row>
    <row r="520" ht="15.75" customHeight="1">
      <c r="G520" s="68"/>
      <c r="H520" s="68"/>
    </row>
    <row r="521" ht="15.75" customHeight="1">
      <c r="G521" s="68"/>
      <c r="H521" s="68"/>
    </row>
    <row r="522" ht="15.75" customHeight="1">
      <c r="G522" s="68"/>
      <c r="H522" s="68"/>
    </row>
    <row r="523" ht="15.75" customHeight="1">
      <c r="G523" s="68"/>
      <c r="H523" s="68"/>
    </row>
    <row r="524" ht="15.75" customHeight="1">
      <c r="G524" s="68"/>
      <c r="H524" s="68"/>
    </row>
    <row r="525" ht="15.75" customHeight="1">
      <c r="G525" s="68"/>
      <c r="H525" s="68"/>
    </row>
    <row r="526" ht="15.75" customHeight="1">
      <c r="G526" s="68"/>
      <c r="H526" s="68"/>
    </row>
    <row r="527" ht="15.75" customHeight="1">
      <c r="G527" s="68"/>
      <c r="H527" s="68"/>
    </row>
    <row r="528" ht="15.75" customHeight="1">
      <c r="G528" s="68"/>
      <c r="H528" s="68"/>
    </row>
    <row r="529" ht="15.75" customHeight="1">
      <c r="G529" s="68"/>
      <c r="H529" s="68"/>
    </row>
    <row r="530" ht="15.75" customHeight="1">
      <c r="G530" s="68"/>
      <c r="H530" s="68"/>
    </row>
    <row r="531" ht="15.75" customHeight="1">
      <c r="G531" s="68"/>
      <c r="H531" s="68"/>
    </row>
    <row r="532" ht="15.75" customHeight="1">
      <c r="G532" s="68"/>
      <c r="H532" s="68"/>
    </row>
    <row r="533" ht="15.75" customHeight="1">
      <c r="G533" s="68"/>
      <c r="H533" s="68"/>
    </row>
    <row r="534" ht="15.75" customHeight="1">
      <c r="G534" s="68"/>
      <c r="H534" s="68"/>
    </row>
    <row r="535" ht="15.75" customHeight="1">
      <c r="G535" s="68"/>
      <c r="H535" s="68"/>
    </row>
    <row r="536" ht="15.75" customHeight="1">
      <c r="G536" s="68"/>
      <c r="H536" s="68"/>
    </row>
    <row r="537" ht="15.75" customHeight="1">
      <c r="G537" s="68"/>
      <c r="H537" s="68"/>
    </row>
    <row r="538" ht="15.75" customHeight="1">
      <c r="G538" s="68"/>
      <c r="H538" s="68"/>
    </row>
    <row r="539" ht="15.75" customHeight="1">
      <c r="G539" s="68"/>
      <c r="H539" s="68"/>
    </row>
    <row r="540" ht="15.75" customHeight="1">
      <c r="G540" s="68"/>
      <c r="H540" s="68"/>
    </row>
    <row r="541" ht="15.75" customHeight="1">
      <c r="G541" s="68"/>
      <c r="H541" s="68"/>
    </row>
    <row r="542" ht="15.75" customHeight="1">
      <c r="G542" s="68"/>
      <c r="H542" s="68"/>
    </row>
    <row r="543" ht="15.75" customHeight="1">
      <c r="G543" s="68"/>
      <c r="H543" s="68"/>
    </row>
    <row r="544" ht="15.75" customHeight="1">
      <c r="G544" s="68"/>
      <c r="H544" s="68"/>
    </row>
    <row r="545" ht="15.75" customHeight="1">
      <c r="G545" s="68"/>
      <c r="H545" s="68"/>
    </row>
    <row r="546" ht="15.75" customHeight="1">
      <c r="G546" s="68"/>
      <c r="H546" s="68"/>
    </row>
    <row r="547" ht="15.75" customHeight="1">
      <c r="G547" s="68"/>
      <c r="H547" s="68"/>
    </row>
    <row r="548" ht="15.75" customHeight="1">
      <c r="G548" s="68"/>
      <c r="H548" s="68"/>
    </row>
    <row r="549" ht="15.75" customHeight="1">
      <c r="G549" s="68"/>
      <c r="H549" s="68"/>
    </row>
    <row r="550" ht="15.75" customHeight="1">
      <c r="G550" s="68"/>
      <c r="H550" s="68"/>
    </row>
    <row r="551" ht="15.75" customHeight="1">
      <c r="G551" s="68"/>
      <c r="H551" s="68"/>
    </row>
    <row r="552" ht="15.75" customHeight="1">
      <c r="G552" s="68"/>
      <c r="H552" s="68"/>
    </row>
    <row r="553" ht="15.75" customHeight="1">
      <c r="G553" s="68"/>
      <c r="H553" s="68"/>
    </row>
    <row r="554" ht="15.75" customHeight="1">
      <c r="G554" s="68"/>
      <c r="H554" s="68"/>
    </row>
    <row r="555" ht="15.75" customHeight="1">
      <c r="G555" s="68"/>
      <c r="H555" s="68"/>
    </row>
    <row r="556" ht="15.75" customHeight="1">
      <c r="G556" s="68"/>
      <c r="H556" s="68"/>
    </row>
    <row r="557" ht="15.75" customHeight="1">
      <c r="G557" s="68"/>
      <c r="H557" s="68"/>
    </row>
    <row r="558" ht="15.75" customHeight="1">
      <c r="G558" s="68"/>
      <c r="H558" s="68"/>
    </row>
    <row r="559" ht="15.75" customHeight="1">
      <c r="G559" s="68"/>
      <c r="H559" s="68"/>
    </row>
    <row r="560" ht="15.75" customHeight="1">
      <c r="G560" s="68"/>
      <c r="H560" s="68"/>
    </row>
    <row r="561" ht="15.75" customHeight="1">
      <c r="G561" s="68"/>
      <c r="H561" s="68"/>
    </row>
    <row r="562" ht="15.75" customHeight="1">
      <c r="G562" s="68"/>
      <c r="H562" s="68"/>
    </row>
    <row r="563" ht="15.75" customHeight="1">
      <c r="G563" s="68"/>
      <c r="H563" s="68"/>
    </row>
    <row r="564" ht="15.75" customHeight="1">
      <c r="G564" s="68"/>
      <c r="H564" s="68"/>
    </row>
    <row r="565" ht="15.75" customHeight="1">
      <c r="G565" s="68"/>
      <c r="H565" s="68"/>
    </row>
    <row r="566" ht="15.75" customHeight="1">
      <c r="G566" s="68"/>
      <c r="H566" s="68"/>
    </row>
    <row r="567" ht="15.75" customHeight="1">
      <c r="G567" s="68"/>
      <c r="H567" s="68"/>
    </row>
    <row r="568" ht="15.75" customHeight="1">
      <c r="G568" s="68"/>
      <c r="H568" s="68"/>
    </row>
    <row r="569" ht="15.75" customHeight="1">
      <c r="G569" s="68"/>
      <c r="H569" s="68"/>
    </row>
    <row r="570" ht="15.75" customHeight="1">
      <c r="G570" s="68"/>
      <c r="H570" s="68"/>
    </row>
    <row r="571" ht="15.75" customHeight="1">
      <c r="G571" s="68"/>
      <c r="H571" s="68"/>
    </row>
    <row r="572" ht="15.75" customHeight="1">
      <c r="G572" s="68"/>
      <c r="H572" s="68"/>
    </row>
    <row r="573" ht="15.75" customHeight="1">
      <c r="G573" s="68"/>
      <c r="H573" s="68"/>
    </row>
    <row r="574" ht="15.75" customHeight="1">
      <c r="G574" s="68"/>
      <c r="H574" s="68"/>
    </row>
    <row r="575" ht="15.75" customHeight="1">
      <c r="G575" s="68"/>
      <c r="H575" s="68"/>
    </row>
    <row r="576" ht="15.75" customHeight="1">
      <c r="G576" s="68"/>
      <c r="H576" s="68"/>
    </row>
    <row r="577" ht="15.75" customHeight="1">
      <c r="G577" s="68"/>
      <c r="H577" s="68"/>
    </row>
    <row r="578" ht="15.75" customHeight="1">
      <c r="G578" s="68"/>
      <c r="H578" s="68"/>
    </row>
    <row r="579" ht="15.75" customHeight="1">
      <c r="G579" s="68"/>
      <c r="H579" s="68"/>
    </row>
    <row r="580" ht="15.75" customHeight="1">
      <c r="G580" s="68"/>
      <c r="H580" s="68"/>
    </row>
    <row r="581" ht="15.75" customHeight="1">
      <c r="G581" s="68"/>
      <c r="H581" s="68"/>
    </row>
    <row r="582" ht="15.75" customHeight="1">
      <c r="G582" s="68"/>
      <c r="H582" s="68"/>
    </row>
    <row r="583" ht="15.75" customHeight="1">
      <c r="G583" s="68"/>
      <c r="H583" s="68"/>
    </row>
    <row r="584" ht="15.75" customHeight="1">
      <c r="G584" s="68"/>
      <c r="H584" s="68"/>
    </row>
    <row r="585" ht="15.75" customHeight="1">
      <c r="G585" s="68"/>
      <c r="H585" s="68"/>
    </row>
    <row r="586" ht="15.75" customHeight="1">
      <c r="G586" s="68"/>
      <c r="H586" s="68"/>
    </row>
    <row r="587" ht="15.75" customHeight="1">
      <c r="G587" s="68"/>
      <c r="H587" s="68"/>
    </row>
    <row r="588" ht="15.75" customHeight="1">
      <c r="G588" s="68"/>
      <c r="H588" s="68"/>
    </row>
    <row r="589" ht="15.75" customHeight="1">
      <c r="G589" s="68"/>
      <c r="H589" s="68"/>
    </row>
    <row r="590" ht="15.75" customHeight="1">
      <c r="G590" s="68"/>
      <c r="H590" s="68"/>
    </row>
    <row r="591" ht="15.75" customHeight="1">
      <c r="G591" s="68"/>
      <c r="H591" s="68"/>
    </row>
    <row r="592" ht="15.75" customHeight="1">
      <c r="G592" s="68"/>
      <c r="H592" s="68"/>
    </row>
    <row r="593" ht="15.75" customHeight="1">
      <c r="G593" s="68"/>
      <c r="H593" s="68"/>
    </row>
    <row r="594" ht="15.75" customHeight="1">
      <c r="G594" s="68"/>
      <c r="H594" s="68"/>
    </row>
    <row r="595" ht="15.75" customHeight="1">
      <c r="G595" s="68"/>
      <c r="H595" s="68"/>
    </row>
    <row r="596" ht="15.75" customHeight="1">
      <c r="G596" s="68"/>
      <c r="H596" s="68"/>
    </row>
    <row r="597" ht="15.75" customHeight="1">
      <c r="G597" s="68"/>
      <c r="H597" s="68"/>
    </row>
    <row r="598" ht="15.75" customHeight="1">
      <c r="G598" s="68"/>
      <c r="H598" s="68"/>
    </row>
    <row r="599" ht="15.75" customHeight="1">
      <c r="G599" s="68"/>
      <c r="H599" s="68"/>
    </row>
    <row r="600" ht="15.75" customHeight="1">
      <c r="G600" s="68"/>
      <c r="H600" s="68"/>
    </row>
    <row r="601" ht="15.75" customHeight="1">
      <c r="G601" s="68"/>
      <c r="H601" s="68"/>
    </row>
    <row r="602" ht="15.75" customHeight="1">
      <c r="G602" s="68"/>
      <c r="H602" s="68"/>
    </row>
    <row r="603" ht="15.75" customHeight="1">
      <c r="G603" s="68"/>
      <c r="H603" s="68"/>
    </row>
    <row r="604" ht="15.75" customHeight="1">
      <c r="G604" s="68"/>
      <c r="H604" s="68"/>
    </row>
    <row r="605" ht="15.75" customHeight="1">
      <c r="G605" s="68"/>
      <c r="H605" s="68"/>
    </row>
    <row r="606" ht="15.75" customHeight="1">
      <c r="G606" s="68"/>
      <c r="H606" s="68"/>
    </row>
    <row r="607" ht="15.75" customHeight="1">
      <c r="G607" s="68"/>
      <c r="H607" s="68"/>
    </row>
    <row r="608" ht="15.75" customHeight="1">
      <c r="G608" s="68"/>
      <c r="H608" s="68"/>
    </row>
    <row r="609" ht="15.75" customHeight="1">
      <c r="G609" s="68"/>
      <c r="H609" s="68"/>
    </row>
    <row r="610" ht="15.75" customHeight="1">
      <c r="G610" s="68"/>
      <c r="H610" s="68"/>
    </row>
    <row r="611" ht="15.75" customHeight="1">
      <c r="G611" s="68"/>
      <c r="H611" s="68"/>
    </row>
    <row r="612" ht="15.75" customHeight="1">
      <c r="G612" s="68"/>
      <c r="H612" s="68"/>
    </row>
    <row r="613" ht="15.75" customHeight="1">
      <c r="G613" s="68"/>
      <c r="H613" s="68"/>
    </row>
    <row r="614" ht="15.75" customHeight="1">
      <c r="G614" s="68"/>
      <c r="H614" s="68"/>
    </row>
    <row r="615" ht="15.75" customHeight="1">
      <c r="G615" s="68"/>
      <c r="H615" s="68"/>
    </row>
    <row r="616" ht="15.75" customHeight="1">
      <c r="G616" s="68"/>
      <c r="H616" s="68"/>
    </row>
    <row r="617" ht="15.75" customHeight="1">
      <c r="G617" s="68"/>
      <c r="H617" s="68"/>
    </row>
    <row r="618" ht="15.75" customHeight="1">
      <c r="G618" s="68"/>
      <c r="H618" s="68"/>
    </row>
    <row r="619" ht="15.75" customHeight="1">
      <c r="G619" s="68"/>
      <c r="H619" s="68"/>
    </row>
    <row r="620" ht="15.75" customHeight="1">
      <c r="G620" s="68"/>
      <c r="H620" s="68"/>
    </row>
    <row r="621" ht="15.75" customHeight="1">
      <c r="G621" s="68"/>
      <c r="H621" s="68"/>
    </row>
    <row r="622" ht="15.75" customHeight="1">
      <c r="G622" s="68"/>
      <c r="H622" s="68"/>
    </row>
    <row r="623" ht="15.75" customHeight="1">
      <c r="G623" s="68"/>
      <c r="H623" s="68"/>
    </row>
    <row r="624" ht="15.75" customHeight="1">
      <c r="G624" s="68"/>
      <c r="H624" s="68"/>
    </row>
    <row r="625" ht="15.75" customHeight="1">
      <c r="G625" s="68"/>
      <c r="H625" s="68"/>
    </row>
    <row r="626" ht="15.75" customHeight="1">
      <c r="G626" s="68"/>
      <c r="H626" s="68"/>
    </row>
    <row r="627" ht="15.75" customHeight="1">
      <c r="G627" s="68"/>
      <c r="H627" s="68"/>
    </row>
    <row r="628" ht="15.75" customHeight="1">
      <c r="G628" s="68"/>
      <c r="H628" s="68"/>
    </row>
    <row r="629" ht="15.75" customHeight="1">
      <c r="G629" s="68"/>
      <c r="H629" s="68"/>
    </row>
    <row r="630" ht="15.75" customHeight="1">
      <c r="G630" s="68"/>
      <c r="H630" s="68"/>
    </row>
    <row r="631" ht="15.75" customHeight="1">
      <c r="G631" s="68"/>
      <c r="H631" s="68"/>
    </row>
    <row r="632" ht="15.75" customHeight="1">
      <c r="G632" s="68"/>
      <c r="H632" s="68"/>
    </row>
    <row r="633" ht="15.75" customHeight="1">
      <c r="G633" s="68"/>
      <c r="H633" s="68"/>
    </row>
    <row r="634" ht="15.75" customHeight="1">
      <c r="G634" s="68"/>
      <c r="H634" s="68"/>
    </row>
    <row r="635" ht="15.75" customHeight="1">
      <c r="G635" s="68"/>
      <c r="H635" s="68"/>
    </row>
    <row r="636" ht="15.75" customHeight="1">
      <c r="G636" s="68"/>
      <c r="H636" s="68"/>
    </row>
    <row r="637" ht="15.75" customHeight="1">
      <c r="G637" s="68"/>
      <c r="H637" s="68"/>
    </row>
    <row r="638" ht="15.75" customHeight="1">
      <c r="G638" s="68"/>
      <c r="H638" s="68"/>
    </row>
    <row r="639" ht="15.75" customHeight="1">
      <c r="G639" s="68"/>
      <c r="H639" s="68"/>
    </row>
    <row r="640" ht="15.75" customHeight="1">
      <c r="G640" s="68"/>
      <c r="H640" s="68"/>
    </row>
    <row r="641" ht="15.75" customHeight="1">
      <c r="G641" s="68"/>
      <c r="H641" s="68"/>
    </row>
    <row r="642" ht="15.75" customHeight="1">
      <c r="G642" s="68"/>
      <c r="H642" s="68"/>
    </row>
    <row r="643" ht="15.75" customHeight="1">
      <c r="G643" s="68"/>
      <c r="H643" s="68"/>
    </row>
    <row r="644" ht="15.75" customHeight="1">
      <c r="G644" s="68"/>
      <c r="H644" s="68"/>
    </row>
    <row r="645" ht="15.75" customHeight="1">
      <c r="G645" s="68"/>
      <c r="H645" s="68"/>
    </row>
    <row r="646" ht="15.75" customHeight="1">
      <c r="G646" s="68"/>
      <c r="H646" s="68"/>
    </row>
    <row r="647" ht="15.75" customHeight="1">
      <c r="G647" s="68"/>
      <c r="H647" s="68"/>
    </row>
    <row r="648" ht="15.75" customHeight="1">
      <c r="G648" s="68"/>
      <c r="H648" s="68"/>
    </row>
    <row r="649" ht="15.75" customHeight="1">
      <c r="G649" s="68"/>
      <c r="H649" s="68"/>
    </row>
    <row r="650" ht="15.75" customHeight="1">
      <c r="G650" s="68"/>
      <c r="H650" s="68"/>
    </row>
    <row r="651" ht="15.75" customHeight="1">
      <c r="G651" s="68"/>
      <c r="H651" s="68"/>
    </row>
    <row r="652" ht="15.75" customHeight="1">
      <c r="G652" s="68"/>
      <c r="H652" s="68"/>
    </row>
    <row r="653" ht="15.75" customHeight="1">
      <c r="G653" s="68"/>
      <c r="H653" s="68"/>
    </row>
    <row r="654" ht="15.75" customHeight="1">
      <c r="G654" s="68"/>
      <c r="H654" s="68"/>
    </row>
    <row r="655" ht="15.75" customHeight="1">
      <c r="G655" s="68"/>
      <c r="H655" s="68"/>
    </row>
    <row r="656" ht="15.75" customHeight="1">
      <c r="G656" s="68"/>
      <c r="H656" s="68"/>
    </row>
    <row r="657" ht="15.75" customHeight="1">
      <c r="G657" s="68"/>
      <c r="H657" s="68"/>
    </row>
    <row r="658" ht="15.75" customHeight="1">
      <c r="G658" s="68"/>
      <c r="H658" s="68"/>
    </row>
    <row r="659" ht="15.75" customHeight="1">
      <c r="G659" s="68"/>
      <c r="H659" s="68"/>
    </row>
    <row r="660" ht="15.75" customHeight="1">
      <c r="G660" s="68"/>
      <c r="H660" s="68"/>
    </row>
    <row r="661" ht="15.75" customHeight="1">
      <c r="G661" s="68"/>
      <c r="H661" s="68"/>
    </row>
    <row r="662" ht="15.75" customHeight="1">
      <c r="G662" s="68"/>
      <c r="H662" s="68"/>
    </row>
    <row r="663" ht="15.75" customHeight="1">
      <c r="G663" s="68"/>
      <c r="H663" s="68"/>
    </row>
    <row r="664" ht="15.75" customHeight="1">
      <c r="G664" s="68"/>
      <c r="H664" s="68"/>
    </row>
    <row r="665" ht="15.75" customHeight="1">
      <c r="G665" s="68"/>
      <c r="H665" s="68"/>
    </row>
    <row r="666" ht="15.75" customHeight="1">
      <c r="G666" s="68"/>
      <c r="H666" s="68"/>
    </row>
    <row r="667" ht="15.75" customHeight="1">
      <c r="G667" s="68"/>
      <c r="H667" s="68"/>
    </row>
    <row r="668" ht="15.75" customHeight="1">
      <c r="G668" s="68"/>
      <c r="H668" s="68"/>
    </row>
    <row r="669" ht="15.75" customHeight="1">
      <c r="G669" s="68"/>
      <c r="H669" s="68"/>
    </row>
    <row r="670" ht="15.75" customHeight="1">
      <c r="G670" s="68"/>
      <c r="H670" s="68"/>
    </row>
    <row r="671" ht="15.75" customHeight="1">
      <c r="G671" s="68"/>
      <c r="H671" s="68"/>
    </row>
    <row r="672" ht="15.75" customHeight="1">
      <c r="G672" s="68"/>
      <c r="H672" s="68"/>
    </row>
    <row r="673" ht="15.75" customHeight="1">
      <c r="G673" s="68"/>
      <c r="H673" s="68"/>
    </row>
    <row r="674" ht="15.75" customHeight="1">
      <c r="G674" s="68"/>
      <c r="H674" s="68"/>
    </row>
    <row r="675" ht="15.75" customHeight="1">
      <c r="G675" s="68"/>
      <c r="H675" s="68"/>
    </row>
    <row r="676" ht="15.75" customHeight="1">
      <c r="G676" s="68"/>
      <c r="H676" s="68"/>
    </row>
    <row r="677" ht="15.75" customHeight="1">
      <c r="G677" s="68"/>
      <c r="H677" s="68"/>
    </row>
    <row r="678" ht="15.75" customHeight="1">
      <c r="G678" s="68"/>
      <c r="H678" s="68"/>
    </row>
    <row r="679" ht="15.75" customHeight="1">
      <c r="G679" s="68"/>
      <c r="H679" s="68"/>
    </row>
    <row r="680" ht="15.75" customHeight="1">
      <c r="G680" s="68"/>
      <c r="H680" s="68"/>
    </row>
    <row r="681" ht="15.75" customHeight="1">
      <c r="G681" s="68"/>
      <c r="H681" s="68"/>
    </row>
    <row r="682" ht="15.75" customHeight="1">
      <c r="G682" s="68"/>
      <c r="H682" s="68"/>
    </row>
    <row r="683" ht="15.75" customHeight="1">
      <c r="G683" s="68"/>
      <c r="H683" s="68"/>
    </row>
    <row r="684" ht="15.75" customHeight="1">
      <c r="G684" s="68"/>
      <c r="H684" s="68"/>
    </row>
    <row r="685" ht="15.75" customHeight="1">
      <c r="G685" s="68"/>
      <c r="H685" s="68"/>
    </row>
    <row r="686" ht="15.75" customHeight="1">
      <c r="G686" s="68"/>
      <c r="H686" s="68"/>
    </row>
    <row r="687" ht="15.75" customHeight="1">
      <c r="G687" s="68"/>
      <c r="H687" s="68"/>
    </row>
    <row r="688" ht="15.75" customHeight="1">
      <c r="G688" s="68"/>
      <c r="H688" s="68"/>
    </row>
    <row r="689" ht="15.75" customHeight="1">
      <c r="G689" s="68"/>
      <c r="H689" s="68"/>
    </row>
    <row r="690" ht="15.75" customHeight="1">
      <c r="G690" s="68"/>
      <c r="H690" s="68"/>
    </row>
    <row r="691" ht="15.75" customHeight="1">
      <c r="G691" s="68"/>
      <c r="H691" s="68"/>
    </row>
    <row r="692" ht="15.75" customHeight="1">
      <c r="G692" s="68"/>
      <c r="H692" s="68"/>
    </row>
    <row r="693" ht="15.75" customHeight="1">
      <c r="G693" s="68"/>
      <c r="H693" s="68"/>
    </row>
    <row r="694" ht="15.75" customHeight="1">
      <c r="G694" s="68"/>
      <c r="H694" s="68"/>
    </row>
    <row r="695" ht="15.75" customHeight="1">
      <c r="G695" s="68"/>
      <c r="H695" s="68"/>
    </row>
    <row r="696" ht="15.75" customHeight="1">
      <c r="G696" s="68"/>
      <c r="H696" s="68"/>
    </row>
    <row r="697" ht="15.75" customHeight="1">
      <c r="G697" s="68"/>
      <c r="H697" s="68"/>
    </row>
    <row r="698" ht="15.75" customHeight="1">
      <c r="G698" s="68"/>
      <c r="H698" s="68"/>
    </row>
    <row r="699" ht="15.75" customHeight="1">
      <c r="G699" s="68"/>
      <c r="H699" s="68"/>
    </row>
    <row r="700" ht="15.75" customHeight="1">
      <c r="G700" s="68"/>
      <c r="H700" s="68"/>
    </row>
    <row r="701" ht="15.75" customHeight="1">
      <c r="G701" s="68"/>
      <c r="H701" s="68"/>
    </row>
    <row r="702" ht="15.75" customHeight="1">
      <c r="G702" s="68"/>
      <c r="H702" s="68"/>
    </row>
    <row r="703" ht="15.75" customHeight="1">
      <c r="G703" s="68"/>
      <c r="H703" s="68"/>
    </row>
    <row r="704" ht="15.75" customHeight="1">
      <c r="G704" s="68"/>
      <c r="H704" s="68"/>
    </row>
    <row r="705" ht="15.75" customHeight="1">
      <c r="G705" s="68"/>
      <c r="H705" s="68"/>
    </row>
    <row r="706" ht="15.75" customHeight="1">
      <c r="G706" s="68"/>
      <c r="H706" s="68"/>
    </row>
    <row r="707" ht="15.75" customHeight="1">
      <c r="G707" s="68"/>
      <c r="H707" s="68"/>
    </row>
    <row r="708" ht="15.75" customHeight="1">
      <c r="G708" s="68"/>
      <c r="H708" s="68"/>
    </row>
    <row r="709" ht="15.75" customHeight="1">
      <c r="G709" s="68"/>
      <c r="H709" s="68"/>
    </row>
    <row r="710" ht="15.75" customHeight="1">
      <c r="G710" s="68"/>
      <c r="H710" s="68"/>
    </row>
    <row r="711" ht="15.75" customHeight="1">
      <c r="G711" s="68"/>
      <c r="H711" s="68"/>
    </row>
    <row r="712" ht="15.75" customHeight="1">
      <c r="G712" s="68"/>
      <c r="H712" s="68"/>
    </row>
    <row r="713" ht="15.75" customHeight="1">
      <c r="G713" s="68"/>
      <c r="H713" s="68"/>
    </row>
    <row r="714" ht="15.75" customHeight="1">
      <c r="G714" s="68"/>
      <c r="H714" s="68"/>
    </row>
    <row r="715" ht="15.75" customHeight="1">
      <c r="G715" s="68"/>
      <c r="H715" s="68"/>
    </row>
    <row r="716" ht="15.75" customHeight="1">
      <c r="G716" s="68"/>
      <c r="H716" s="68"/>
    </row>
    <row r="717" ht="15.75" customHeight="1">
      <c r="G717" s="68"/>
      <c r="H717" s="68"/>
    </row>
    <row r="718" ht="15.75" customHeight="1">
      <c r="G718" s="68"/>
      <c r="H718" s="68"/>
    </row>
    <row r="719" ht="15.75" customHeight="1">
      <c r="G719" s="68"/>
      <c r="H719" s="68"/>
    </row>
    <row r="720" ht="15.75" customHeight="1">
      <c r="G720" s="68"/>
      <c r="H720" s="68"/>
    </row>
    <row r="721" ht="15.75" customHeight="1">
      <c r="G721" s="68"/>
      <c r="H721" s="68"/>
    </row>
    <row r="722" ht="15.75" customHeight="1">
      <c r="G722" s="68"/>
      <c r="H722" s="68"/>
    </row>
    <row r="723" ht="15.75" customHeight="1">
      <c r="G723" s="68"/>
      <c r="H723" s="68"/>
    </row>
    <row r="724" ht="15.75" customHeight="1">
      <c r="G724" s="68"/>
      <c r="H724" s="68"/>
    </row>
    <row r="725" ht="15.75" customHeight="1">
      <c r="G725" s="68"/>
      <c r="H725" s="68"/>
    </row>
    <row r="726" ht="15.75" customHeight="1">
      <c r="G726" s="68"/>
      <c r="H726" s="68"/>
    </row>
    <row r="727" ht="15.75" customHeight="1">
      <c r="G727" s="68"/>
      <c r="H727" s="68"/>
    </row>
    <row r="728" ht="15.75" customHeight="1">
      <c r="G728" s="68"/>
      <c r="H728" s="68"/>
    </row>
    <row r="729" ht="15.75" customHeight="1">
      <c r="G729" s="68"/>
      <c r="H729" s="68"/>
    </row>
    <row r="730" ht="15.75" customHeight="1">
      <c r="G730" s="68"/>
      <c r="H730" s="68"/>
    </row>
    <row r="731" ht="15.75" customHeight="1">
      <c r="G731" s="68"/>
      <c r="H731" s="68"/>
    </row>
    <row r="732" ht="15.75" customHeight="1">
      <c r="G732" s="68"/>
      <c r="H732" s="68"/>
    </row>
    <row r="733" ht="15.75" customHeight="1">
      <c r="G733" s="68"/>
      <c r="H733" s="68"/>
    </row>
    <row r="734" ht="15.75" customHeight="1">
      <c r="G734" s="68"/>
      <c r="H734" s="68"/>
    </row>
    <row r="735" ht="15.75" customHeight="1">
      <c r="G735" s="68"/>
      <c r="H735" s="68"/>
    </row>
    <row r="736" ht="15.75" customHeight="1">
      <c r="G736" s="68"/>
      <c r="H736" s="68"/>
    </row>
    <row r="737" ht="15.75" customHeight="1">
      <c r="G737" s="68"/>
      <c r="H737" s="68"/>
    </row>
    <row r="738" ht="15.75" customHeight="1">
      <c r="G738" s="68"/>
      <c r="H738" s="68"/>
    </row>
    <row r="739" ht="15.75" customHeight="1">
      <c r="G739" s="68"/>
      <c r="H739" s="68"/>
    </row>
    <row r="740" ht="15.75" customHeight="1">
      <c r="G740" s="68"/>
      <c r="H740" s="68"/>
    </row>
    <row r="741" ht="15.75" customHeight="1">
      <c r="G741" s="68"/>
      <c r="H741" s="68"/>
    </row>
    <row r="742" ht="15.75" customHeight="1">
      <c r="G742" s="68"/>
      <c r="H742" s="68"/>
    </row>
    <row r="743" ht="15.75" customHeight="1">
      <c r="G743" s="68"/>
      <c r="H743" s="68"/>
    </row>
    <row r="744" ht="15.75" customHeight="1">
      <c r="G744" s="68"/>
      <c r="H744" s="68"/>
    </row>
    <row r="745" ht="15.75" customHeight="1">
      <c r="G745" s="68"/>
      <c r="H745" s="68"/>
    </row>
    <row r="746" ht="15.75" customHeight="1">
      <c r="G746" s="68"/>
      <c r="H746" s="68"/>
    </row>
    <row r="747" ht="15.75" customHeight="1">
      <c r="G747" s="68"/>
      <c r="H747" s="68"/>
    </row>
    <row r="748" ht="15.75" customHeight="1">
      <c r="G748" s="68"/>
      <c r="H748" s="68"/>
    </row>
    <row r="749" ht="15.75" customHeight="1">
      <c r="G749" s="68"/>
      <c r="H749" s="68"/>
    </row>
    <row r="750" ht="15.75" customHeight="1">
      <c r="G750" s="68"/>
      <c r="H750" s="68"/>
    </row>
    <row r="751" ht="15.75" customHeight="1">
      <c r="G751" s="68"/>
      <c r="H751" s="68"/>
    </row>
    <row r="752" ht="15.75" customHeight="1">
      <c r="G752" s="68"/>
      <c r="H752" s="68"/>
    </row>
    <row r="753" ht="15.75" customHeight="1">
      <c r="G753" s="68"/>
      <c r="H753" s="68"/>
    </row>
    <row r="754" ht="15.75" customHeight="1">
      <c r="G754" s="68"/>
      <c r="H754" s="68"/>
    </row>
    <row r="755" ht="15.75" customHeight="1">
      <c r="G755" s="68"/>
      <c r="H755" s="68"/>
    </row>
    <row r="756" ht="15.75" customHeight="1">
      <c r="G756" s="68"/>
      <c r="H756" s="68"/>
    </row>
    <row r="757" ht="15.75" customHeight="1">
      <c r="G757" s="68"/>
      <c r="H757" s="68"/>
    </row>
    <row r="758" ht="15.75" customHeight="1">
      <c r="G758" s="68"/>
      <c r="H758" s="68"/>
    </row>
    <row r="759" ht="15.75" customHeight="1">
      <c r="G759" s="68"/>
      <c r="H759" s="68"/>
    </row>
    <row r="760" ht="15.75" customHeight="1">
      <c r="G760" s="68"/>
      <c r="H760" s="68"/>
    </row>
    <row r="761" ht="15.75" customHeight="1">
      <c r="G761" s="68"/>
      <c r="H761" s="68"/>
    </row>
    <row r="762" ht="15.75" customHeight="1">
      <c r="G762" s="68"/>
      <c r="H762" s="68"/>
    </row>
    <row r="763" ht="15.75" customHeight="1">
      <c r="G763" s="68"/>
      <c r="H763" s="68"/>
    </row>
    <row r="764" ht="15.75" customHeight="1">
      <c r="G764" s="68"/>
      <c r="H764" s="68"/>
    </row>
    <row r="765" ht="15.75" customHeight="1">
      <c r="G765" s="68"/>
      <c r="H765" s="68"/>
    </row>
    <row r="766" ht="15.75" customHeight="1">
      <c r="G766" s="68"/>
      <c r="H766" s="68"/>
    </row>
    <row r="767" ht="15.75" customHeight="1">
      <c r="G767" s="68"/>
      <c r="H767" s="68"/>
    </row>
    <row r="768" ht="15.75" customHeight="1">
      <c r="G768" s="68"/>
      <c r="H768" s="68"/>
    </row>
    <row r="769" ht="15.75" customHeight="1">
      <c r="G769" s="68"/>
      <c r="H769" s="68"/>
    </row>
    <row r="770" ht="15.75" customHeight="1">
      <c r="G770" s="68"/>
      <c r="H770" s="68"/>
    </row>
    <row r="771" ht="15.75" customHeight="1">
      <c r="G771" s="68"/>
      <c r="H771" s="68"/>
    </row>
    <row r="772" ht="15.75" customHeight="1">
      <c r="G772" s="68"/>
      <c r="H772" s="68"/>
    </row>
    <row r="773" ht="15.75" customHeight="1">
      <c r="G773" s="68"/>
      <c r="H773" s="68"/>
    </row>
    <row r="774" ht="15.75" customHeight="1">
      <c r="G774" s="68"/>
      <c r="H774" s="68"/>
    </row>
    <row r="775" ht="15.75" customHeight="1">
      <c r="G775" s="68"/>
      <c r="H775" s="68"/>
    </row>
    <row r="776" ht="15.75" customHeight="1">
      <c r="G776" s="68"/>
      <c r="H776" s="68"/>
    </row>
    <row r="777" ht="15.75" customHeight="1">
      <c r="G777" s="68"/>
      <c r="H777" s="68"/>
    </row>
    <row r="778" ht="15.75" customHeight="1">
      <c r="G778" s="68"/>
      <c r="H778" s="68"/>
    </row>
    <row r="779" ht="15.75" customHeight="1">
      <c r="G779" s="68"/>
      <c r="H779" s="68"/>
    </row>
    <row r="780" ht="15.75" customHeight="1">
      <c r="G780" s="68"/>
      <c r="H780" s="68"/>
    </row>
    <row r="781" ht="15.75" customHeight="1">
      <c r="G781" s="68"/>
      <c r="H781" s="68"/>
    </row>
    <row r="782" ht="15.75" customHeight="1">
      <c r="G782" s="68"/>
      <c r="H782" s="68"/>
    </row>
    <row r="783" ht="15.75" customHeight="1">
      <c r="G783" s="68"/>
      <c r="H783" s="68"/>
    </row>
    <row r="784" ht="15.75" customHeight="1">
      <c r="G784" s="68"/>
      <c r="H784" s="68"/>
    </row>
    <row r="785" ht="15.75" customHeight="1">
      <c r="G785" s="68"/>
      <c r="H785" s="68"/>
    </row>
    <row r="786" ht="15.75" customHeight="1">
      <c r="G786" s="68"/>
      <c r="H786" s="68"/>
    </row>
    <row r="787" ht="15.75" customHeight="1">
      <c r="G787" s="68"/>
      <c r="H787" s="68"/>
    </row>
    <row r="788" ht="15.75" customHeight="1">
      <c r="G788" s="68"/>
      <c r="H788" s="68"/>
    </row>
    <row r="789" ht="15.75" customHeight="1">
      <c r="G789" s="68"/>
      <c r="H789" s="68"/>
    </row>
    <row r="790" ht="15.75" customHeight="1">
      <c r="G790" s="68"/>
      <c r="H790" s="68"/>
    </row>
    <row r="791" ht="15.75" customHeight="1">
      <c r="G791" s="68"/>
      <c r="H791" s="68"/>
    </row>
    <row r="792" ht="15.75" customHeight="1">
      <c r="G792" s="68"/>
      <c r="H792" s="68"/>
    </row>
    <row r="793" ht="15.75" customHeight="1">
      <c r="G793" s="68"/>
      <c r="H793" s="68"/>
    </row>
    <row r="794" ht="15.75" customHeight="1">
      <c r="G794" s="68"/>
      <c r="H794" s="68"/>
    </row>
    <row r="795" ht="15.75" customHeight="1">
      <c r="G795" s="68"/>
      <c r="H795" s="68"/>
    </row>
    <row r="796" ht="15.75" customHeight="1">
      <c r="G796" s="68"/>
      <c r="H796" s="68"/>
    </row>
    <row r="797" ht="15.75" customHeight="1">
      <c r="G797" s="68"/>
      <c r="H797" s="68"/>
    </row>
    <row r="798" ht="15.75" customHeight="1">
      <c r="G798" s="68"/>
      <c r="H798" s="68"/>
    </row>
    <row r="799" ht="15.75" customHeight="1">
      <c r="G799" s="68"/>
      <c r="H799" s="68"/>
    </row>
    <row r="800" ht="15.75" customHeight="1">
      <c r="G800" s="68"/>
      <c r="H800" s="68"/>
    </row>
    <row r="801" ht="15.75" customHeight="1">
      <c r="G801" s="68"/>
      <c r="H801" s="68"/>
    </row>
    <row r="802" ht="15.75" customHeight="1">
      <c r="G802" s="68"/>
      <c r="H802" s="68"/>
    </row>
    <row r="803" ht="15.75" customHeight="1">
      <c r="G803" s="68"/>
      <c r="H803" s="68"/>
    </row>
    <row r="804" ht="15.75" customHeight="1">
      <c r="G804" s="68"/>
      <c r="H804" s="68"/>
    </row>
    <row r="805" ht="15.75" customHeight="1">
      <c r="G805" s="68"/>
      <c r="H805" s="68"/>
    </row>
    <row r="806" ht="15.75" customHeight="1">
      <c r="G806" s="68"/>
      <c r="H806" s="68"/>
    </row>
    <row r="807" ht="15.75" customHeight="1">
      <c r="G807" s="68"/>
      <c r="H807" s="68"/>
    </row>
    <row r="808" ht="15.75" customHeight="1">
      <c r="G808" s="68"/>
      <c r="H808" s="68"/>
    </row>
    <row r="809" ht="15.75" customHeight="1">
      <c r="G809" s="68"/>
      <c r="H809" s="68"/>
    </row>
    <row r="810" ht="15.75" customHeight="1">
      <c r="G810" s="68"/>
      <c r="H810" s="68"/>
    </row>
    <row r="811" ht="15.75" customHeight="1">
      <c r="G811" s="68"/>
      <c r="H811" s="68"/>
    </row>
    <row r="812" ht="15.75" customHeight="1">
      <c r="G812" s="68"/>
      <c r="H812" s="68"/>
    </row>
    <row r="813" ht="15.75" customHeight="1">
      <c r="G813" s="68"/>
      <c r="H813" s="68"/>
    </row>
    <row r="814" ht="15.75" customHeight="1">
      <c r="G814" s="68"/>
      <c r="H814" s="68"/>
    </row>
    <row r="815" ht="15.75" customHeight="1">
      <c r="G815" s="68"/>
      <c r="H815" s="68"/>
    </row>
    <row r="816" ht="15.75" customHeight="1">
      <c r="G816" s="68"/>
      <c r="H816" s="68"/>
    </row>
    <row r="817" ht="15.75" customHeight="1">
      <c r="G817" s="68"/>
      <c r="H817" s="68"/>
    </row>
    <row r="818" ht="15.75" customHeight="1">
      <c r="G818" s="68"/>
      <c r="H818" s="68"/>
    </row>
    <row r="819" ht="15.75" customHeight="1">
      <c r="G819" s="68"/>
      <c r="H819" s="68"/>
    </row>
    <row r="820" ht="15.75" customHeight="1">
      <c r="G820" s="68"/>
      <c r="H820" s="68"/>
    </row>
    <row r="821" ht="15.75" customHeight="1">
      <c r="G821" s="68"/>
      <c r="H821" s="68"/>
    </row>
    <row r="822" ht="15.75" customHeight="1">
      <c r="G822" s="68"/>
      <c r="H822" s="68"/>
    </row>
    <row r="823" ht="15.75" customHeight="1">
      <c r="G823" s="68"/>
      <c r="H823" s="68"/>
    </row>
    <row r="824" ht="15.75" customHeight="1">
      <c r="G824" s="68"/>
      <c r="H824" s="68"/>
    </row>
    <row r="825" ht="15.75" customHeight="1">
      <c r="G825" s="68"/>
      <c r="H825" s="68"/>
    </row>
    <row r="826" ht="15.75" customHeight="1">
      <c r="G826" s="68"/>
      <c r="H826" s="68"/>
    </row>
    <row r="827" ht="15.75" customHeight="1">
      <c r="G827" s="68"/>
      <c r="H827" s="68"/>
    </row>
    <row r="828" ht="15.75" customHeight="1">
      <c r="G828" s="68"/>
      <c r="H828" s="68"/>
    </row>
    <row r="829" ht="15.75" customHeight="1">
      <c r="G829" s="68"/>
      <c r="H829" s="68"/>
    </row>
    <row r="830" ht="15.75" customHeight="1">
      <c r="G830" s="68"/>
      <c r="H830" s="68"/>
    </row>
    <row r="831" ht="15.75" customHeight="1">
      <c r="G831" s="68"/>
      <c r="H831" s="68"/>
    </row>
    <row r="832" ht="15.75" customHeight="1">
      <c r="G832" s="68"/>
      <c r="H832" s="68"/>
    </row>
    <row r="833" ht="15.75" customHeight="1">
      <c r="G833" s="68"/>
      <c r="H833" s="68"/>
    </row>
    <row r="834" ht="15.75" customHeight="1">
      <c r="G834" s="68"/>
      <c r="H834" s="68"/>
    </row>
    <row r="835" ht="15.75" customHeight="1">
      <c r="G835" s="68"/>
      <c r="H835" s="68"/>
    </row>
    <row r="836" ht="15.75" customHeight="1">
      <c r="G836" s="68"/>
      <c r="H836" s="68"/>
    </row>
    <row r="837" ht="15.75" customHeight="1">
      <c r="G837" s="68"/>
      <c r="H837" s="68"/>
    </row>
    <row r="838" ht="15.75" customHeight="1">
      <c r="G838" s="68"/>
      <c r="H838" s="68"/>
    </row>
    <row r="839" ht="15.75" customHeight="1">
      <c r="G839" s="68"/>
      <c r="H839" s="68"/>
    </row>
    <row r="840" ht="15.75" customHeight="1">
      <c r="G840" s="68"/>
      <c r="H840" s="68"/>
    </row>
    <row r="841" ht="15.75" customHeight="1">
      <c r="G841" s="68"/>
      <c r="H841" s="68"/>
    </row>
    <row r="842" ht="15.75" customHeight="1">
      <c r="G842" s="68"/>
      <c r="H842" s="68"/>
    </row>
    <row r="843" ht="15.75" customHeight="1">
      <c r="G843" s="68"/>
      <c r="H843" s="68"/>
    </row>
    <row r="844" ht="15.75" customHeight="1">
      <c r="G844" s="68"/>
      <c r="H844" s="68"/>
    </row>
    <row r="845" ht="15.75" customHeight="1">
      <c r="G845" s="68"/>
      <c r="H845" s="68"/>
    </row>
    <row r="846" ht="15.75" customHeight="1">
      <c r="G846" s="68"/>
      <c r="H846" s="68"/>
    </row>
    <row r="847" ht="15.75" customHeight="1">
      <c r="G847" s="68"/>
      <c r="H847" s="68"/>
    </row>
    <row r="848" ht="15.75" customHeight="1">
      <c r="G848" s="68"/>
      <c r="H848" s="68"/>
    </row>
    <row r="849" ht="15.75" customHeight="1">
      <c r="G849" s="68"/>
      <c r="H849" s="68"/>
    </row>
    <row r="850" ht="15.75" customHeight="1">
      <c r="G850" s="68"/>
      <c r="H850" s="68"/>
    </row>
    <row r="851" ht="15.75" customHeight="1">
      <c r="G851" s="68"/>
      <c r="H851" s="68"/>
    </row>
    <row r="852" ht="15.75" customHeight="1">
      <c r="G852" s="68"/>
      <c r="H852" s="68"/>
    </row>
    <row r="853" ht="15.75" customHeight="1">
      <c r="G853" s="68"/>
      <c r="H853" s="68"/>
    </row>
    <row r="854" ht="15.75" customHeight="1">
      <c r="G854" s="68"/>
      <c r="H854" s="68"/>
    </row>
    <row r="855" ht="15.75" customHeight="1">
      <c r="G855" s="68"/>
      <c r="H855" s="68"/>
    </row>
    <row r="856" ht="15.75" customHeight="1">
      <c r="G856" s="68"/>
      <c r="H856" s="68"/>
    </row>
    <row r="857" ht="15.75" customHeight="1">
      <c r="G857" s="68"/>
      <c r="H857" s="68"/>
    </row>
    <row r="858" ht="15.75" customHeight="1">
      <c r="G858" s="68"/>
      <c r="H858" s="68"/>
    </row>
    <row r="859" ht="15.75" customHeight="1">
      <c r="G859" s="68"/>
      <c r="H859" s="68"/>
    </row>
    <row r="860" ht="15.75" customHeight="1">
      <c r="G860" s="68"/>
      <c r="H860" s="68"/>
    </row>
    <row r="861" ht="15.75" customHeight="1">
      <c r="G861" s="68"/>
      <c r="H861" s="68"/>
    </row>
    <row r="862" ht="15.75" customHeight="1">
      <c r="G862" s="68"/>
      <c r="H862" s="68"/>
    </row>
    <row r="863" ht="15.75" customHeight="1">
      <c r="G863" s="68"/>
      <c r="H863" s="68"/>
    </row>
    <row r="864" ht="15.75" customHeight="1">
      <c r="G864" s="68"/>
      <c r="H864" s="68"/>
    </row>
    <row r="865" ht="15.75" customHeight="1">
      <c r="G865" s="68"/>
      <c r="H865" s="68"/>
    </row>
    <row r="866" ht="15.75" customHeight="1">
      <c r="G866" s="68"/>
      <c r="H866" s="68"/>
    </row>
    <row r="867" ht="15.75" customHeight="1">
      <c r="G867" s="68"/>
      <c r="H867" s="68"/>
    </row>
    <row r="868" ht="15.75" customHeight="1">
      <c r="G868" s="68"/>
      <c r="H868" s="68"/>
    </row>
    <row r="869" ht="15.75" customHeight="1">
      <c r="G869" s="68"/>
      <c r="H869" s="68"/>
    </row>
    <row r="870" ht="15.75" customHeight="1">
      <c r="G870" s="68"/>
      <c r="H870" s="68"/>
    </row>
    <row r="871" ht="15.75" customHeight="1">
      <c r="G871" s="68"/>
      <c r="H871" s="68"/>
    </row>
    <row r="872" ht="15.75" customHeight="1">
      <c r="G872" s="68"/>
      <c r="H872" s="68"/>
    </row>
    <row r="873" ht="15.75" customHeight="1">
      <c r="G873" s="68"/>
      <c r="H873" s="68"/>
    </row>
    <row r="874" ht="15.75" customHeight="1">
      <c r="G874" s="68"/>
      <c r="H874" s="68"/>
    </row>
    <row r="875" ht="15.75" customHeight="1">
      <c r="G875" s="68"/>
      <c r="H875" s="68"/>
    </row>
    <row r="876" ht="15.75" customHeight="1">
      <c r="G876" s="68"/>
      <c r="H876" s="68"/>
    </row>
    <row r="877" ht="15.75" customHeight="1">
      <c r="G877" s="68"/>
      <c r="H877" s="68"/>
    </row>
    <row r="878" ht="15.75" customHeight="1">
      <c r="G878" s="68"/>
      <c r="H878" s="68"/>
    </row>
    <row r="879" ht="15.75" customHeight="1">
      <c r="G879" s="68"/>
      <c r="H879" s="68"/>
    </row>
    <row r="880" ht="15.75" customHeight="1">
      <c r="G880" s="68"/>
      <c r="H880" s="68"/>
    </row>
    <row r="881" ht="15.75" customHeight="1">
      <c r="G881" s="68"/>
      <c r="H881" s="68"/>
    </row>
    <row r="882" ht="15.75" customHeight="1">
      <c r="G882" s="68"/>
      <c r="H882" s="68"/>
    </row>
    <row r="883" ht="15.75" customHeight="1">
      <c r="G883" s="68"/>
      <c r="H883" s="68"/>
    </row>
    <row r="884" ht="15.75" customHeight="1">
      <c r="G884" s="68"/>
      <c r="H884" s="68"/>
    </row>
    <row r="885" ht="15.75" customHeight="1">
      <c r="G885" s="68"/>
      <c r="H885" s="68"/>
    </row>
    <row r="886" ht="15.75" customHeight="1">
      <c r="G886" s="68"/>
      <c r="H886" s="68"/>
    </row>
    <row r="887" ht="15.75" customHeight="1">
      <c r="G887" s="68"/>
      <c r="H887" s="68"/>
    </row>
    <row r="888" ht="15.75" customHeight="1">
      <c r="G888" s="68"/>
      <c r="H888" s="68"/>
    </row>
    <row r="889" ht="15.75" customHeight="1">
      <c r="G889" s="68"/>
      <c r="H889" s="68"/>
    </row>
    <row r="890" ht="15.75" customHeight="1">
      <c r="G890" s="68"/>
      <c r="H890" s="68"/>
    </row>
    <row r="891" ht="15.75" customHeight="1">
      <c r="G891" s="68"/>
      <c r="H891" s="68"/>
    </row>
    <row r="892" ht="15.75" customHeight="1">
      <c r="G892" s="68"/>
      <c r="H892" s="68"/>
    </row>
    <row r="893" ht="15.75" customHeight="1">
      <c r="G893" s="68"/>
      <c r="H893" s="68"/>
    </row>
    <row r="894" ht="15.75" customHeight="1">
      <c r="G894" s="68"/>
      <c r="H894" s="68"/>
    </row>
    <row r="895" ht="15.75" customHeight="1">
      <c r="G895" s="68"/>
      <c r="H895" s="68"/>
    </row>
    <row r="896" ht="15.75" customHeight="1">
      <c r="G896" s="68"/>
      <c r="H896" s="68"/>
    </row>
    <row r="897" ht="15.75" customHeight="1">
      <c r="G897" s="68"/>
      <c r="H897" s="68"/>
    </row>
    <row r="898" ht="15.75" customHeight="1">
      <c r="G898" s="68"/>
      <c r="H898" s="68"/>
    </row>
    <row r="899" ht="15.75" customHeight="1">
      <c r="G899" s="68"/>
      <c r="H899" s="68"/>
    </row>
    <row r="900" ht="15.75" customHeight="1">
      <c r="G900" s="68"/>
      <c r="H900" s="68"/>
    </row>
    <row r="901" ht="15.75" customHeight="1">
      <c r="G901" s="68"/>
      <c r="H901" s="68"/>
    </row>
    <row r="902" ht="15.75" customHeight="1">
      <c r="G902" s="68"/>
      <c r="H902" s="68"/>
    </row>
    <row r="903" ht="15.75" customHeight="1">
      <c r="G903" s="68"/>
      <c r="H903" s="68"/>
    </row>
    <row r="904" ht="15.75" customHeight="1">
      <c r="G904" s="68"/>
      <c r="H904" s="68"/>
    </row>
    <row r="905" ht="15.75" customHeight="1">
      <c r="G905" s="68"/>
      <c r="H905" s="68"/>
    </row>
    <row r="906" ht="15.75" customHeight="1">
      <c r="G906" s="68"/>
      <c r="H906" s="68"/>
    </row>
    <row r="907" ht="15.75" customHeight="1">
      <c r="G907" s="68"/>
      <c r="H907" s="68"/>
    </row>
    <row r="908" ht="15.75" customHeight="1">
      <c r="G908" s="68"/>
      <c r="H908" s="68"/>
    </row>
    <row r="909" ht="15.75" customHeight="1">
      <c r="G909" s="68"/>
      <c r="H909" s="68"/>
    </row>
    <row r="910" ht="15.75" customHeight="1">
      <c r="G910" s="68"/>
      <c r="H910" s="68"/>
    </row>
    <row r="911" ht="15.75" customHeight="1">
      <c r="G911" s="68"/>
      <c r="H911" s="68"/>
    </row>
    <row r="912" ht="15.75" customHeight="1">
      <c r="G912" s="68"/>
      <c r="H912" s="68"/>
    </row>
    <row r="913" ht="15.75" customHeight="1">
      <c r="G913" s="68"/>
      <c r="H913" s="68"/>
    </row>
    <row r="914" ht="15.75" customHeight="1">
      <c r="G914" s="68"/>
      <c r="H914" s="68"/>
    </row>
    <row r="915" ht="15.75" customHeight="1">
      <c r="G915" s="68"/>
      <c r="H915" s="68"/>
    </row>
    <row r="916" ht="15.75" customHeight="1">
      <c r="G916" s="68"/>
      <c r="H916" s="68"/>
    </row>
    <row r="917" ht="15.75" customHeight="1">
      <c r="G917" s="68"/>
      <c r="H917" s="68"/>
    </row>
    <row r="918" ht="15.75" customHeight="1">
      <c r="G918" s="68"/>
      <c r="H918" s="68"/>
    </row>
    <row r="919" ht="15.75" customHeight="1">
      <c r="G919" s="68"/>
      <c r="H919" s="68"/>
    </row>
    <row r="920" ht="15.75" customHeight="1">
      <c r="G920" s="68"/>
      <c r="H920" s="68"/>
    </row>
    <row r="921" ht="15.75" customHeight="1">
      <c r="G921" s="68"/>
      <c r="H921" s="68"/>
    </row>
    <row r="922" ht="15.75" customHeight="1">
      <c r="G922" s="68"/>
      <c r="H922" s="68"/>
    </row>
    <row r="923" ht="15.75" customHeight="1">
      <c r="G923" s="68"/>
      <c r="H923" s="68"/>
    </row>
    <row r="924" ht="15.75" customHeight="1">
      <c r="G924" s="68"/>
      <c r="H924" s="68"/>
    </row>
    <row r="925" ht="15.75" customHeight="1">
      <c r="G925" s="68"/>
      <c r="H925" s="68"/>
    </row>
    <row r="926" ht="15.75" customHeight="1">
      <c r="G926" s="68"/>
      <c r="H926" s="68"/>
    </row>
    <row r="927" ht="15.75" customHeight="1">
      <c r="G927" s="68"/>
      <c r="H927" s="68"/>
    </row>
    <row r="928" ht="15.75" customHeight="1">
      <c r="G928" s="68"/>
      <c r="H928" s="68"/>
    </row>
    <row r="929" ht="15.75" customHeight="1">
      <c r="G929" s="68"/>
      <c r="H929" s="68"/>
    </row>
    <row r="930" ht="15.75" customHeight="1">
      <c r="G930" s="68"/>
      <c r="H930" s="68"/>
    </row>
    <row r="931" ht="15.75" customHeight="1">
      <c r="G931" s="68"/>
      <c r="H931" s="68"/>
    </row>
    <row r="932" ht="15.75" customHeight="1">
      <c r="G932" s="68"/>
      <c r="H932" s="68"/>
    </row>
    <row r="933" ht="15.75" customHeight="1">
      <c r="G933" s="68"/>
      <c r="H933" s="68"/>
    </row>
    <row r="934" ht="15.75" customHeight="1">
      <c r="G934" s="68"/>
      <c r="H934" s="68"/>
    </row>
    <row r="935" ht="15.75" customHeight="1">
      <c r="G935" s="68"/>
      <c r="H935" s="68"/>
    </row>
    <row r="936" ht="15.75" customHeight="1">
      <c r="G936" s="68"/>
      <c r="H936" s="68"/>
    </row>
    <row r="937" ht="15.75" customHeight="1">
      <c r="G937" s="68"/>
      <c r="H937" s="68"/>
    </row>
    <row r="938" ht="15.75" customHeight="1">
      <c r="G938" s="68"/>
      <c r="H938" s="68"/>
    </row>
    <row r="939" ht="15.75" customHeight="1">
      <c r="G939" s="68"/>
      <c r="H939" s="68"/>
    </row>
    <row r="940" ht="15.75" customHeight="1">
      <c r="G940" s="68"/>
      <c r="H940" s="68"/>
    </row>
    <row r="941" ht="15.75" customHeight="1">
      <c r="G941" s="68"/>
      <c r="H941" s="68"/>
    </row>
    <row r="942" ht="15.75" customHeight="1">
      <c r="G942" s="68"/>
      <c r="H942" s="68"/>
    </row>
    <row r="943" ht="15.75" customHeight="1">
      <c r="G943" s="68"/>
      <c r="H943" s="68"/>
    </row>
    <row r="944" ht="15.75" customHeight="1">
      <c r="G944" s="68"/>
      <c r="H944" s="68"/>
    </row>
    <row r="945" ht="15.75" customHeight="1">
      <c r="G945" s="68"/>
      <c r="H945" s="68"/>
    </row>
    <row r="946" ht="15.75" customHeight="1">
      <c r="G946" s="68"/>
      <c r="H946" s="68"/>
    </row>
    <row r="947" ht="15.75" customHeight="1">
      <c r="G947" s="68"/>
      <c r="H947" s="68"/>
    </row>
    <row r="948" ht="15.75" customHeight="1">
      <c r="G948" s="68"/>
      <c r="H948" s="68"/>
    </row>
    <row r="949" ht="15.75" customHeight="1">
      <c r="G949" s="68"/>
      <c r="H949" s="68"/>
    </row>
    <row r="950" ht="15.75" customHeight="1">
      <c r="G950" s="68"/>
      <c r="H950" s="68"/>
    </row>
    <row r="951" ht="15.75" customHeight="1">
      <c r="G951" s="68"/>
      <c r="H951" s="68"/>
    </row>
    <row r="952" ht="15.75" customHeight="1">
      <c r="G952" s="68"/>
      <c r="H952" s="68"/>
    </row>
    <row r="953" ht="15.75" customHeight="1">
      <c r="G953" s="68"/>
      <c r="H953" s="68"/>
    </row>
    <row r="954" ht="15.75" customHeight="1">
      <c r="G954" s="68"/>
      <c r="H954" s="68"/>
    </row>
    <row r="955" ht="15.75" customHeight="1">
      <c r="G955" s="68"/>
      <c r="H955" s="68"/>
    </row>
    <row r="956" ht="15.75" customHeight="1">
      <c r="G956" s="68"/>
      <c r="H956" s="68"/>
    </row>
    <row r="957" ht="15.75" customHeight="1">
      <c r="G957" s="68"/>
      <c r="H957" s="68"/>
    </row>
    <row r="958" ht="15.75" customHeight="1">
      <c r="G958" s="68"/>
      <c r="H958" s="68"/>
    </row>
    <row r="959" ht="15.75" customHeight="1">
      <c r="G959" s="68"/>
      <c r="H959" s="68"/>
    </row>
    <row r="960" ht="15.75" customHeight="1">
      <c r="G960" s="68"/>
      <c r="H960" s="68"/>
    </row>
    <row r="961" ht="15.75" customHeight="1">
      <c r="G961" s="68"/>
      <c r="H961" s="68"/>
    </row>
    <row r="962" ht="15.75" customHeight="1">
      <c r="G962" s="68"/>
      <c r="H962" s="68"/>
    </row>
    <row r="963" ht="15.75" customHeight="1">
      <c r="G963" s="68"/>
      <c r="H963" s="68"/>
    </row>
    <row r="964" ht="15.75" customHeight="1">
      <c r="G964" s="68"/>
      <c r="H964" s="68"/>
    </row>
    <row r="965" ht="15.75" customHeight="1">
      <c r="G965" s="68"/>
      <c r="H965" s="68"/>
    </row>
    <row r="966" ht="15.75" customHeight="1">
      <c r="G966" s="68"/>
      <c r="H966" s="68"/>
    </row>
    <row r="967" ht="15.75" customHeight="1">
      <c r="G967" s="68"/>
      <c r="H967" s="68"/>
    </row>
    <row r="968" ht="15.75" customHeight="1">
      <c r="G968" s="68"/>
      <c r="H968" s="68"/>
    </row>
    <row r="969" ht="15.75" customHeight="1">
      <c r="G969" s="68"/>
      <c r="H969" s="68"/>
    </row>
    <row r="970" ht="15.75" customHeight="1">
      <c r="G970" s="68"/>
      <c r="H970" s="68"/>
    </row>
    <row r="971" ht="15.75" customHeight="1">
      <c r="G971" s="68"/>
      <c r="H971" s="68"/>
    </row>
    <row r="972" ht="15.75" customHeight="1">
      <c r="G972" s="68"/>
      <c r="H972" s="68"/>
    </row>
    <row r="973" ht="15.75" customHeight="1">
      <c r="G973" s="68"/>
      <c r="H973" s="68"/>
    </row>
    <row r="974" ht="15.75" customHeight="1">
      <c r="G974" s="68"/>
      <c r="H974" s="68"/>
    </row>
    <row r="975" ht="15.75" customHeight="1">
      <c r="G975" s="68"/>
      <c r="H975" s="68"/>
    </row>
    <row r="976" ht="15.75" customHeight="1">
      <c r="G976" s="68"/>
      <c r="H976" s="68"/>
    </row>
    <row r="977" ht="15.75" customHeight="1">
      <c r="G977" s="68"/>
      <c r="H977" s="68"/>
    </row>
    <row r="978" ht="15.75" customHeight="1">
      <c r="G978" s="68"/>
      <c r="H978" s="68"/>
    </row>
    <row r="979" ht="15.75" customHeight="1">
      <c r="G979" s="68"/>
      <c r="H979" s="68"/>
    </row>
    <row r="980" ht="15.75" customHeight="1">
      <c r="G980" s="68"/>
      <c r="H980" s="68"/>
    </row>
    <row r="981" ht="15.75" customHeight="1">
      <c r="G981" s="68"/>
      <c r="H981" s="68"/>
    </row>
    <row r="982" ht="15.75" customHeight="1">
      <c r="G982" s="68"/>
      <c r="H982" s="68"/>
    </row>
    <row r="983" ht="15.75" customHeight="1">
      <c r="G983" s="68"/>
      <c r="H983" s="68"/>
    </row>
    <row r="984" ht="15.75" customHeight="1">
      <c r="G984" s="68"/>
      <c r="H984" s="68"/>
    </row>
    <row r="985" ht="15.75" customHeight="1">
      <c r="G985" s="68"/>
      <c r="H985" s="68"/>
    </row>
    <row r="986" ht="15.75" customHeight="1">
      <c r="G986" s="68"/>
      <c r="H986" s="68"/>
    </row>
    <row r="987" ht="15.75" customHeight="1">
      <c r="G987" s="68"/>
      <c r="H987" s="68"/>
    </row>
    <row r="988" ht="15.75" customHeight="1">
      <c r="G988" s="68"/>
      <c r="H988" s="68"/>
    </row>
    <row r="989" ht="15.75" customHeight="1">
      <c r="G989" s="68"/>
      <c r="H989" s="68"/>
    </row>
    <row r="990" ht="15.75" customHeight="1">
      <c r="G990" s="68"/>
      <c r="H990" s="68"/>
    </row>
    <row r="991" ht="15.75" customHeight="1">
      <c r="G991" s="68"/>
      <c r="H991" s="68"/>
    </row>
    <row r="992" ht="15.75" customHeight="1">
      <c r="G992" s="68"/>
      <c r="H992" s="68"/>
    </row>
    <row r="993" ht="15.75" customHeight="1">
      <c r="G993" s="68"/>
      <c r="H993" s="68"/>
    </row>
    <row r="994" ht="15.75" customHeight="1">
      <c r="G994" s="68"/>
      <c r="H994" s="68"/>
    </row>
    <row r="995" ht="15.75" customHeight="1">
      <c r="G995" s="68"/>
      <c r="H995" s="68"/>
    </row>
    <row r="996" ht="15.75" customHeight="1">
      <c r="G996" s="68"/>
      <c r="H996" s="68"/>
    </row>
  </sheetData>
  <mergeCells count="36">
    <mergeCell ref="A1:B1"/>
    <mergeCell ref="D1:G1"/>
    <mergeCell ref="A2:J2"/>
    <mergeCell ref="E3:F3"/>
    <mergeCell ref="B4:D4"/>
    <mergeCell ref="E4:F4"/>
    <mergeCell ref="E5:F5"/>
    <mergeCell ref="E6:F6"/>
    <mergeCell ref="G6:H6"/>
    <mergeCell ref="B10:E10"/>
    <mergeCell ref="F10:J10"/>
    <mergeCell ref="B11:E11"/>
    <mergeCell ref="F11:J11"/>
    <mergeCell ref="A12:C12"/>
    <mergeCell ref="D12:J12"/>
    <mergeCell ref="A13:J13"/>
    <mergeCell ref="A14:J14"/>
    <mergeCell ref="A15:B15"/>
    <mergeCell ref="C15:J15"/>
    <mergeCell ref="A16:J16"/>
    <mergeCell ref="A17:J17"/>
    <mergeCell ref="A35:B35"/>
    <mergeCell ref="F35:G35"/>
    <mergeCell ref="A36:B36"/>
    <mergeCell ref="F36:G36"/>
    <mergeCell ref="A37:J37"/>
    <mergeCell ref="F38:G38"/>
    <mergeCell ref="F39:G39"/>
    <mergeCell ref="A40:A41"/>
    <mergeCell ref="A18:J18"/>
    <mergeCell ref="A21:J21"/>
    <mergeCell ref="A24:J24"/>
    <mergeCell ref="D26:J26"/>
    <mergeCell ref="A28:J28"/>
    <mergeCell ref="G30:H30"/>
    <mergeCell ref="A34:J34"/>
  </mergeCells>
  <conditionalFormatting sqref="H43">
    <cfRule type="cellIs" dxfId="0" priority="1" operator="between">
      <formula>15</formula>
      <formula>21</formula>
    </cfRule>
  </conditionalFormatting>
  <conditionalFormatting sqref="H43">
    <cfRule type="cellIs" dxfId="1" priority="2" operator="greaterThan">
      <formula>21</formula>
    </cfRule>
  </conditionalFormatting>
  <conditionalFormatting sqref="F19">
    <cfRule type="expression" dxfId="2" priority="3">
      <formula>D19&lt;&gt;""</formula>
    </cfRule>
  </conditionalFormatting>
  <conditionalFormatting sqref="H19">
    <cfRule type="expression" dxfId="2" priority="4">
      <formula>F19&lt;&gt;""</formula>
    </cfRule>
  </conditionalFormatting>
  <conditionalFormatting sqref="J19">
    <cfRule type="expression" dxfId="2" priority="5">
      <formula>H19="SI"</formula>
    </cfRule>
  </conditionalFormatting>
  <conditionalFormatting sqref="D19">
    <cfRule type="expression" dxfId="3" priority="6">
      <formula>ISDATE(D19)</formula>
    </cfRule>
  </conditionalFormatting>
  <conditionalFormatting sqref="D19">
    <cfRule type="expression" dxfId="2" priority="7">
      <formula>B19&lt;&gt;""</formula>
    </cfRule>
  </conditionalFormatting>
  <conditionalFormatting sqref="B22 H22 J22">
    <cfRule type="notContainsBlanks" dxfId="4" priority="8">
      <formula>LEN(TRIM(B22))&gt;0</formula>
    </cfRule>
  </conditionalFormatting>
  <conditionalFormatting sqref="B22 H22 J22">
    <cfRule type="expression" dxfId="2" priority="9">
      <formula>ISDATE(#REF!)</formula>
    </cfRule>
  </conditionalFormatting>
  <conditionalFormatting sqref="J22">
    <cfRule type="notContainsBlanks" dxfId="4" priority="10">
      <formula>LEN(TRIM(J22))&gt;0</formula>
    </cfRule>
  </conditionalFormatting>
  <conditionalFormatting sqref="J22">
    <cfRule type="expression" dxfId="2" priority="11">
      <formula>ISDATE(H22)</formula>
    </cfRule>
  </conditionalFormatting>
  <conditionalFormatting sqref="B25">
    <cfRule type="notContainsBlanks" dxfId="4" priority="12">
      <formula>LEN(TRIM(B25))&gt;0</formula>
    </cfRule>
  </conditionalFormatting>
  <conditionalFormatting sqref="B25">
    <cfRule type="expression" dxfId="2" priority="13">
      <formula>ISDATE(B22)</formula>
    </cfRule>
  </conditionalFormatting>
  <conditionalFormatting sqref="E35">
    <cfRule type="notContainsBlanks" dxfId="4" priority="14">
      <formula>LEN(TRIM(E35))&gt;0</formula>
    </cfRule>
  </conditionalFormatting>
  <conditionalFormatting sqref="C36">
    <cfRule type="notContainsBlanks" dxfId="4" priority="15">
      <formula>LEN(TRIM(C36))&gt;0</formula>
    </cfRule>
  </conditionalFormatting>
  <conditionalFormatting sqref="C36">
    <cfRule type="expression" dxfId="2" priority="16">
      <formula>ISDATE(C35)</formula>
    </cfRule>
  </conditionalFormatting>
  <conditionalFormatting sqref="E35">
    <cfRule type="expression" dxfId="2" priority="17">
      <formula>ISDATE(C35)</formula>
    </cfRule>
  </conditionalFormatting>
  <conditionalFormatting sqref="E36">
    <cfRule type="notContainsBlanks" dxfId="4" priority="18">
      <formula>LEN(TRIM(E36))&gt;0</formula>
    </cfRule>
  </conditionalFormatting>
  <conditionalFormatting sqref="E36">
    <cfRule type="expression" dxfId="2" priority="19">
      <formula>C36="SI"</formula>
    </cfRule>
  </conditionalFormatting>
  <conditionalFormatting sqref="D29">
    <cfRule type="notContainsBlanks" dxfId="4" priority="20">
      <formula>LEN(TRIM(D29))&gt;0</formula>
    </cfRule>
  </conditionalFormatting>
  <conditionalFormatting sqref="D29">
    <cfRule type="expression" dxfId="2" priority="21">
      <formula>ISDATE(B29)</formula>
    </cfRule>
  </conditionalFormatting>
  <conditionalFormatting sqref="D30">
    <cfRule type="notContainsBlanks" dxfId="4" priority="22">
      <formula>LEN(TRIM(D30))&gt;0</formula>
    </cfRule>
  </conditionalFormatting>
  <conditionalFormatting sqref="D30">
    <cfRule type="expression" dxfId="5" priority="23">
      <formula>ISDATE(B30)</formula>
    </cfRule>
  </conditionalFormatting>
  <conditionalFormatting sqref="F30">
    <cfRule type="notContainsBlanks" dxfId="4" priority="24">
      <formula>LEN(TRIM(F30))&gt;0</formula>
    </cfRule>
  </conditionalFormatting>
  <conditionalFormatting sqref="F30">
    <cfRule type="expression" dxfId="5" priority="25">
      <formula>ISDATE(B30)</formula>
    </cfRule>
  </conditionalFormatting>
  <conditionalFormatting sqref="I30">
    <cfRule type="notContainsBlanks" dxfId="4" priority="26">
      <formula>LEN(TRIM(I30))&gt;0</formula>
    </cfRule>
  </conditionalFormatting>
  <conditionalFormatting sqref="I30">
    <cfRule type="expression" dxfId="5" priority="27">
      <formula>F30="SI"</formula>
    </cfRule>
  </conditionalFormatting>
  <conditionalFormatting sqref="H29">
    <cfRule type="notContainsBlanks" dxfId="4" priority="28">
      <formula>LEN(TRIM(H29))&gt;0</formula>
    </cfRule>
  </conditionalFormatting>
  <conditionalFormatting sqref="H29">
    <cfRule type="expression" dxfId="5" priority="29">
      <formula>ISDATE(B30)</formula>
    </cfRule>
  </conditionalFormatting>
  <conditionalFormatting sqref="J29">
    <cfRule type="notContainsBlanks" dxfId="4" priority="30">
      <formula>LEN(TRIM(J29))&gt;0</formula>
    </cfRule>
  </conditionalFormatting>
  <conditionalFormatting sqref="J29">
    <cfRule type="expression" dxfId="5" priority="31">
      <formula>ISDATE(B30)</formula>
    </cfRule>
  </conditionalFormatting>
  <conditionalFormatting sqref="D32">
    <cfRule type="notContainsBlanks" dxfId="4" priority="32">
      <formula>LEN(TRIM(D32))&gt;0</formula>
    </cfRule>
  </conditionalFormatting>
  <conditionalFormatting sqref="D32">
    <cfRule type="expression" dxfId="5" priority="33">
      <formula>B32&lt;&gt;""</formula>
    </cfRule>
  </conditionalFormatting>
  <conditionalFormatting sqref="F32">
    <cfRule type="notContainsBlanks" dxfId="4" priority="34">
      <formula>LEN(TRIM(F32))&gt;0</formula>
    </cfRule>
  </conditionalFormatting>
  <conditionalFormatting sqref="F32">
    <cfRule type="expression" dxfId="5" priority="35">
      <formula>D32&lt;&gt;""</formula>
    </cfRule>
  </conditionalFormatting>
  <conditionalFormatting sqref="H32">
    <cfRule type="notContainsBlanks" dxfId="4" priority="36">
      <formula>LEN(TRIM(H32))&gt;0</formula>
    </cfRule>
  </conditionalFormatting>
  <conditionalFormatting sqref="H32">
    <cfRule type="expression" dxfId="5" priority="37">
      <formula>F32&lt;&gt;""</formula>
    </cfRule>
  </conditionalFormatting>
  <conditionalFormatting sqref="J32">
    <cfRule type="notContainsBlanks" dxfId="4" priority="38">
      <formula>LEN(TRIM(J32))&gt;0</formula>
    </cfRule>
  </conditionalFormatting>
  <conditionalFormatting sqref="J32">
    <cfRule type="expression" dxfId="5" priority="39">
      <formula>F32&lt;&gt;""</formula>
    </cfRule>
  </conditionalFormatting>
  <conditionalFormatting sqref="D25">
    <cfRule type="notContainsBlanks" dxfId="4" priority="40">
      <formula>LEN(TRIM(D25))&gt;0</formula>
    </cfRule>
  </conditionalFormatting>
  <conditionalFormatting sqref="D25">
    <cfRule type="expression" dxfId="5" priority="41">
      <formula>B38&lt;&gt;""</formula>
    </cfRule>
  </conditionalFormatting>
  <conditionalFormatting sqref="F25">
    <cfRule type="notContainsBlanks" dxfId="4" priority="42">
      <formula>LEN(TRIM(F25))&gt;0</formula>
    </cfRule>
  </conditionalFormatting>
  <conditionalFormatting sqref="F25">
    <cfRule type="expression" dxfId="5" priority="43">
      <formula>B38&lt;&gt;""</formula>
    </cfRule>
  </conditionalFormatting>
  <conditionalFormatting sqref="H25">
    <cfRule type="notContainsBlanks" dxfId="4" priority="44">
      <formula>LEN(TRIM(H25))&gt;0</formula>
    </cfRule>
  </conditionalFormatting>
  <conditionalFormatting sqref="H25">
    <cfRule type="expression" dxfId="5" priority="45">
      <formula>B38&lt;&gt;""</formula>
    </cfRule>
  </conditionalFormatting>
  <conditionalFormatting sqref="J25">
    <cfRule type="notContainsBlanks" dxfId="4" priority="46">
      <formula>LEN(TRIM(J25))&gt;0</formula>
    </cfRule>
  </conditionalFormatting>
  <conditionalFormatting sqref="J25">
    <cfRule type="expression" dxfId="5" priority="47">
      <formula>B38&lt;&gt;""</formula>
    </cfRule>
  </conditionalFormatting>
  <conditionalFormatting sqref="H27">
    <cfRule type="notContainsBlanks" dxfId="4" priority="48">
      <formula>LEN(TRIM(H27))&gt;0</formula>
    </cfRule>
  </conditionalFormatting>
  <conditionalFormatting sqref="H27">
    <cfRule type="expression" dxfId="5" priority="49">
      <formula>B38&lt;&gt;""</formula>
    </cfRule>
  </conditionalFormatting>
  <conditionalFormatting sqref="J27">
    <cfRule type="notContainsBlanks" dxfId="4" priority="50">
      <formula>LEN(TRIM(J27))&gt;0</formula>
    </cfRule>
  </conditionalFormatting>
  <conditionalFormatting sqref="J27">
    <cfRule type="expression" dxfId="5" priority="51">
      <formula>B38&lt;&gt;""</formula>
    </cfRule>
  </conditionalFormatting>
  <conditionalFormatting sqref="D20">
    <cfRule type="notContainsBlanks" dxfId="4" priority="52">
      <formula>LEN(TRIM(D20))&gt;0</formula>
    </cfRule>
  </conditionalFormatting>
  <conditionalFormatting sqref="D20">
    <cfRule type="expression" dxfId="5" priority="53">
      <formula>B20&lt;&gt;""</formula>
    </cfRule>
  </conditionalFormatting>
  <conditionalFormatting sqref="F20">
    <cfRule type="notContainsBlanks" dxfId="4" priority="54">
      <formula>LEN(TRIM(F20))&gt;0</formula>
    </cfRule>
  </conditionalFormatting>
  <conditionalFormatting sqref="F20">
    <cfRule type="expression" dxfId="5" priority="55">
      <formula>D20&lt;&gt;""</formula>
    </cfRule>
  </conditionalFormatting>
  <conditionalFormatting sqref="H20">
    <cfRule type="notContainsBlanks" dxfId="4" priority="56">
      <formula>LEN(TRIM(H20))&gt;0</formula>
    </cfRule>
  </conditionalFormatting>
  <conditionalFormatting sqref="H20">
    <cfRule type="expression" dxfId="5" priority="57">
      <formula>F20&lt;&gt;""</formula>
    </cfRule>
  </conditionalFormatting>
  <conditionalFormatting sqref="J20">
    <cfRule type="notContainsBlanks" dxfId="4" priority="58">
      <formula>LEN(TRIM(J20))&gt;0</formula>
    </cfRule>
  </conditionalFormatting>
  <conditionalFormatting sqref="J20">
    <cfRule type="expression" dxfId="5" priority="59">
      <formula>F20&lt;&gt;""</formula>
    </cfRule>
  </conditionalFormatting>
  <conditionalFormatting sqref="B40">
    <cfRule type="notContainsBlanks" dxfId="4" priority="60">
      <formula>LEN(TRIM(B40))&gt;0</formula>
    </cfRule>
  </conditionalFormatting>
  <conditionalFormatting sqref="B40">
    <cfRule type="expression" dxfId="5" priority="61">
      <formula>B38&lt;&gt;""</formula>
    </cfRule>
  </conditionalFormatting>
  <conditionalFormatting sqref="D38">
    <cfRule type="notContainsBlanks" dxfId="4" priority="62">
      <formula>LEN(TRIM(D38))&gt;0</formula>
    </cfRule>
  </conditionalFormatting>
  <conditionalFormatting sqref="D38">
    <cfRule type="expression" dxfId="5" priority="63">
      <formula>B38&lt;&gt;""</formula>
    </cfRule>
  </conditionalFormatting>
  <conditionalFormatting sqref="H38">
    <cfRule type="notContainsBlanks" dxfId="4" priority="64">
      <formula>LEN(TRIM(H38))&gt;0</formula>
    </cfRule>
  </conditionalFormatting>
  <conditionalFormatting sqref="H38">
    <cfRule type="expression" dxfId="5" priority="65">
      <formula>B38&lt;&gt;""</formula>
    </cfRule>
  </conditionalFormatting>
  <conditionalFormatting sqref="J38">
    <cfRule type="notContainsBlanks" dxfId="4" priority="66">
      <formula>LEN(TRIM(J38))&gt;0</formula>
    </cfRule>
  </conditionalFormatting>
  <conditionalFormatting sqref="J38">
    <cfRule type="expression" dxfId="5" priority="67">
      <formula>B38&lt;&gt;""</formula>
    </cfRule>
  </conditionalFormatting>
  <conditionalFormatting sqref="H39">
    <cfRule type="notContainsBlanks" dxfId="4" priority="68">
      <formula>LEN(TRIM(H39))&gt;0</formula>
    </cfRule>
  </conditionalFormatting>
  <conditionalFormatting sqref="H39">
    <cfRule type="expression" dxfId="5" priority="69">
      <formula>B38&lt;&gt;""</formula>
    </cfRule>
  </conditionalFormatting>
  <conditionalFormatting sqref="B39">
    <cfRule type="notContainsBlanks" dxfId="4" priority="70">
      <formula>LEN(TRIM(B39))&gt;0</formula>
    </cfRule>
  </conditionalFormatting>
  <conditionalFormatting sqref="B39">
    <cfRule type="expression" dxfId="5" priority="71">
      <formula>B38&lt;&gt;""</formula>
    </cfRule>
  </conditionalFormatting>
  <dataValidations>
    <dataValidation type="list" allowBlank="1" sqref="B10:B11 F10:F11">
      <formula1>"HIC,HSA,NEUROCIRUGÍA,ENCEFALOPATÍA/COMA/CONVULSIONES,DISF HEPÁTICA,DISF RENAL,ENF RELACIONADA AL EMBARAZO,PANCREATITIS,INSUFICIENCIA RESPIRATORIA CRÓNICA REAGUDIZADA,SHOCK/SEPSIS,SHOCK HIPOVOLÉMICO,SHOCK CARDIOGÉNICO,SHOCK ANAFILÁCTICO,ACV ISQUÉMICO,INSUF"&amp;"ICIENCIA RESPIRATORIA AGUDA,ALTER HIDROELECTROLITICA,INTOXICACION/SOBREDOSIS,NEUTROPENIA FEBRIL,ENF ONCOHEMATOLOGICA/CANCER,HEMORRAGIA DIGEST,PCR,QX DE URGENCIA,QX ESTOMAGO,QX COLON,QX PANCREAS,QX HIGADO/VIA BILIAR,QX RENAL/UROLOGICA,QX TORAX,QX CADERA/FE"&amp;"MUR,QX OBSTETRICA,POLITRAUMATISMO,ENF NEUROMUSCULAR,PTT/SUH,CIRUGIA CARDIACA,ACV,COVID,OTRO"</formula1>
    </dataValidation>
    <dataValidation type="list" allowBlank="1" showErrorMessage="1" sqref="H19:H20 F30 H31:H32 J31:J32 B33 C36 H38 B39">
      <formula1>"NO,SI"</formula1>
    </dataValidation>
    <dataValidation type="list" allowBlank="1" sqref="G6">
      <formula1>"MÉDICO,QUIRÚRGICO,GUARDIA"</formula1>
    </dataValidation>
    <dataValidation type="list" allowBlank="1" showErrorMessage="1" sqref="H29">
      <formula1>"Simple,Dificultoso,Prolongado"</formula1>
    </dataValidation>
    <dataValidation type="custom" allowBlank="1" showDropDown="1" sqref="L4:L5 D19:D20 F19:F20 B22 H22 J22 D27 F27 D31 F31 E36 D39">
      <formula1>OR(NOT(ISERROR(DATEVALUE(B4))), AND(ISNUMBER(B4), LEFT(CELL("format", B4))="D"))</formula1>
    </dataValidation>
    <dataValidation type="list" allowBlank="1" sqref="J20">
      <formula1>"N/C,Taquipnea,MMV,Desaturacion,Shock,Deterioro del sensorio,Intolerancia al Tto"</formula1>
    </dataValidation>
    <dataValidation type="list" allowBlank="1" showErrorMessage="1" sqref="E35">
      <formula1>"Percutánea,Quirúrgica"</formula1>
    </dataValidation>
    <dataValidation type="list" allowBlank="1" showErrorMessage="1" sqref="B26">
      <formula1>"No,Si"</formula1>
    </dataValidation>
    <dataValidation type="list" allowBlank="1" showErrorMessage="1" sqref="B25">
      <formula1>"NO,SHOCK,POP,NMN,EAP,TRAUMA,SDRA,ASPIRACION,PCR,EPOC,ASMA,NEUROMUSCULAR,COMA E,COMA NO E,OTRA CAUSA"</formula1>
    </dataValidation>
    <dataValidation type="list" allowBlank="1" sqref="H36:J36">
      <formula1>"PROGRAMADO,URGENCIA"</formula1>
    </dataValidation>
    <dataValidation type="list" allowBlank="1" showErrorMessage="1" sqref="D33">
      <formula1>"Aumento del WOB,Mal manejo de secreciones,EAP,OVAS,Deterioro del sensorio"</formula1>
    </dataValidation>
    <dataValidation type="list" allowBlank="1" showErrorMessage="1" sqref="B38">
      <formula1>"VIVO,MUERTO"</formula1>
    </dataValidation>
    <dataValidation type="list" allowBlank="1" sqref="J19">
      <formula1>"Taquipnea,MMV,Desaturacion,Shock,Deterioro del sensorio,Intolerancia al Tto"</formula1>
    </dataValidation>
    <dataValidation type="list" allowBlank="1" showErrorMessage="1" sqref="B7:J7 A8:J9">
      <formula1>"HTA,IAM,IC,PCR,EPOC,TBQ,ExTBQ,ASMA,OCD,NMN,VMI PREVIA,VNI DOMIC,ACV,TEC,ANEURISMA,ENF NEUROM,DBT,OBESIDAD,HIPOTIR,HIPERTIR,INSUF RENAL,POP,TBC,HIV,HEPATITIS,CHAGAS,CONSUMO,REUMATOLOGICOS,PSIQUIATRICOS,ONCOLOGICOS,OTROS"</formula1>
    </dataValidation>
    <dataValidation type="list" allowBlank="1" sqref="H39">
      <formula1>"HIPOXEMIA REFRACTARIA,FMO,PCR"</formula1>
    </dataValidation>
    <dataValidation type="list" allowBlank="1" showErrorMessage="1" sqref="B31">
      <formula1>"Electiva,Preventiva,Rescate"</formula1>
    </dataValidation>
    <dataValidation type="decimal" allowBlank="1" showDropDown="1" sqref="L6:L7 F29">
      <formula1>0.0</formula1>
      <formula2>999.0</formula2>
    </dataValidation>
    <dataValidation type="list" allowBlank="1" showErrorMessage="1" sqref="D30">
      <formula1>"Deseada,Accidental,AutoEOT"</formula1>
    </dataValidation>
    <dataValidation type="list" allowBlank="1" showInputMessage="1" showErrorMessage="1" prompt="NO DESTETE = Sin intento de separación // DESTETE CORTO= el primer intento resultó en una terminación del proceso de destete dentro de 1 día (separación exitosa o muerte) // DESTETE PROLONGADO= la separación fue completada luego  de 1 día pero en menos de" sqref="J29">
      <formula1>"No destete,Destete corto,Destete dificultoso,Destete prolongado exitoso,Destete prolongado no exitoso"</formula1>
    </dataValidation>
    <dataValidation type="list" allowBlank="1" sqref="J38">
      <formula1>"ALTA K,ALTA DOMICILIARIA,PISO,3º NIVEL,Muerto"</formula1>
    </dataValidation>
    <dataValidation type="list" allowBlank="1" showErrorMessage="1" sqref="F33">
      <formula1>"No falla,Una falla,Dos fallas,Tres fallas,Cuatro o mas fallas"</formula1>
    </dataValidation>
    <dataValidation type="custom" allowBlank="1" showDropDown="1" showErrorMessage="1" sqref="B29:B30 D32 F32 D38">
      <formula1>OR(NOT(ISERROR(DATEVALUE(B29))), AND(ISNUMBER(B29), LEFT(CELL("format", B29))="D"))</formula1>
    </dataValidation>
    <dataValidation type="list" allowBlank="1" showErrorMessage="1" sqref="B23 D23 F23 B27 B32 H35">
      <formula1>"SI"</formula1>
    </dataValidation>
    <dataValidation type="list" allowBlank="1" sqref="B40:J41">
      <formula1>"SHOCK/SEPSIS,FMO,BAROTRAUMA,DAUCI,PRONO,BNM,PAFI&lt;200,TEP,IAM,PCR,SDRA,EOT NO PROGRAMADA,DELIRIUM,I RENAL,NAVM,LESIONES FACIALES,CAMBIO DE INTERFAZ POR DISCOMFORT"</formula1>
    </dataValidation>
    <dataValidation type="list" allowBlank="1" showErrorMessage="1" sqref="D5">
      <formula1>"Mujer,Hombre"</formula1>
    </dataValidation>
    <dataValidation type="list" allowBlank="1" showErrorMessage="1" sqref="D29">
      <formula1>"TT,CPAP,PSV"</formula1>
    </dataValidation>
    <dataValidation type="list" allowBlank="1" sqref="B19:B20">
      <formula1>"FRA HIPERCAPNICA,FRA HIPOXEMICA,FRA MIXTA,FRA POP,PREV FRA Post EXT"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4.57"/>
    <col customWidth="1" min="2" max="2" width="12.86"/>
    <col customWidth="1" min="3" max="4" width="11.43"/>
    <col customWidth="1" min="5" max="31" width="10.71"/>
  </cols>
  <sheetData>
    <row r="1">
      <c r="A1" s="68"/>
      <c r="B1" s="68"/>
      <c r="C1" s="183"/>
      <c r="D1" s="183"/>
      <c r="E1" s="183"/>
      <c r="F1" s="183"/>
      <c r="G1" s="183"/>
      <c r="H1" s="183"/>
      <c r="I1" s="184"/>
      <c r="J1" s="184"/>
      <c r="K1" s="184"/>
      <c r="L1" s="184"/>
      <c r="M1" s="184"/>
      <c r="N1" s="184"/>
      <c r="O1" s="184"/>
      <c r="AB1" s="185"/>
      <c r="AC1" s="185"/>
      <c r="AD1" s="185"/>
      <c r="AE1" s="185"/>
    </row>
    <row r="2">
      <c r="A2" s="186" t="s">
        <v>118</v>
      </c>
      <c r="B2" s="187"/>
      <c r="C2" s="188"/>
      <c r="D2" s="188"/>
      <c r="E2" s="188" t="s">
        <v>0</v>
      </c>
      <c r="G2" s="183"/>
      <c r="H2" s="189" t="s">
        <v>119</v>
      </c>
      <c r="I2" s="190"/>
      <c r="J2" s="191">
        <f>+General!D6</f>
        <v>75.116</v>
      </c>
      <c r="K2" s="184"/>
      <c r="L2" s="184"/>
      <c r="M2" s="184"/>
      <c r="N2" s="184"/>
      <c r="O2" s="184"/>
      <c r="AB2" s="185"/>
      <c r="AC2" s="185"/>
      <c r="AD2" s="185"/>
      <c r="AE2" s="185"/>
    </row>
    <row r="3">
      <c r="A3" s="187"/>
      <c r="B3" s="68"/>
      <c r="C3" s="183"/>
      <c r="D3" s="183"/>
      <c r="E3" s="183"/>
      <c r="F3" s="183"/>
      <c r="G3" s="183"/>
      <c r="H3" s="183"/>
      <c r="I3" s="184"/>
      <c r="J3" s="184"/>
      <c r="K3" s="184"/>
      <c r="L3" s="184"/>
      <c r="M3" s="184"/>
      <c r="N3" s="184"/>
      <c r="O3" s="184"/>
      <c r="AB3" s="185"/>
      <c r="AC3" s="185"/>
      <c r="AD3" s="185"/>
      <c r="AE3" s="185"/>
    </row>
    <row r="4">
      <c r="A4" s="68"/>
      <c r="B4" s="68"/>
      <c r="C4" s="192">
        <v>1.0</v>
      </c>
      <c r="D4" s="192">
        <v>2.0</v>
      </c>
      <c r="E4" s="192">
        <v>3.0</v>
      </c>
      <c r="F4" s="192">
        <v>4.0</v>
      </c>
      <c r="G4" s="192">
        <v>5.0</v>
      </c>
      <c r="H4" s="192">
        <v>6.0</v>
      </c>
      <c r="I4" s="192">
        <v>7.0</v>
      </c>
      <c r="J4" s="192">
        <v>8.0</v>
      </c>
      <c r="K4" s="192">
        <v>9.0</v>
      </c>
      <c r="L4" s="192">
        <v>10.0</v>
      </c>
      <c r="M4" s="192">
        <v>11.0</v>
      </c>
      <c r="N4" s="192">
        <v>12.0</v>
      </c>
      <c r="O4" s="192">
        <v>13.0</v>
      </c>
      <c r="P4" s="192">
        <v>14.0</v>
      </c>
      <c r="Q4" s="192">
        <v>15.0</v>
      </c>
      <c r="R4" s="192">
        <v>16.0</v>
      </c>
      <c r="S4" s="192">
        <v>17.0</v>
      </c>
      <c r="T4" s="192">
        <v>18.0</v>
      </c>
      <c r="U4" s="192">
        <v>19.0</v>
      </c>
      <c r="V4" s="192">
        <v>20.0</v>
      </c>
      <c r="W4" s="192">
        <v>21.0</v>
      </c>
      <c r="X4" s="192">
        <v>22.0</v>
      </c>
      <c r="Y4" s="192">
        <v>23.0</v>
      </c>
      <c r="Z4" s="192">
        <v>24.0</v>
      </c>
      <c r="AA4" s="193">
        <v>25.0</v>
      </c>
      <c r="AB4" s="193">
        <v>26.0</v>
      </c>
      <c r="AC4" s="193">
        <v>27.0</v>
      </c>
      <c r="AD4" s="193">
        <v>28.0</v>
      </c>
      <c r="AE4" s="185"/>
    </row>
    <row r="5">
      <c r="A5" s="194" t="s">
        <v>120</v>
      </c>
      <c r="B5" s="195" t="s">
        <v>94</v>
      </c>
      <c r="C5" s="196">
        <v>44213.0</v>
      </c>
      <c r="D5" s="196">
        <v>44214.0</v>
      </c>
      <c r="E5" s="196">
        <v>44215.0</v>
      </c>
      <c r="F5" s="196">
        <v>44216.0</v>
      </c>
      <c r="G5" s="196">
        <v>44217.0</v>
      </c>
      <c r="H5" s="196">
        <v>44218.0</v>
      </c>
      <c r="I5" s="197">
        <v>44219.0</v>
      </c>
      <c r="J5" s="196">
        <v>44220.0</v>
      </c>
      <c r="K5" s="196">
        <v>44221.0</v>
      </c>
      <c r="L5" s="198"/>
      <c r="M5" s="198"/>
      <c r="N5" s="199"/>
      <c r="O5" s="198"/>
      <c r="P5" s="200"/>
      <c r="Q5" s="198"/>
      <c r="R5" s="198"/>
      <c r="S5" s="201"/>
      <c r="T5" s="201"/>
      <c r="U5" s="201"/>
      <c r="V5" s="201"/>
      <c r="W5" s="201"/>
      <c r="X5" s="201"/>
      <c r="Y5" s="201"/>
      <c r="Z5" s="201"/>
      <c r="AA5" s="202"/>
      <c r="AB5" s="203"/>
      <c r="AC5" s="204"/>
      <c r="AD5" s="205"/>
      <c r="AE5" s="206"/>
    </row>
    <row r="6">
      <c r="A6" s="207"/>
      <c r="B6" s="208" t="s">
        <v>121</v>
      </c>
      <c r="C6" s="209">
        <v>105.0</v>
      </c>
      <c r="D6" s="210">
        <v>92.0</v>
      </c>
      <c r="E6" s="211">
        <v>94.0</v>
      </c>
      <c r="F6" s="212">
        <v>102.0</v>
      </c>
      <c r="G6" s="213">
        <v>80.0</v>
      </c>
      <c r="H6" s="214">
        <v>80.0</v>
      </c>
      <c r="I6" s="215">
        <v>76.0</v>
      </c>
      <c r="J6" s="216">
        <v>94.0</v>
      </c>
      <c r="K6" s="217"/>
      <c r="L6" s="218"/>
      <c r="M6" s="219"/>
      <c r="N6" s="220"/>
      <c r="O6" s="217"/>
      <c r="P6" s="221"/>
      <c r="Q6" s="219"/>
      <c r="R6" s="222"/>
      <c r="S6" s="223"/>
      <c r="T6" s="224"/>
      <c r="U6" s="225"/>
      <c r="V6" s="226"/>
      <c r="W6" s="223"/>
      <c r="X6" s="224"/>
      <c r="Y6" s="225"/>
      <c r="Z6" s="224"/>
      <c r="AA6" s="225"/>
      <c r="AB6" s="227"/>
      <c r="AC6" s="228"/>
      <c r="AD6" s="229"/>
      <c r="AE6" s="206"/>
    </row>
    <row r="7">
      <c r="A7" s="207"/>
      <c r="B7" s="230" t="s">
        <v>122</v>
      </c>
      <c r="C7" s="231">
        <v>91.0</v>
      </c>
      <c r="D7" s="232">
        <v>139.0</v>
      </c>
      <c r="E7" s="233">
        <v>128.0</v>
      </c>
      <c r="F7" s="234">
        <v>165.0</v>
      </c>
      <c r="G7" s="235">
        <v>124.0</v>
      </c>
      <c r="H7" s="236">
        <v>134.0</v>
      </c>
      <c r="I7" s="237">
        <v>135.0</v>
      </c>
      <c r="J7" s="238">
        <v>96.0</v>
      </c>
      <c r="K7" s="239"/>
      <c r="L7" s="240"/>
      <c r="M7" s="241"/>
      <c r="N7" s="242"/>
      <c r="O7" s="239"/>
      <c r="P7" s="243"/>
      <c r="Q7" s="241"/>
      <c r="R7" s="244"/>
      <c r="S7" s="245"/>
      <c r="T7" s="246"/>
      <c r="U7" s="247"/>
      <c r="V7" s="248"/>
      <c r="W7" s="245"/>
      <c r="X7" s="246"/>
      <c r="Y7" s="247"/>
      <c r="Z7" s="246"/>
      <c r="AA7" s="247"/>
      <c r="AB7" s="249"/>
      <c r="AC7" s="250"/>
      <c r="AD7" s="251"/>
      <c r="AE7" s="206"/>
    </row>
    <row r="8">
      <c r="A8" s="207"/>
      <c r="B8" s="230" t="s">
        <v>123</v>
      </c>
      <c r="C8" s="231">
        <v>78.0</v>
      </c>
      <c r="D8" s="236">
        <v>70.0</v>
      </c>
      <c r="E8" s="231">
        <v>46.0</v>
      </c>
      <c r="F8" s="234">
        <v>52.0</v>
      </c>
      <c r="G8" s="235">
        <v>45.0</v>
      </c>
      <c r="H8" s="236">
        <v>99.0</v>
      </c>
      <c r="I8" s="252">
        <v>56.0</v>
      </c>
      <c r="J8" s="234">
        <v>42.0</v>
      </c>
      <c r="K8" s="253"/>
      <c r="L8" s="254"/>
      <c r="M8" s="241"/>
      <c r="N8" s="242"/>
      <c r="O8" s="253"/>
      <c r="P8" s="243"/>
      <c r="Q8" s="241"/>
      <c r="R8" s="255"/>
      <c r="S8" s="245"/>
      <c r="T8" s="246"/>
      <c r="U8" s="247"/>
      <c r="V8" s="248"/>
      <c r="W8" s="245"/>
      <c r="X8" s="246"/>
      <c r="Y8" s="247"/>
      <c r="Z8" s="246"/>
      <c r="AA8" s="247"/>
      <c r="AB8" s="249"/>
      <c r="AC8" s="250"/>
      <c r="AD8" s="251"/>
      <c r="AE8" s="206"/>
    </row>
    <row r="9">
      <c r="A9" s="207"/>
      <c r="B9" s="256" t="s">
        <v>124</v>
      </c>
      <c r="C9" s="231">
        <v>36.5</v>
      </c>
      <c r="D9" s="236">
        <v>35.2</v>
      </c>
      <c r="E9" s="231">
        <v>36.1</v>
      </c>
      <c r="F9" s="242"/>
      <c r="G9" s="235">
        <v>35.4</v>
      </c>
      <c r="H9" s="254"/>
      <c r="I9" s="252">
        <v>36.0</v>
      </c>
      <c r="J9" s="234">
        <v>35.9</v>
      </c>
      <c r="K9" s="253"/>
      <c r="L9" s="254"/>
      <c r="M9" s="241"/>
      <c r="N9" s="242"/>
      <c r="O9" s="253"/>
      <c r="P9" s="243"/>
      <c r="Q9" s="241"/>
      <c r="R9" s="255"/>
      <c r="S9" s="245"/>
      <c r="T9" s="246"/>
      <c r="U9" s="247"/>
      <c r="V9" s="248"/>
      <c r="W9" s="245"/>
      <c r="X9" s="246"/>
      <c r="Y9" s="247"/>
      <c r="Z9" s="246"/>
      <c r="AA9" s="247"/>
      <c r="AB9" s="249"/>
      <c r="AC9" s="250"/>
      <c r="AD9" s="251"/>
      <c r="AE9" s="206"/>
    </row>
    <row r="10">
      <c r="A10" s="207"/>
      <c r="B10" s="256" t="s">
        <v>125</v>
      </c>
      <c r="C10" s="231">
        <v>97.0</v>
      </c>
      <c r="D10" s="232">
        <v>98.0</v>
      </c>
      <c r="E10" s="233">
        <v>96.0</v>
      </c>
      <c r="F10" s="234">
        <v>100.0</v>
      </c>
      <c r="G10" s="235">
        <v>96.0</v>
      </c>
      <c r="H10" s="236">
        <v>96.0</v>
      </c>
      <c r="I10" s="237">
        <v>99.0</v>
      </c>
      <c r="J10" s="238">
        <v>97.0</v>
      </c>
      <c r="K10" s="239"/>
      <c r="L10" s="240"/>
      <c r="M10" s="241"/>
      <c r="N10" s="242"/>
      <c r="O10" s="239"/>
      <c r="P10" s="243"/>
      <c r="Q10" s="241"/>
      <c r="R10" s="255"/>
      <c r="S10" s="245"/>
      <c r="T10" s="246"/>
      <c r="U10" s="247"/>
      <c r="V10" s="248"/>
      <c r="W10" s="245"/>
      <c r="X10" s="246"/>
      <c r="Y10" s="247"/>
      <c r="Z10" s="246"/>
      <c r="AA10" s="247"/>
      <c r="AB10" s="249"/>
      <c r="AC10" s="250"/>
      <c r="AD10" s="251"/>
      <c r="AE10" s="206"/>
    </row>
    <row r="11">
      <c r="A11" s="207"/>
      <c r="B11" s="257" t="s">
        <v>126</v>
      </c>
      <c r="C11" s="233">
        <v>0.0</v>
      </c>
      <c r="D11" s="232">
        <v>0.0</v>
      </c>
      <c r="E11" s="233">
        <v>0.0</v>
      </c>
      <c r="F11" s="234">
        <v>0.0</v>
      </c>
      <c r="G11" s="235">
        <v>0.0</v>
      </c>
      <c r="H11" s="236">
        <v>0.0</v>
      </c>
      <c r="I11" s="237">
        <v>0.0</v>
      </c>
      <c r="J11" s="238">
        <v>0.0</v>
      </c>
      <c r="K11" s="239"/>
      <c r="L11" s="240"/>
      <c r="M11" s="241"/>
      <c r="N11" s="242"/>
      <c r="O11" s="239"/>
      <c r="P11" s="243"/>
      <c r="Q11" s="241"/>
      <c r="R11" s="255"/>
      <c r="S11" s="245"/>
      <c r="T11" s="246"/>
      <c r="U11" s="247"/>
      <c r="V11" s="248"/>
      <c r="W11" s="245"/>
      <c r="X11" s="246"/>
      <c r="Y11" s="247"/>
      <c r="Z11" s="246"/>
      <c r="AA11" s="247"/>
      <c r="AB11" s="249"/>
      <c r="AC11" s="250"/>
      <c r="AD11" s="251"/>
      <c r="AE11" s="206"/>
    </row>
    <row r="12">
      <c r="A12" s="207"/>
      <c r="B12" s="258"/>
      <c r="C12" s="233" t="s">
        <v>127</v>
      </c>
      <c r="D12" s="259" t="s">
        <v>127</v>
      </c>
      <c r="E12" s="233" t="s">
        <v>127</v>
      </c>
      <c r="F12" s="259"/>
      <c r="G12" s="233" t="s">
        <v>127</v>
      </c>
      <c r="H12" s="259" t="s">
        <v>127</v>
      </c>
      <c r="I12" s="237"/>
      <c r="J12" s="259" t="s">
        <v>127</v>
      </c>
      <c r="K12" s="233" t="s">
        <v>127</v>
      </c>
      <c r="L12" s="259"/>
      <c r="M12" s="233"/>
      <c r="N12" s="259"/>
      <c r="O12" s="233"/>
      <c r="P12" s="260"/>
      <c r="Q12" s="233"/>
      <c r="R12" s="259"/>
      <c r="S12" s="233"/>
      <c r="T12" s="259"/>
      <c r="U12" s="233"/>
      <c r="V12" s="259"/>
      <c r="W12" s="233"/>
      <c r="X12" s="259"/>
      <c r="Y12" s="233"/>
      <c r="Z12" s="259"/>
      <c r="AA12" s="233"/>
      <c r="AB12" s="259"/>
      <c r="AC12" s="233"/>
      <c r="AD12" s="260"/>
      <c r="AE12" s="206"/>
    </row>
    <row r="13">
      <c r="A13" s="207"/>
      <c r="B13" s="257" t="s">
        <v>128</v>
      </c>
      <c r="C13" s="233">
        <v>-5.0</v>
      </c>
      <c r="D13" s="232">
        <v>-4.0</v>
      </c>
      <c r="E13" s="233">
        <v>-5.0</v>
      </c>
      <c r="F13" s="238">
        <v>-3.0</v>
      </c>
      <c r="G13" s="259">
        <v>-4.0</v>
      </c>
      <c r="H13" s="232">
        <v>-5.0</v>
      </c>
      <c r="I13" s="237">
        <v>-5.0</v>
      </c>
      <c r="J13" s="238">
        <v>-5.0</v>
      </c>
      <c r="K13" s="259">
        <v>-5.0</v>
      </c>
      <c r="L13" s="240"/>
      <c r="M13" s="241"/>
      <c r="N13" s="255"/>
      <c r="O13" s="239"/>
      <c r="P13" s="243"/>
      <c r="Q13" s="241"/>
      <c r="R13" s="255"/>
      <c r="S13" s="245"/>
      <c r="T13" s="246"/>
      <c r="U13" s="247"/>
      <c r="V13" s="248"/>
      <c r="W13" s="245"/>
      <c r="X13" s="246"/>
      <c r="Y13" s="247"/>
      <c r="Z13" s="246"/>
      <c r="AA13" s="247"/>
      <c r="AB13" s="249"/>
      <c r="AC13" s="250"/>
      <c r="AD13" s="251"/>
      <c r="AE13" s="206"/>
    </row>
    <row r="14">
      <c r="A14" s="207"/>
      <c r="B14" s="258"/>
      <c r="C14" s="233" t="s">
        <v>129</v>
      </c>
      <c r="D14" s="259" t="s">
        <v>129</v>
      </c>
      <c r="E14" s="233" t="s">
        <v>129</v>
      </c>
      <c r="F14" s="259"/>
      <c r="G14" s="233" t="s">
        <v>130</v>
      </c>
      <c r="H14" s="259" t="s">
        <v>131</v>
      </c>
      <c r="I14" s="237" t="s">
        <v>132</v>
      </c>
      <c r="J14" s="259" t="s">
        <v>132</v>
      </c>
      <c r="K14" s="233" t="s">
        <v>129</v>
      </c>
      <c r="L14" s="259"/>
      <c r="M14" s="233"/>
      <c r="N14" s="259"/>
      <c r="O14" s="233"/>
      <c r="P14" s="260"/>
      <c r="Q14" s="233"/>
      <c r="R14" s="259"/>
      <c r="S14" s="233"/>
      <c r="T14" s="259"/>
      <c r="U14" s="233"/>
      <c r="V14" s="259"/>
      <c r="W14" s="233"/>
      <c r="X14" s="259"/>
      <c r="Y14" s="233"/>
      <c r="Z14" s="259"/>
      <c r="AA14" s="233"/>
      <c r="AB14" s="259"/>
      <c r="AC14" s="233"/>
      <c r="AD14" s="261"/>
      <c r="AE14" s="206"/>
    </row>
    <row r="15">
      <c r="A15" s="207"/>
      <c r="B15" s="262" t="s">
        <v>133</v>
      </c>
      <c r="C15" s="233" t="s">
        <v>134</v>
      </c>
      <c r="D15" s="259" t="s">
        <v>134</v>
      </c>
      <c r="E15" s="233" t="s">
        <v>134</v>
      </c>
      <c r="F15" s="259"/>
      <c r="G15" s="233" t="s">
        <v>134</v>
      </c>
      <c r="H15" s="259" t="s">
        <v>134</v>
      </c>
      <c r="I15" s="237" t="s">
        <v>134</v>
      </c>
      <c r="J15" s="259" t="s">
        <v>134</v>
      </c>
      <c r="K15" s="233" t="s">
        <v>134</v>
      </c>
      <c r="L15" s="263"/>
      <c r="M15" s="264"/>
      <c r="N15" s="263"/>
      <c r="O15" s="264"/>
      <c r="P15" s="265"/>
      <c r="Q15" s="264"/>
      <c r="R15" s="263"/>
      <c r="S15" s="264"/>
      <c r="T15" s="263"/>
      <c r="U15" s="264"/>
      <c r="V15" s="263"/>
      <c r="W15" s="264"/>
      <c r="X15" s="263"/>
      <c r="Y15" s="264"/>
      <c r="Z15" s="266"/>
      <c r="AA15" s="264"/>
      <c r="AB15" s="267"/>
      <c r="AC15" s="263"/>
      <c r="AD15" s="268"/>
      <c r="AE15" s="206"/>
    </row>
    <row r="16">
      <c r="A16" s="207"/>
      <c r="C16" s="233"/>
      <c r="D16" s="263"/>
      <c r="E16" s="233"/>
      <c r="F16" s="263"/>
      <c r="G16" s="233"/>
      <c r="H16" s="263"/>
      <c r="I16" s="269"/>
      <c r="J16" s="263"/>
      <c r="K16" s="264"/>
      <c r="L16" s="263"/>
      <c r="M16" s="264"/>
      <c r="N16" s="263"/>
      <c r="O16" s="264"/>
      <c r="P16" s="265"/>
      <c r="Q16" s="264"/>
      <c r="R16" s="263"/>
      <c r="S16" s="264"/>
      <c r="T16" s="263"/>
      <c r="U16" s="264"/>
      <c r="V16" s="263"/>
      <c r="W16" s="264"/>
      <c r="X16" s="263"/>
      <c r="Y16" s="264"/>
      <c r="Z16" s="263"/>
      <c r="AA16" s="264"/>
      <c r="AB16" s="263"/>
      <c r="AC16" s="264"/>
      <c r="AD16" s="270"/>
      <c r="AE16" s="206"/>
    </row>
    <row r="17" ht="15.75" customHeight="1">
      <c r="A17" s="207"/>
      <c r="B17" s="271" t="s">
        <v>135</v>
      </c>
      <c r="C17" s="233"/>
      <c r="D17" s="232"/>
      <c r="E17" s="233"/>
      <c r="F17" s="255"/>
      <c r="G17" s="259"/>
      <c r="H17" s="240"/>
      <c r="I17" s="272"/>
      <c r="J17" s="238"/>
      <c r="K17" s="259"/>
      <c r="L17" s="240"/>
      <c r="M17" s="241"/>
      <c r="N17" s="255"/>
      <c r="O17" s="239"/>
      <c r="P17" s="243"/>
      <c r="Q17" s="241"/>
      <c r="R17" s="255"/>
      <c r="S17" s="245"/>
      <c r="T17" s="246"/>
      <c r="U17" s="247"/>
      <c r="V17" s="248"/>
      <c r="W17" s="245"/>
      <c r="X17" s="246"/>
      <c r="Y17" s="247"/>
      <c r="Z17" s="246"/>
      <c r="AA17" s="247"/>
      <c r="AB17" s="249"/>
      <c r="AC17" s="250"/>
      <c r="AD17" s="251"/>
      <c r="AE17" s="206"/>
    </row>
    <row r="18">
      <c r="A18" s="207"/>
      <c r="B18" s="273"/>
      <c r="C18" s="233"/>
      <c r="D18" s="259"/>
      <c r="E18" s="233"/>
      <c r="F18" s="274"/>
      <c r="G18" s="233"/>
      <c r="H18" s="274" t="s">
        <v>136</v>
      </c>
      <c r="I18" s="237" t="s">
        <v>136</v>
      </c>
      <c r="J18" s="274" t="s">
        <v>136</v>
      </c>
      <c r="K18" s="233" t="s">
        <v>136</v>
      </c>
      <c r="L18" s="274"/>
      <c r="M18" s="233"/>
      <c r="N18" s="274"/>
      <c r="O18" s="233"/>
      <c r="P18" s="261"/>
      <c r="Q18" s="233"/>
      <c r="R18" s="274"/>
      <c r="S18" s="233"/>
      <c r="T18" s="274"/>
      <c r="U18" s="233"/>
      <c r="V18" s="274"/>
      <c r="W18" s="233"/>
      <c r="X18" s="274"/>
      <c r="Y18" s="233"/>
      <c r="Z18" s="274"/>
      <c r="AA18" s="233"/>
      <c r="AB18" s="274"/>
      <c r="AC18" s="233"/>
      <c r="AD18" s="261"/>
      <c r="AE18" s="206"/>
    </row>
    <row r="19">
      <c r="A19" s="275"/>
      <c r="B19" s="276" t="s">
        <v>111</v>
      </c>
      <c r="C19" s="277" t="s">
        <v>137</v>
      </c>
      <c r="D19" s="278" t="s">
        <v>137</v>
      </c>
      <c r="E19" s="277"/>
      <c r="F19" s="278"/>
      <c r="G19" s="277"/>
      <c r="H19" s="278" t="s">
        <v>137</v>
      </c>
      <c r="I19" s="279" t="s">
        <v>137</v>
      </c>
      <c r="J19" s="278" t="s">
        <v>137</v>
      </c>
      <c r="K19" s="277" t="s">
        <v>137</v>
      </c>
      <c r="L19" s="278"/>
      <c r="M19" s="277"/>
      <c r="N19" s="278"/>
      <c r="O19" s="277"/>
      <c r="P19" s="280"/>
      <c r="Q19" s="277"/>
      <c r="R19" s="278"/>
      <c r="S19" s="277"/>
      <c r="T19" s="278"/>
      <c r="U19" s="277"/>
      <c r="V19" s="278"/>
      <c r="W19" s="277"/>
      <c r="X19" s="278"/>
      <c r="Y19" s="277"/>
      <c r="Z19" s="278"/>
      <c r="AA19" s="277"/>
      <c r="AB19" s="278"/>
      <c r="AC19" s="277"/>
      <c r="AD19" s="280"/>
      <c r="AE19" s="206"/>
    </row>
    <row r="20">
      <c r="A20" s="281" t="s">
        <v>138</v>
      </c>
      <c r="B20" s="282" t="s">
        <v>139</v>
      </c>
      <c r="C20" s="283">
        <v>7.3</v>
      </c>
      <c r="D20" s="214">
        <v>7.38</v>
      </c>
      <c r="E20" s="211">
        <v>7.37</v>
      </c>
      <c r="F20" s="284">
        <v>7.29</v>
      </c>
      <c r="G20" s="285">
        <v>7.42</v>
      </c>
      <c r="H20" s="286">
        <v>7.15</v>
      </c>
      <c r="I20" s="287">
        <v>7.28</v>
      </c>
      <c r="J20" s="284">
        <v>7.32</v>
      </c>
      <c r="K20" s="285">
        <v>7.22</v>
      </c>
      <c r="L20" s="286">
        <v>7.18</v>
      </c>
      <c r="M20" s="225"/>
      <c r="N20" s="226"/>
      <c r="O20" s="223"/>
      <c r="P20" s="221"/>
      <c r="Q20" s="219"/>
      <c r="R20" s="222"/>
      <c r="S20" s="223"/>
      <c r="T20" s="224"/>
      <c r="U20" s="225"/>
      <c r="V20" s="226"/>
      <c r="W20" s="223"/>
      <c r="X20" s="224"/>
      <c r="Y20" s="225"/>
      <c r="Z20" s="226"/>
      <c r="AA20" s="288"/>
      <c r="AB20" s="289"/>
      <c r="AC20" s="290"/>
      <c r="AD20" s="291"/>
      <c r="AE20" s="206"/>
    </row>
    <row r="21">
      <c r="A21" s="292"/>
      <c r="B21" s="293" t="s">
        <v>140</v>
      </c>
      <c r="C21" s="233">
        <v>44.0</v>
      </c>
      <c r="D21" s="236">
        <v>37.0</v>
      </c>
      <c r="E21" s="233">
        <v>58.9</v>
      </c>
      <c r="F21" s="118">
        <v>44.0</v>
      </c>
      <c r="G21" s="294">
        <v>34.0</v>
      </c>
      <c r="H21" s="295">
        <v>72.2</v>
      </c>
      <c r="I21" s="296">
        <v>53.0</v>
      </c>
      <c r="J21" s="118">
        <v>53.5</v>
      </c>
      <c r="K21" s="294">
        <v>58.0</v>
      </c>
      <c r="L21" s="295">
        <v>59.7</v>
      </c>
      <c r="M21" s="247"/>
      <c r="N21" s="248"/>
      <c r="O21" s="245"/>
      <c r="P21" s="243"/>
      <c r="Q21" s="241"/>
      <c r="R21" s="255"/>
      <c r="S21" s="245"/>
      <c r="T21" s="246"/>
      <c r="U21" s="247"/>
      <c r="V21" s="248"/>
      <c r="W21" s="245"/>
      <c r="X21" s="246"/>
      <c r="Y21" s="247"/>
      <c r="Z21" s="248"/>
      <c r="AA21" s="297"/>
      <c r="AB21" s="249"/>
      <c r="AC21" s="298"/>
      <c r="AD21" s="251"/>
      <c r="AE21" s="206"/>
    </row>
    <row r="22" ht="15.75" customHeight="1">
      <c r="A22" s="292"/>
      <c r="B22" s="293" t="s">
        <v>141</v>
      </c>
      <c r="C22" s="233">
        <v>87.4</v>
      </c>
      <c r="D22" s="236">
        <v>77.5</v>
      </c>
      <c r="E22" s="233">
        <v>40.9</v>
      </c>
      <c r="F22" s="118">
        <v>64.0</v>
      </c>
      <c r="G22" s="294">
        <v>53.9</v>
      </c>
      <c r="H22" s="295">
        <v>61.0</v>
      </c>
      <c r="I22" s="296">
        <v>63.0</v>
      </c>
      <c r="J22" s="118">
        <v>74.4</v>
      </c>
      <c r="K22" s="294">
        <v>64.0</v>
      </c>
      <c r="L22" s="295">
        <v>75.6</v>
      </c>
      <c r="M22" s="247"/>
      <c r="N22" s="248"/>
      <c r="O22" s="245"/>
      <c r="P22" s="243"/>
      <c r="Q22" s="241"/>
      <c r="R22" s="255"/>
      <c r="S22" s="245"/>
      <c r="T22" s="246"/>
      <c r="U22" s="247"/>
      <c r="V22" s="248"/>
      <c r="W22" s="245"/>
      <c r="X22" s="246"/>
      <c r="Y22" s="247"/>
      <c r="Z22" s="248"/>
      <c r="AA22" s="297"/>
      <c r="AB22" s="249"/>
      <c r="AC22" s="298"/>
      <c r="AD22" s="251"/>
      <c r="AE22" s="206"/>
    </row>
    <row r="23" ht="15.75" customHeight="1">
      <c r="A23" s="292"/>
      <c r="B23" s="293" t="s">
        <v>142</v>
      </c>
      <c r="C23" s="233">
        <v>21.6</v>
      </c>
      <c r="D23" s="236">
        <v>21.5</v>
      </c>
      <c r="E23" s="233">
        <v>23.4</v>
      </c>
      <c r="F23" s="118">
        <v>23.0</v>
      </c>
      <c r="G23" s="294">
        <v>21.6</v>
      </c>
      <c r="H23" s="295">
        <v>24.0</v>
      </c>
      <c r="I23" s="296">
        <v>24.0</v>
      </c>
      <c r="J23" s="118">
        <v>27.4</v>
      </c>
      <c r="K23" s="294">
        <v>24.0</v>
      </c>
      <c r="L23" s="295">
        <v>22.2</v>
      </c>
      <c r="M23" s="247"/>
      <c r="N23" s="248"/>
      <c r="O23" s="245"/>
      <c r="P23" s="243"/>
      <c r="Q23" s="241"/>
      <c r="R23" s="255"/>
      <c r="S23" s="245"/>
      <c r="T23" s="246"/>
      <c r="U23" s="247"/>
      <c r="V23" s="248"/>
      <c r="W23" s="245"/>
      <c r="X23" s="246"/>
      <c r="Y23" s="247"/>
      <c r="Z23" s="248"/>
      <c r="AA23" s="297"/>
      <c r="AB23" s="249"/>
      <c r="AC23" s="298"/>
      <c r="AD23" s="251"/>
      <c r="AE23" s="206"/>
    </row>
    <row r="24" ht="15.75" customHeight="1">
      <c r="A24" s="292"/>
      <c r="B24" s="293" t="s">
        <v>143</v>
      </c>
      <c r="C24" s="233">
        <v>-4.5</v>
      </c>
      <c r="D24" s="254"/>
      <c r="E24" s="233">
        <v>-1.7</v>
      </c>
      <c r="F24" s="118">
        <v>-4.0</v>
      </c>
      <c r="G24" s="294">
        <v>-2.0</v>
      </c>
      <c r="H24" s="295">
        <v>-6.0</v>
      </c>
      <c r="I24" s="296">
        <v>-5.0</v>
      </c>
      <c r="J24" s="118">
        <v>0.3</v>
      </c>
      <c r="K24" s="294">
        <v>-4.7</v>
      </c>
      <c r="L24" s="295">
        <v>-6.9</v>
      </c>
      <c r="M24" s="247"/>
      <c r="N24" s="248"/>
      <c r="O24" s="245"/>
      <c r="P24" s="243"/>
      <c r="Q24" s="241"/>
      <c r="R24" s="255"/>
      <c r="S24" s="245"/>
      <c r="T24" s="246"/>
      <c r="U24" s="247"/>
      <c r="V24" s="248"/>
      <c r="W24" s="245"/>
      <c r="X24" s="246"/>
      <c r="Y24" s="247"/>
      <c r="Z24" s="248"/>
      <c r="AA24" s="297"/>
      <c r="AB24" s="249"/>
      <c r="AC24" s="298"/>
      <c r="AD24" s="251"/>
      <c r="AE24" s="206"/>
    </row>
    <row r="25" ht="15.75" customHeight="1">
      <c r="A25" s="292"/>
      <c r="B25" s="299" t="s">
        <v>144</v>
      </c>
      <c r="C25" s="233">
        <v>95.0</v>
      </c>
      <c r="D25" s="236">
        <v>94.5</v>
      </c>
      <c r="E25" s="233">
        <v>89.3</v>
      </c>
      <c r="F25" s="118">
        <v>99.0</v>
      </c>
      <c r="G25" s="294">
        <v>88.0</v>
      </c>
      <c r="H25" s="295">
        <v>81.0</v>
      </c>
      <c r="I25" s="296">
        <v>99.0</v>
      </c>
      <c r="J25" s="118">
        <v>93.5</v>
      </c>
      <c r="K25" s="294">
        <v>86.0</v>
      </c>
      <c r="L25" s="295">
        <v>90.1</v>
      </c>
      <c r="M25" s="247"/>
      <c r="N25" s="248"/>
      <c r="O25" s="245"/>
      <c r="P25" s="243"/>
      <c r="Q25" s="241"/>
      <c r="R25" s="255"/>
      <c r="S25" s="245"/>
      <c r="T25" s="246"/>
      <c r="U25" s="247"/>
      <c r="V25" s="248"/>
      <c r="W25" s="245"/>
      <c r="X25" s="246"/>
      <c r="Y25" s="247"/>
      <c r="Z25" s="248"/>
      <c r="AA25" s="297"/>
      <c r="AB25" s="249"/>
      <c r="AC25" s="298"/>
      <c r="AD25" s="251"/>
      <c r="AE25" s="206"/>
    </row>
    <row r="26" ht="15.75" customHeight="1">
      <c r="A26" s="292"/>
      <c r="B26" s="293" t="s">
        <v>145</v>
      </c>
      <c r="C26" s="247"/>
      <c r="D26" s="246"/>
      <c r="E26" s="247"/>
      <c r="F26" s="248"/>
      <c r="G26" s="245"/>
      <c r="H26" s="246"/>
      <c r="I26" s="300"/>
      <c r="J26" s="248"/>
      <c r="K26" s="245"/>
      <c r="L26" s="246"/>
      <c r="M26" s="247"/>
      <c r="N26" s="248"/>
      <c r="O26" s="245"/>
      <c r="P26" s="243"/>
      <c r="Q26" s="241"/>
      <c r="R26" s="255"/>
      <c r="S26" s="245"/>
      <c r="T26" s="246"/>
      <c r="U26" s="247"/>
      <c r="V26" s="248"/>
      <c r="W26" s="245"/>
      <c r="X26" s="246"/>
      <c r="Y26" s="247"/>
      <c r="Z26" s="248"/>
      <c r="AA26" s="297"/>
      <c r="AB26" s="249"/>
      <c r="AC26" s="298"/>
      <c r="AD26" s="251"/>
      <c r="AE26" s="206"/>
    </row>
    <row r="27" ht="15.75" customHeight="1">
      <c r="A27" s="292"/>
      <c r="B27" s="301" t="s">
        <v>146</v>
      </c>
      <c r="C27" s="302">
        <v>0.4</v>
      </c>
      <c r="D27" s="303">
        <v>0.3</v>
      </c>
      <c r="E27" s="302">
        <v>0.3</v>
      </c>
      <c r="F27" s="303">
        <v>0.4</v>
      </c>
      <c r="G27" s="302">
        <v>0.35</v>
      </c>
      <c r="H27" s="303">
        <v>0.45</v>
      </c>
      <c r="I27" s="304">
        <v>0.4</v>
      </c>
      <c r="J27" s="303">
        <v>0.4</v>
      </c>
      <c r="K27" s="302">
        <v>0.4</v>
      </c>
      <c r="L27" s="303">
        <v>0.7</v>
      </c>
      <c r="M27" s="302"/>
      <c r="N27" s="303"/>
      <c r="O27" s="302"/>
      <c r="P27" s="305"/>
      <c r="Q27" s="302"/>
      <c r="R27" s="303"/>
      <c r="S27" s="302"/>
      <c r="T27" s="303"/>
      <c r="U27" s="302"/>
      <c r="V27" s="303"/>
      <c r="W27" s="302"/>
      <c r="X27" s="303"/>
      <c r="Y27" s="302"/>
      <c r="Z27" s="303"/>
      <c r="AA27" s="302"/>
      <c r="AB27" s="303"/>
      <c r="AC27" s="302"/>
      <c r="AD27" s="305"/>
      <c r="AE27" s="306"/>
    </row>
    <row r="28" ht="15.75" customHeight="1">
      <c r="A28" s="307"/>
      <c r="B28" s="308" t="s">
        <v>147</v>
      </c>
      <c r="C28" s="309">
        <f t="shared" ref="C28:AD28" si="1">IF(AND(C22&gt;0,C27&gt;0),C22/C27,"")</f>
        <v>218.5</v>
      </c>
      <c r="D28" s="310">
        <f t="shared" si="1"/>
        <v>258.3333333</v>
      </c>
      <c r="E28" s="309">
        <f t="shared" si="1"/>
        <v>136.3333333</v>
      </c>
      <c r="F28" s="311">
        <f t="shared" si="1"/>
        <v>160</v>
      </c>
      <c r="G28" s="312">
        <f t="shared" si="1"/>
        <v>154</v>
      </c>
      <c r="H28" s="310">
        <f t="shared" si="1"/>
        <v>135.5555556</v>
      </c>
      <c r="I28" s="309">
        <f t="shared" si="1"/>
        <v>157.5</v>
      </c>
      <c r="J28" s="311">
        <f t="shared" si="1"/>
        <v>186</v>
      </c>
      <c r="K28" s="312">
        <f t="shared" si="1"/>
        <v>160</v>
      </c>
      <c r="L28" s="310">
        <f t="shared" si="1"/>
        <v>108</v>
      </c>
      <c r="M28" s="309" t="str">
        <f t="shared" si="1"/>
        <v/>
      </c>
      <c r="N28" s="311" t="str">
        <f t="shared" si="1"/>
        <v/>
      </c>
      <c r="O28" s="312" t="str">
        <f t="shared" si="1"/>
        <v/>
      </c>
      <c r="P28" s="310" t="str">
        <f t="shared" si="1"/>
        <v/>
      </c>
      <c r="Q28" s="309" t="str">
        <f t="shared" si="1"/>
        <v/>
      </c>
      <c r="R28" s="311" t="str">
        <f t="shared" si="1"/>
        <v/>
      </c>
      <c r="S28" s="312" t="str">
        <f t="shared" si="1"/>
        <v/>
      </c>
      <c r="T28" s="310" t="str">
        <f t="shared" si="1"/>
        <v/>
      </c>
      <c r="U28" s="309" t="str">
        <f t="shared" si="1"/>
        <v/>
      </c>
      <c r="V28" s="311" t="str">
        <f t="shared" si="1"/>
        <v/>
      </c>
      <c r="W28" s="312" t="str">
        <f t="shared" si="1"/>
        <v/>
      </c>
      <c r="X28" s="310" t="str">
        <f t="shared" si="1"/>
        <v/>
      </c>
      <c r="Y28" s="309" t="str">
        <f t="shared" si="1"/>
        <v/>
      </c>
      <c r="Z28" s="311" t="str">
        <f t="shared" si="1"/>
        <v/>
      </c>
      <c r="AA28" s="313" t="str">
        <f t="shared" si="1"/>
        <v/>
      </c>
      <c r="AB28" s="314" t="str">
        <f t="shared" si="1"/>
        <v/>
      </c>
      <c r="AC28" s="315" t="str">
        <f t="shared" si="1"/>
        <v/>
      </c>
      <c r="AD28" s="314" t="str">
        <f t="shared" si="1"/>
        <v/>
      </c>
      <c r="AE28" s="316"/>
    </row>
    <row r="29" ht="15.75" customHeight="1">
      <c r="A29" s="281" t="s">
        <v>148</v>
      </c>
      <c r="B29" s="282" t="s">
        <v>149</v>
      </c>
      <c r="C29" s="211" t="s">
        <v>150</v>
      </c>
      <c r="D29" s="317" t="s">
        <v>150</v>
      </c>
      <c r="E29" s="211" t="s">
        <v>150</v>
      </c>
      <c r="F29" s="317" t="s">
        <v>151</v>
      </c>
      <c r="G29" s="211" t="s">
        <v>151</v>
      </c>
      <c r="H29" s="317" t="s">
        <v>150</v>
      </c>
      <c r="I29" s="215" t="s">
        <v>150</v>
      </c>
      <c r="J29" s="317" t="s">
        <v>150</v>
      </c>
      <c r="K29" s="211" t="s">
        <v>150</v>
      </c>
      <c r="L29" s="318"/>
      <c r="M29" s="319"/>
      <c r="N29" s="318"/>
      <c r="O29" s="319"/>
      <c r="P29" s="320"/>
      <c r="Q29" s="319"/>
      <c r="R29" s="318"/>
      <c r="S29" s="319"/>
      <c r="T29" s="318"/>
      <c r="U29" s="319"/>
      <c r="V29" s="318"/>
      <c r="W29" s="319"/>
      <c r="X29" s="318"/>
      <c r="Y29" s="319"/>
      <c r="Z29" s="318"/>
      <c r="AA29" s="319"/>
      <c r="AB29" s="321"/>
      <c r="AC29" s="319"/>
      <c r="AD29" s="322"/>
      <c r="AE29" s="206"/>
    </row>
    <row r="30" ht="15.75" customHeight="1">
      <c r="A30" s="292"/>
      <c r="B30" s="293" t="s">
        <v>152</v>
      </c>
      <c r="C30" s="233">
        <v>450.0</v>
      </c>
      <c r="D30" s="232">
        <v>450.0</v>
      </c>
      <c r="E30" s="233">
        <v>500.0</v>
      </c>
      <c r="F30" s="234">
        <v>28.0</v>
      </c>
      <c r="G30" s="235">
        <v>18.0</v>
      </c>
      <c r="H30" s="236">
        <v>530.0</v>
      </c>
      <c r="I30" s="237">
        <v>440.0</v>
      </c>
      <c r="J30" s="238">
        <v>420.0</v>
      </c>
      <c r="K30" s="259">
        <v>420.0</v>
      </c>
      <c r="L30" s="240"/>
      <c r="M30" s="241"/>
      <c r="N30" s="242"/>
      <c r="O30" s="239"/>
      <c r="P30" s="243"/>
      <c r="Q30" s="241"/>
      <c r="R30" s="255"/>
      <c r="S30" s="245"/>
      <c r="T30" s="246"/>
      <c r="U30" s="247"/>
      <c r="V30" s="248"/>
      <c r="W30" s="245"/>
      <c r="X30" s="246"/>
      <c r="Y30" s="247"/>
      <c r="Z30" s="248"/>
      <c r="AA30" s="297"/>
      <c r="AB30" s="249"/>
      <c r="AC30" s="298"/>
      <c r="AD30" s="251"/>
      <c r="AE30" s="206"/>
    </row>
    <row r="31" ht="15.75" customHeight="1">
      <c r="A31" s="292"/>
      <c r="B31" s="293" t="s">
        <v>153</v>
      </c>
      <c r="C31" s="233">
        <v>22.0</v>
      </c>
      <c r="D31" s="232">
        <v>24.0</v>
      </c>
      <c r="E31" s="233">
        <v>28.0</v>
      </c>
      <c r="F31" s="234">
        <v>12.0</v>
      </c>
      <c r="G31" s="235">
        <v>19.0</v>
      </c>
      <c r="H31" s="236">
        <v>26.0</v>
      </c>
      <c r="I31" s="237">
        <v>29.0</v>
      </c>
      <c r="J31" s="238">
        <v>30.0</v>
      </c>
      <c r="K31" s="259">
        <v>28.0</v>
      </c>
      <c r="L31" s="240"/>
      <c r="M31" s="241"/>
      <c r="N31" s="242"/>
      <c r="O31" s="253"/>
      <c r="P31" s="243"/>
      <c r="Q31" s="241"/>
      <c r="R31" s="255"/>
      <c r="S31" s="245"/>
      <c r="T31" s="246"/>
      <c r="U31" s="247"/>
      <c r="V31" s="248"/>
      <c r="W31" s="245"/>
      <c r="X31" s="246"/>
      <c r="Y31" s="247"/>
      <c r="Z31" s="248"/>
      <c r="AA31" s="297"/>
      <c r="AB31" s="249"/>
      <c r="AC31" s="298"/>
      <c r="AD31" s="251"/>
      <c r="AE31" s="206"/>
    </row>
    <row r="32" ht="15.75" customHeight="1">
      <c r="A32" s="292"/>
      <c r="B32" s="293" t="s">
        <v>154</v>
      </c>
      <c r="C32" s="233">
        <v>12.0</v>
      </c>
      <c r="D32" s="232">
        <v>12.0</v>
      </c>
      <c r="E32" s="233">
        <v>12.0</v>
      </c>
      <c r="F32" s="234">
        <v>12.0</v>
      </c>
      <c r="G32" s="235">
        <v>10.0</v>
      </c>
      <c r="H32" s="236">
        <v>10.0</v>
      </c>
      <c r="I32" s="237">
        <v>12.0</v>
      </c>
      <c r="J32" s="238">
        <v>12.0</v>
      </c>
      <c r="K32" s="259">
        <v>10.0</v>
      </c>
      <c r="L32" s="240"/>
      <c r="M32" s="241"/>
      <c r="N32" s="242"/>
      <c r="O32" s="239"/>
      <c r="P32" s="243"/>
      <c r="Q32" s="241"/>
      <c r="R32" s="255"/>
      <c r="S32" s="245"/>
      <c r="T32" s="246"/>
      <c r="U32" s="247"/>
      <c r="V32" s="248"/>
      <c r="W32" s="245"/>
      <c r="X32" s="246"/>
      <c r="Y32" s="247"/>
      <c r="Z32" s="248"/>
      <c r="AA32" s="297"/>
      <c r="AB32" s="249"/>
      <c r="AC32" s="298"/>
      <c r="AD32" s="251"/>
      <c r="AE32" s="206"/>
    </row>
    <row r="33" ht="15.75" customHeight="1">
      <c r="A33" s="292"/>
      <c r="B33" s="293" t="s">
        <v>155</v>
      </c>
      <c r="C33" s="233">
        <v>0.4</v>
      </c>
      <c r="D33" s="232">
        <v>0.3</v>
      </c>
      <c r="E33" s="233">
        <v>0.3</v>
      </c>
      <c r="F33" s="234">
        <v>40.0</v>
      </c>
      <c r="G33" s="235">
        <v>0.45</v>
      </c>
      <c r="H33" s="236">
        <v>0.45</v>
      </c>
      <c r="I33" s="237">
        <v>0.4</v>
      </c>
      <c r="J33" s="238">
        <v>0.4</v>
      </c>
      <c r="K33" s="259">
        <v>0.3</v>
      </c>
      <c r="L33" s="240"/>
      <c r="M33" s="241"/>
      <c r="N33" s="242"/>
      <c r="O33" s="239"/>
      <c r="P33" s="243"/>
      <c r="Q33" s="241"/>
      <c r="R33" s="255"/>
      <c r="S33" s="245"/>
      <c r="T33" s="246"/>
      <c r="U33" s="247"/>
      <c r="V33" s="248"/>
      <c r="W33" s="245"/>
      <c r="X33" s="246"/>
      <c r="Y33" s="247"/>
      <c r="Z33" s="248"/>
      <c r="AA33" s="297"/>
      <c r="AB33" s="249"/>
      <c r="AC33" s="298"/>
      <c r="AD33" s="251"/>
      <c r="AE33" s="206"/>
    </row>
    <row r="34" ht="15.75" customHeight="1">
      <c r="A34" s="292"/>
      <c r="B34" s="323" t="s">
        <v>156</v>
      </c>
      <c r="C34" s="231">
        <v>0.8</v>
      </c>
      <c r="D34" s="236">
        <v>0.8</v>
      </c>
      <c r="E34" s="233">
        <v>0.75</v>
      </c>
      <c r="F34" s="234">
        <v>1.0</v>
      </c>
      <c r="G34" s="235">
        <v>0.95</v>
      </c>
      <c r="H34" s="236">
        <v>0.9</v>
      </c>
      <c r="I34" s="237">
        <v>0.75</v>
      </c>
      <c r="J34" s="234">
        <v>0.7</v>
      </c>
      <c r="K34" s="239"/>
      <c r="L34" s="240"/>
      <c r="M34" s="241"/>
      <c r="N34" s="242"/>
      <c r="O34" s="239"/>
      <c r="P34" s="324"/>
      <c r="Q34" s="231"/>
      <c r="R34" s="255"/>
      <c r="S34" s="245"/>
      <c r="T34" s="246"/>
      <c r="U34" s="247"/>
      <c r="V34" s="248"/>
      <c r="W34" s="245"/>
      <c r="X34" s="246"/>
      <c r="Y34" s="247"/>
      <c r="Z34" s="248"/>
      <c r="AA34" s="297"/>
      <c r="AB34" s="249"/>
      <c r="AC34" s="298"/>
      <c r="AD34" s="251"/>
      <c r="AE34" s="206"/>
    </row>
    <row r="35" ht="15.75" customHeight="1">
      <c r="A35" s="292"/>
      <c r="B35" s="323" t="s">
        <v>157</v>
      </c>
      <c r="C35" s="231">
        <v>48.0</v>
      </c>
      <c r="D35" s="236">
        <v>48.0</v>
      </c>
      <c r="E35" s="233">
        <v>55.0</v>
      </c>
      <c r="F35" s="242"/>
      <c r="G35" s="253"/>
      <c r="H35" s="236">
        <v>55.0</v>
      </c>
      <c r="I35" s="237">
        <v>60.0</v>
      </c>
      <c r="J35" s="234">
        <v>50.0</v>
      </c>
      <c r="K35" s="239"/>
      <c r="L35" s="240"/>
      <c r="M35" s="325"/>
      <c r="N35" s="242"/>
      <c r="O35" s="253"/>
      <c r="P35" s="324"/>
      <c r="Q35" s="326"/>
      <c r="R35" s="244"/>
      <c r="S35" s="245"/>
      <c r="T35" s="246"/>
      <c r="U35" s="247"/>
      <c r="V35" s="248"/>
      <c r="W35" s="245"/>
      <c r="X35" s="246"/>
      <c r="Y35" s="247"/>
      <c r="Z35" s="248"/>
      <c r="AA35" s="297"/>
      <c r="AB35" s="249"/>
      <c r="AC35" s="298"/>
      <c r="AD35" s="251"/>
      <c r="AE35" s="206"/>
    </row>
    <row r="36" ht="15.75" customHeight="1">
      <c r="A36" s="292"/>
      <c r="B36" s="301" t="s">
        <v>158</v>
      </c>
      <c r="C36" s="327" t="s">
        <v>159</v>
      </c>
      <c r="D36" s="328" t="s">
        <v>159</v>
      </c>
      <c r="E36" s="327" t="s">
        <v>159</v>
      </c>
      <c r="F36" s="328" t="s">
        <v>160</v>
      </c>
      <c r="G36" s="327" t="s">
        <v>160</v>
      </c>
      <c r="H36" s="328" t="s">
        <v>159</v>
      </c>
      <c r="I36" s="329" t="s">
        <v>159</v>
      </c>
      <c r="J36" s="328" t="s">
        <v>159</v>
      </c>
      <c r="K36" s="327"/>
      <c r="L36" s="328"/>
      <c r="M36" s="327"/>
      <c r="N36" s="328"/>
      <c r="O36" s="327"/>
      <c r="P36" s="330"/>
      <c r="Q36" s="327"/>
      <c r="R36" s="328"/>
      <c r="S36" s="327"/>
      <c r="T36" s="331"/>
      <c r="U36" s="327"/>
      <c r="V36" s="331"/>
      <c r="W36" s="327"/>
      <c r="X36" s="331"/>
      <c r="Y36" s="327"/>
      <c r="Z36" s="331"/>
      <c r="AA36" s="327"/>
      <c r="AB36" s="328"/>
      <c r="AC36" s="327"/>
      <c r="AD36" s="332"/>
      <c r="AE36" s="333"/>
    </row>
    <row r="37" ht="15.75" customHeight="1">
      <c r="A37" s="334" t="s">
        <v>161</v>
      </c>
      <c r="B37" s="282" t="s">
        <v>162</v>
      </c>
      <c r="C37" s="209">
        <v>22.0</v>
      </c>
      <c r="D37" s="216">
        <v>29.0</v>
      </c>
      <c r="E37" s="317">
        <v>28.0</v>
      </c>
      <c r="F37" s="214">
        <v>12.0</v>
      </c>
      <c r="G37" s="209">
        <v>18.0</v>
      </c>
      <c r="H37" s="212">
        <v>26.0</v>
      </c>
      <c r="I37" s="335">
        <v>29.0</v>
      </c>
      <c r="J37" s="210">
        <v>30.0</v>
      </c>
      <c r="K37" s="219"/>
      <c r="L37" s="222"/>
      <c r="M37" s="217"/>
      <c r="N37" s="336"/>
      <c r="O37" s="219"/>
      <c r="P37" s="337"/>
      <c r="Q37" s="338"/>
      <c r="R37" s="218"/>
      <c r="S37" s="225"/>
      <c r="T37" s="226"/>
      <c r="U37" s="223"/>
      <c r="V37" s="224"/>
      <c r="W37" s="225"/>
      <c r="X37" s="226"/>
      <c r="Y37" s="223"/>
      <c r="Z37" s="224"/>
      <c r="AA37" s="225"/>
      <c r="AB37" s="227"/>
      <c r="AC37" s="339"/>
      <c r="AD37" s="229"/>
      <c r="AE37" s="206"/>
    </row>
    <row r="38" ht="15.75" customHeight="1">
      <c r="A38" s="207"/>
      <c r="B38" s="299" t="s">
        <v>163</v>
      </c>
      <c r="C38" s="231">
        <v>433.0</v>
      </c>
      <c r="D38" s="238">
        <v>700.0</v>
      </c>
      <c r="E38" s="259">
        <v>500.0</v>
      </c>
      <c r="F38" s="236">
        <v>880.0</v>
      </c>
      <c r="G38" s="231">
        <v>940.0</v>
      </c>
      <c r="H38" s="234">
        <v>530.0</v>
      </c>
      <c r="I38" s="260">
        <v>440.0</v>
      </c>
      <c r="J38" s="232">
        <v>415.0</v>
      </c>
      <c r="K38" s="241"/>
      <c r="L38" s="255"/>
      <c r="M38" s="253"/>
      <c r="N38" s="254"/>
      <c r="O38" s="241"/>
      <c r="P38" s="340"/>
      <c r="Q38" s="239"/>
      <c r="R38" s="240"/>
      <c r="S38" s="247"/>
      <c r="T38" s="248"/>
      <c r="U38" s="245"/>
      <c r="V38" s="246"/>
      <c r="W38" s="247"/>
      <c r="X38" s="248"/>
      <c r="Y38" s="245"/>
      <c r="Z38" s="246"/>
      <c r="AA38" s="247"/>
      <c r="AB38" s="249"/>
      <c r="AC38" s="341"/>
      <c r="AD38" s="251"/>
      <c r="AE38" s="206"/>
    </row>
    <row r="39" ht="15.75" customHeight="1">
      <c r="A39" s="207"/>
      <c r="B39" s="293" t="s">
        <v>164</v>
      </c>
      <c r="C39" s="231">
        <v>9.4</v>
      </c>
      <c r="D39" s="234">
        <v>13.1</v>
      </c>
      <c r="E39" s="259">
        <v>14.3</v>
      </c>
      <c r="F39" s="236">
        <v>15.1</v>
      </c>
      <c r="G39" s="231">
        <v>16.0</v>
      </c>
      <c r="H39" s="234">
        <v>13.8</v>
      </c>
      <c r="I39" s="260">
        <v>12.5</v>
      </c>
      <c r="J39" s="232">
        <v>12.3</v>
      </c>
      <c r="K39" s="342"/>
      <c r="L39" s="242"/>
      <c r="M39" s="239"/>
      <c r="N39" s="254"/>
      <c r="O39" s="241"/>
      <c r="P39" s="340"/>
      <c r="Q39" s="239"/>
      <c r="R39" s="240"/>
      <c r="S39" s="247"/>
      <c r="T39" s="248"/>
      <c r="U39" s="245"/>
      <c r="V39" s="246"/>
      <c r="W39" s="247"/>
      <c r="X39" s="248"/>
      <c r="Y39" s="245"/>
      <c r="Z39" s="246"/>
      <c r="AA39" s="247"/>
      <c r="AB39" s="249"/>
      <c r="AC39" s="341"/>
      <c r="AD39" s="251"/>
      <c r="AE39" s="206"/>
    </row>
    <row r="40" ht="15.75" customHeight="1">
      <c r="A40" s="207"/>
      <c r="B40" s="293" t="s">
        <v>165</v>
      </c>
      <c r="C40" s="231">
        <v>28.0</v>
      </c>
      <c r="D40" s="238">
        <v>29.0</v>
      </c>
      <c r="E40" s="259">
        <v>34.0</v>
      </c>
      <c r="F40" s="236">
        <v>32.0</v>
      </c>
      <c r="G40" s="231">
        <v>18.0</v>
      </c>
      <c r="H40" s="234">
        <v>39.0</v>
      </c>
      <c r="I40" s="260">
        <v>53.0</v>
      </c>
      <c r="J40" s="232">
        <v>41.0</v>
      </c>
      <c r="K40" s="241"/>
      <c r="L40" s="255"/>
      <c r="M40" s="239"/>
      <c r="N40" s="254"/>
      <c r="O40" s="241"/>
      <c r="P40" s="340"/>
      <c r="Q40" s="343"/>
      <c r="R40" s="240"/>
      <c r="S40" s="247"/>
      <c r="T40" s="248"/>
      <c r="U40" s="245"/>
      <c r="V40" s="246"/>
      <c r="W40" s="247"/>
      <c r="X40" s="248"/>
      <c r="Y40" s="245"/>
      <c r="Z40" s="246"/>
      <c r="AA40" s="247"/>
      <c r="AB40" s="249"/>
      <c r="AC40" s="341"/>
      <c r="AD40" s="251"/>
      <c r="AE40" s="206"/>
    </row>
    <row r="41" ht="15.75" customHeight="1">
      <c r="A41" s="207"/>
      <c r="B41" s="293" t="s">
        <v>166</v>
      </c>
      <c r="C41" s="231">
        <v>21.0</v>
      </c>
      <c r="D41" s="234">
        <v>22.0</v>
      </c>
      <c r="E41" s="235">
        <v>24.0</v>
      </c>
      <c r="F41" s="254"/>
      <c r="G41" s="325"/>
      <c r="H41" s="234">
        <v>26.0</v>
      </c>
      <c r="I41" s="260">
        <v>33.0</v>
      </c>
      <c r="J41" s="232">
        <v>29.0</v>
      </c>
      <c r="K41" s="233">
        <v>30.0</v>
      </c>
      <c r="L41" s="255"/>
      <c r="M41" s="253"/>
      <c r="N41" s="254"/>
      <c r="O41" s="325"/>
      <c r="P41" s="344"/>
      <c r="Q41" s="343"/>
      <c r="R41" s="240"/>
      <c r="S41" s="247"/>
      <c r="T41" s="248"/>
      <c r="U41" s="245"/>
      <c r="V41" s="246"/>
      <c r="W41" s="247"/>
      <c r="X41" s="248"/>
      <c r="Y41" s="245"/>
      <c r="Z41" s="246"/>
      <c r="AA41" s="247"/>
      <c r="AB41" s="249"/>
      <c r="AC41" s="341"/>
      <c r="AD41" s="251"/>
      <c r="AE41" s="206"/>
    </row>
    <row r="42" ht="15.75" customHeight="1">
      <c r="A42" s="207"/>
      <c r="B42" s="293" t="s">
        <v>167</v>
      </c>
      <c r="C42" s="231">
        <v>13.0</v>
      </c>
      <c r="D42" s="234">
        <v>12.0</v>
      </c>
      <c r="E42" s="235">
        <v>13.6</v>
      </c>
      <c r="F42" s="254"/>
      <c r="G42" s="325"/>
      <c r="H42" s="234">
        <v>11.0</v>
      </c>
      <c r="I42" s="260">
        <v>15.0</v>
      </c>
      <c r="J42" s="232">
        <v>13.0</v>
      </c>
      <c r="K42" s="233">
        <v>11.0</v>
      </c>
      <c r="L42" s="255"/>
      <c r="M42" s="253"/>
      <c r="N42" s="254"/>
      <c r="O42" s="325"/>
      <c r="P42" s="344"/>
      <c r="Q42" s="343"/>
      <c r="R42" s="240"/>
      <c r="S42" s="247"/>
      <c r="T42" s="248"/>
      <c r="U42" s="245"/>
      <c r="V42" s="246"/>
      <c r="W42" s="247"/>
      <c r="X42" s="248"/>
      <c r="Y42" s="245"/>
      <c r="Z42" s="246"/>
      <c r="AA42" s="247"/>
      <c r="AB42" s="249"/>
      <c r="AC42" s="341"/>
      <c r="AD42" s="251"/>
      <c r="AE42" s="206"/>
    </row>
    <row r="43" ht="15.75" customHeight="1">
      <c r="A43" s="207"/>
      <c r="B43" s="301" t="s">
        <v>168</v>
      </c>
      <c r="C43" s="327" t="s">
        <v>169</v>
      </c>
      <c r="D43" s="345" t="s">
        <v>96</v>
      </c>
      <c r="E43" s="331" t="s">
        <v>169</v>
      </c>
      <c r="F43" s="346" t="s">
        <v>96</v>
      </c>
      <c r="G43" s="327" t="s">
        <v>96</v>
      </c>
      <c r="H43" s="345" t="s">
        <v>169</v>
      </c>
      <c r="I43" s="347" t="s">
        <v>169</v>
      </c>
      <c r="J43" s="346" t="s">
        <v>169</v>
      </c>
      <c r="K43" s="327" t="s">
        <v>169</v>
      </c>
      <c r="L43" s="348"/>
      <c r="M43" s="349"/>
      <c r="N43" s="350"/>
      <c r="O43" s="351"/>
      <c r="P43" s="352"/>
      <c r="Q43" s="349"/>
      <c r="R43" s="350"/>
      <c r="S43" s="351"/>
      <c r="T43" s="348"/>
      <c r="U43" s="349"/>
      <c r="V43" s="350"/>
      <c r="W43" s="351"/>
      <c r="X43" s="348"/>
      <c r="Y43" s="349"/>
      <c r="Z43" s="350"/>
      <c r="AA43" s="351"/>
      <c r="AB43" s="348"/>
      <c r="AC43" s="353"/>
      <c r="AD43" s="354"/>
      <c r="AE43" s="206"/>
    </row>
    <row r="44" ht="15.75" customHeight="1">
      <c r="A44" s="207"/>
      <c r="B44" s="299" t="s">
        <v>170</v>
      </c>
      <c r="C44" s="247"/>
      <c r="D44" s="248"/>
      <c r="E44" s="245"/>
      <c r="F44" s="246"/>
      <c r="G44" s="355">
        <v>4.4</v>
      </c>
      <c r="H44" s="248"/>
      <c r="I44" s="356"/>
      <c r="J44" s="246"/>
      <c r="K44" s="247"/>
      <c r="L44" s="248"/>
      <c r="M44" s="245"/>
      <c r="N44" s="246"/>
      <c r="O44" s="247"/>
      <c r="P44" s="354"/>
      <c r="Q44" s="245"/>
      <c r="R44" s="246"/>
      <c r="S44" s="247"/>
      <c r="T44" s="248"/>
      <c r="U44" s="245"/>
      <c r="V44" s="246"/>
      <c r="W44" s="247"/>
      <c r="X44" s="248"/>
      <c r="Y44" s="245"/>
      <c r="Z44" s="246"/>
      <c r="AA44" s="247"/>
      <c r="AB44" s="249"/>
      <c r="AC44" s="341"/>
      <c r="AD44" s="251"/>
      <c r="AE44" s="206"/>
    </row>
    <row r="45" ht="15.75" customHeight="1">
      <c r="A45" s="207"/>
      <c r="B45" s="301" t="s">
        <v>171</v>
      </c>
      <c r="C45" s="351"/>
      <c r="D45" s="348"/>
      <c r="E45" s="349"/>
      <c r="F45" s="350"/>
      <c r="G45" s="351"/>
      <c r="H45" s="348"/>
      <c r="I45" s="357"/>
      <c r="J45" s="350"/>
      <c r="K45" s="351"/>
      <c r="L45" s="348"/>
      <c r="M45" s="349"/>
      <c r="N45" s="350"/>
      <c r="O45" s="351"/>
      <c r="P45" s="352"/>
      <c r="Q45" s="349"/>
      <c r="R45" s="350"/>
      <c r="S45" s="351"/>
      <c r="T45" s="348"/>
      <c r="U45" s="349"/>
      <c r="V45" s="350"/>
      <c r="W45" s="351"/>
      <c r="X45" s="348"/>
      <c r="Y45" s="349"/>
      <c r="Z45" s="350"/>
      <c r="AA45" s="351"/>
      <c r="AB45" s="358"/>
      <c r="AC45" s="359"/>
      <c r="AD45" s="360"/>
      <c r="AE45" s="206"/>
    </row>
    <row r="46" ht="15.75" customHeight="1">
      <c r="A46" s="275"/>
      <c r="B46" s="361" t="s">
        <v>172</v>
      </c>
      <c r="C46" s="362"/>
      <c r="D46" s="363"/>
      <c r="E46" s="362"/>
      <c r="F46" s="363"/>
      <c r="G46" s="362"/>
      <c r="H46" s="363"/>
      <c r="I46" s="364"/>
      <c r="J46" s="363"/>
      <c r="K46" s="362"/>
      <c r="L46" s="363"/>
      <c r="M46" s="362"/>
      <c r="N46" s="363"/>
      <c r="O46" s="362"/>
      <c r="P46" s="365"/>
      <c r="Q46" s="362"/>
      <c r="R46" s="363"/>
      <c r="S46" s="362"/>
      <c r="T46" s="363"/>
      <c r="U46" s="362"/>
      <c r="V46" s="363"/>
      <c r="W46" s="362"/>
      <c r="X46" s="363"/>
      <c r="Y46" s="362"/>
      <c r="Z46" s="363"/>
      <c r="AA46" s="362"/>
      <c r="AB46" s="363"/>
      <c r="AC46" s="362"/>
      <c r="AD46" s="366"/>
      <c r="AE46" s="367"/>
    </row>
    <row r="47" ht="15.75" customHeight="1">
      <c r="A47" s="368" t="s">
        <v>173</v>
      </c>
      <c r="B47" s="369" t="s">
        <v>174</v>
      </c>
      <c r="C47" s="370">
        <f t="shared" ref="C47:AD47" si="2">IFS(C29="VC-CMV",C30/$J$2,C29="PC-CMV",C38/$J$2,C29="PC-CSV",C38/$J$2,C29="CPAP",C38/$J$2,C29="VMNI",C38/$J$2,C29="PC-SIMV",C38/$J$2,C29="","")</f>
        <v>5.990734331</v>
      </c>
      <c r="D47" s="371">
        <f t="shared" si="2"/>
        <v>5.990734331</v>
      </c>
      <c r="E47" s="372">
        <f t="shared" si="2"/>
        <v>6.656371479</v>
      </c>
      <c r="F47" s="373">
        <f t="shared" si="2"/>
        <v>11.7152138</v>
      </c>
      <c r="G47" s="370">
        <f t="shared" si="2"/>
        <v>12.51397838</v>
      </c>
      <c r="H47" s="371">
        <f t="shared" si="2"/>
        <v>7.055753768</v>
      </c>
      <c r="I47" s="374">
        <f t="shared" si="2"/>
        <v>5.857606901</v>
      </c>
      <c r="J47" s="373">
        <f t="shared" si="2"/>
        <v>5.591352042</v>
      </c>
      <c r="K47" s="370">
        <f t="shared" si="2"/>
        <v>5.591352042</v>
      </c>
      <c r="L47" s="371" t="str">
        <f t="shared" si="2"/>
        <v/>
      </c>
      <c r="M47" s="372" t="str">
        <f t="shared" si="2"/>
        <v/>
      </c>
      <c r="N47" s="373" t="str">
        <f t="shared" si="2"/>
        <v/>
      </c>
      <c r="O47" s="370" t="str">
        <f t="shared" si="2"/>
        <v/>
      </c>
      <c r="P47" s="375" t="str">
        <f t="shared" si="2"/>
        <v/>
      </c>
      <c r="Q47" s="372" t="str">
        <f t="shared" si="2"/>
        <v/>
      </c>
      <c r="R47" s="373" t="str">
        <f t="shared" si="2"/>
        <v/>
      </c>
      <c r="S47" s="370" t="str">
        <f t="shared" si="2"/>
        <v/>
      </c>
      <c r="T47" s="371" t="str">
        <f t="shared" si="2"/>
        <v/>
      </c>
      <c r="U47" s="372" t="str">
        <f t="shared" si="2"/>
        <v/>
      </c>
      <c r="V47" s="373" t="str">
        <f t="shared" si="2"/>
        <v/>
      </c>
      <c r="W47" s="370" t="str">
        <f t="shared" si="2"/>
        <v/>
      </c>
      <c r="X47" s="371" t="str">
        <f t="shared" si="2"/>
        <v/>
      </c>
      <c r="Y47" s="372" t="str">
        <f t="shared" si="2"/>
        <v/>
      </c>
      <c r="Z47" s="373" t="str">
        <f t="shared" si="2"/>
        <v/>
      </c>
      <c r="AA47" s="370" t="str">
        <f t="shared" si="2"/>
        <v/>
      </c>
      <c r="AB47" s="371" t="str">
        <f t="shared" si="2"/>
        <v/>
      </c>
      <c r="AC47" s="372" t="str">
        <f t="shared" si="2"/>
        <v/>
      </c>
      <c r="AD47" s="376" t="str">
        <f t="shared" si="2"/>
        <v/>
      </c>
      <c r="AE47" s="377"/>
    </row>
    <row r="48" ht="15.75" customHeight="1">
      <c r="A48" s="207"/>
      <c r="B48" s="378" t="s">
        <v>175</v>
      </c>
      <c r="C48" s="379">
        <v>1.0</v>
      </c>
      <c r="D48" s="380">
        <v>1.0</v>
      </c>
      <c r="E48" s="381">
        <v>1.0</v>
      </c>
      <c r="F48" s="382">
        <v>1.0</v>
      </c>
      <c r="G48" s="379">
        <v>1.0</v>
      </c>
      <c r="H48" s="380">
        <v>1.0</v>
      </c>
      <c r="I48" s="383">
        <v>1.0</v>
      </c>
      <c r="J48" s="382">
        <v>1.0</v>
      </c>
      <c r="K48" s="379">
        <v>1.0</v>
      </c>
      <c r="L48" s="380">
        <v>1.0</v>
      </c>
      <c r="M48" s="381">
        <v>1.0</v>
      </c>
      <c r="N48" s="382">
        <v>1.0</v>
      </c>
      <c r="O48" s="379">
        <v>1.0</v>
      </c>
      <c r="P48" s="384">
        <v>1.0</v>
      </c>
      <c r="Q48" s="381">
        <v>1.0</v>
      </c>
      <c r="R48" s="382">
        <v>1.0</v>
      </c>
      <c r="S48" s="379">
        <v>1.0</v>
      </c>
      <c r="T48" s="380">
        <v>1.0</v>
      </c>
      <c r="U48" s="381">
        <v>1.0</v>
      </c>
      <c r="V48" s="382">
        <v>1.0</v>
      </c>
      <c r="W48" s="379">
        <v>1.0</v>
      </c>
      <c r="X48" s="380">
        <v>1.0</v>
      </c>
      <c r="Y48" s="381">
        <v>1.0</v>
      </c>
      <c r="Z48" s="382">
        <v>1.0</v>
      </c>
      <c r="AA48" s="379">
        <v>1.0</v>
      </c>
      <c r="AB48" s="385">
        <v>1.0</v>
      </c>
      <c r="AC48" s="386">
        <v>1.0</v>
      </c>
      <c r="AD48" s="387">
        <v>1.0</v>
      </c>
      <c r="AE48" s="333"/>
    </row>
    <row r="49" ht="15.75" customHeight="1">
      <c r="A49" s="207"/>
      <c r="B49" s="388" t="s">
        <v>176</v>
      </c>
      <c r="C49" s="389">
        <f t="shared" ref="C49:AD49" si="3">((60/C31)-C34)/C34</f>
        <v>2.409090909</v>
      </c>
      <c r="D49" s="390">
        <f t="shared" si="3"/>
        <v>2.125</v>
      </c>
      <c r="E49" s="391">
        <f t="shared" si="3"/>
        <v>1.857142857</v>
      </c>
      <c r="F49" s="392">
        <f t="shared" si="3"/>
        <v>4</v>
      </c>
      <c r="G49" s="389">
        <f t="shared" si="3"/>
        <v>2.324099723</v>
      </c>
      <c r="H49" s="390">
        <f t="shared" si="3"/>
        <v>1.564102564</v>
      </c>
      <c r="I49" s="393">
        <f t="shared" si="3"/>
        <v>1.75862069</v>
      </c>
      <c r="J49" s="392">
        <f t="shared" si="3"/>
        <v>1.857142857</v>
      </c>
      <c r="K49" s="389" t="str">
        <f t="shared" si="3"/>
        <v>#DIV/0!</v>
      </c>
      <c r="L49" s="390" t="str">
        <f t="shared" si="3"/>
        <v>#DIV/0!</v>
      </c>
      <c r="M49" s="391" t="str">
        <f t="shared" si="3"/>
        <v>#DIV/0!</v>
      </c>
      <c r="N49" s="392" t="str">
        <f t="shared" si="3"/>
        <v>#DIV/0!</v>
      </c>
      <c r="O49" s="389" t="str">
        <f t="shared" si="3"/>
        <v>#DIV/0!</v>
      </c>
      <c r="P49" s="394" t="str">
        <f t="shared" si="3"/>
        <v>#DIV/0!</v>
      </c>
      <c r="Q49" s="391" t="str">
        <f t="shared" si="3"/>
        <v>#DIV/0!</v>
      </c>
      <c r="R49" s="392" t="str">
        <f t="shared" si="3"/>
        <v>#DIV/0!</v>
      </c>
      <c r="S49" s="389" t="str">
        <f t="shared" si="3"/>
        <v>#DIV/0!</v>
      </c>
      <c r="T49" s="390" t="str">
        <f t="shared" si="3"/>
        <v>#DIV/0!</v>
      </c>
      <c r="U49" s="391" t="str">
        <f t="shared" si="3"/>
        <v>#DIV/0!</v>
      </c>
      <c r="V49" s="392" t="str">
        <f t="shared" si="3"/>
        <v>#DIV/0!</v>
      </c>
      <c r="W49" s="389" t="str">
        <f t="shared" si="3"/>
        <v>#DIV/0!</v>
      </c>
      <c r="X49" s="390" t="str">
        <f t="shared" si="3"/>
        <v>#DIV/0!</v>
      </c>
      <c r="Y49" s="391" t="str">
        <f t="shared" si="3"/>
        <v>#DIV/0!</v>
      </c>
      <c r="Z49" s="392" t="str">
        <f t="shared" si="3"/>
        <v>#DIV/0!</v>
      </c>
      <c r="AA49" s="389" t="str">
        <f t="shared" si="3"/>
        <v>#DIV/0!</v>
      </c>
      <c r="AB49" s="395" t="str">
        <f t="shared" si="3"/>
        <v>#DIV/0!</v>
      </c>
      <c r="AC49" s="396" t="str">
        <f t="shared" si="3"/>
        <v>#DIV/0!</v>
      </c>
      <c r="AD49" s="397" t="str">
        <f t="shared" si="3"/>
        <v>#DIV/0!</v>
      </c>
      <c r="AE49" s="306"/>
    </row>
    <row r="50" ht="15.75" customHeight="1">
      <c r="A50" s="207"/>
      <c r="B50" s="398" t="s">
        <v>177</v>
      </c>
      <c r="C50" s="399">
        <f t="shared" ref="C50:AD50" si="4">IF(C51&lt;&gt;"",(C51*C34)+C42,"")</f>
        <v>19.4</v>
      </c>
      <c r="D50" s="400">
        <f t="shared" si="4"/>
        <v>20</v>
      </c>
      <c r="E50" s="399">
        <f t="shared" si="4"/>
        <v>21.4</v>
      </c>
      <c r="F50" s="400" t="str">
        <f t="shared" si="4"/>
        <v/>
      </c>
      <c r="G50" s="399" t="str">
        <f t="shared" si="4"/>
        <v/>
      </c>
      <c r="H50" s="400">
        <f t="shared" si="4"/>
        <v>24.5</v>
      </c>
      <c r="I50" s="401">
        <f t="shared" si="4"/>
        <v>28.5</v>
      </c>
      <c r="J50" s="400">
        <f t="shared" si="4"/>
        <v>24.2</v>
      </c>
      <c r="K50" s="399">
        <f t="shared" si="4"/>
        <v>11</v>
      </c>
      <c r="L50" s="400" t="str">
        <f t="shared" si="4"/>
        <v/>
      </c>
      <c r="M50" s="399" t="str">
        <f t="shared" si="4"/>
        <v/>
      </c>
      <c r="N50" s="400" t="str">
        <f t="shared" si="4"/>
        <v/>
      </c>
      <c r="O50" s="399" t="str">
        <f t="shared" si="4"/>
        <v/>
      </c>
      <c r="P50" s="402" t="str">
        <f t="shared" si="4"/>
        <v/>
      </c>
      <c r="Q50" s="399" t="str">
        <f t="shared" si="4"/>
        <v/>
      </c>
      <c r="R50" s="400" t="str">
        <f t="shared" si="4"/>
        <v/>
      </c>
      <c r="S50" s="399" t="str">
        <f t="shared" si="4"/>
        <v/>
      </c>
      <c r="T50" s="400" t="str">
        <f t="shared" si="4"/>
        <v/>
      </c>
      <c r="U50" s="399" t="str">
        <f t="shared" si="4"/>
        <v/>
      </c>
      <c r="V50" s="400" t="str">
        <f t="shared" si="4"/>
        <v/>
      </c>
      <c r="W50" s="399" t="str">
        <f t="shared" si="4"/>
        <v/>
      </c>
      <c r="X50" s="400" t="str">
        <f t="shared" si="4"/>
        <v/>
      </c>
      <c r="Y50" s="399" t="str">
        <f t="shared" si="4"/>
        <v/>
      </c>
      <c r="Z50" s="400" t="str">
        <f t="shared" si="4"/>
        <v/>
      </c>
      <c r="AA50" s="399" t="str">
        <f t="shared" si="4"/>
        <v/>
      </c>
      <c r="AB50" s="400" t="str">
        <f t="shared" si="4"/>
        <v/>
      </c>
      <c r="AC50" s="399" t="str">
        <f t="shared" si="4"/>
        <v/>
      </c>
      <c r="AD50" s="401" t="str">
        <f t="shared" si="4"/>
        <v/>
      </c>
      <c r="AE50" s="206"/>
    </row>
    <row r="51" ht="15.75" customHeight="1">
      <c r="A51" s="207"/>
      <c r="B51" s="398" t="s">
        <v>178</v>
      </c>
      <c r="C51" s="403">
        <f t="shared" ref="C51:AD51" si="5">IF(AND(C42&gt;0,C41&gt;0),C41-C42,"")</f>
        <v>8</v>
      </c>
      <c r="D51" s="404">
        <f t="shared" si="5"/>
        <v>10</v>
      </c>
      <c r="E51" s="405">
        <f t="shared" si="5"/>
        <v>10.4</v>
      </c>
      <c r="F51" s="406" t="str">
        <f t="shared" si="5"/>
        <v/>
      </c>
      <c r="G51" s="403" t="str">
        <f t="shared" si="5"/>
        <v/>
      </c>
      <c r="H51" s="404">
        <f t="shared" si="5"/>
        <v>15</v>
      </c>
      <c r="I51" s="407">
        <f t="shared" si="5"/>
        <v>18</v>
      </c>
      <c r="J51" s="406">
        <f t="shared" si="5"/>
        <v>16</v>
      </c>
      <c r="K51" s="403">
        <f t="shared" si="5"/>
        <v>19</v>
      </c>
      <c r="L51" s="404" t="str">
        <f t="shared" si="5"/>
        <v/>
      </c>
      <c r="M51" s="405" t="str">
        <f t="shared" si="5"/>
        <v/>
      </c>
      <c r="N51" s="406" t="str">
        <f t="shared" si="5"/>
        <v/>
      </c>
      <c r="O51" s="403" t="str">
        <f t="shared" si="5"/>
        <v/>
      </c>
      <c r="P51" s="408" t="str">
        <f t="shared" si="5"/>
        <v/>
      </c>
      <c r="Q51" s="405" t="str">
        <f t="shared" si="5"/>
        <v/>
      </c>
      <c r="R51" s="406" t="str">
        <f t="shared" si="5"/>
        <v/>
      </c>
      <c r="S51" s="403" t="str">
        <f t="shared" si="5"/>
        <v/>
      </c>
      <c r="T51" s="404" t="str">
        <f t="shared" si="5"/>
        <v/>
      </c>
      <c r="U51" s="405" t="str">
        <f t="shared" si="5"/>
        <v/>
      </c>
      <c r="V51" s="406" t="str">
        <f t="shared" si="5"/>
        <v/>
      </c>
      <c r="W51" s="403" t="str">
        <f t="shared" si="5"/>
        <v/>
      </c>
      <c r="X51" s="404" t="str">
        <f t="shared" si="5"/>
        <v/>
      </c>
      <c r="Y51" s="405" t="str">
        <f t="shared" si="5"/>
        <v/>
      </c>
      <c r="Z51" s="406" t="str">
        <f t="shared" si="5"/>
        <v/>
      </c>
      <c r="AA51" s="403" t="str">
        <f t="shared" si="5"/>
        <v/>
      </c>
      <c r="AB51" s="404" t="str">
        <f t="shared" si="5"/>
        <v/>
      </c>
      <c r="AC51" s="405" t="str">
        <f t="shared" si="5"/>
        <v/>
      </c>
      <c r="AD51" s="409" t="str">
        <f t="shared" si="5"/>
        <v/>
      </c>
      <c r="AE51" s="206"/>
    </row>
    <row r="52" ht="15.75" customHeight="1">
      <c r="A52" s="207"/>
      <c r="B52" s="398" t="s">
        <v>179</v>
      </c>
      <c r="C52" s="389">
        <f t="shared" ref="C52:AD52" si="6">IF(AND(C38&gt;0,C51&gt;0),C38/C51,"")</f>
        <v>54.125</v>
      </c>
      <c r="D52" s="390">
        <f t="shared" si="6"/>
        <v>70</v>
      </c>
      <c r="E52" s="391">
        <f t="shared" si="6"/>
        <v>48.07692308</v>
      </c>
      <c r="F52" s="392" t="str">
        <f t="shared" si="6"/>
        <v>#DIV/0!</v>
      </c>
      <c r="G52" s="389" t="str">
        <f t="shared" si="6"/>
        <v>#DIV/0!</v>
      </c>
      <c r="H52" s="390">
        <f t="shared" si="6"/>
        <v>35.33333333</v>
      </c>
      <c r="I52" s="393">
        <f t="shared" si="6"/>
        <v>24.44444444</v>
      </c>
      <c r="J52" s="392">
        <f t="shared" si="6"/>
        <v>25.9375</v>
      </c>
      <c r="K52" s="389" t="str">
        <f t="shared" si="6"/>
        <v/>
      </c>
      <c r="L52" s="390" t="str">
        <f t="shared" si="6"/>
        <v/>
      </c>
      <c r="M52" s="391" t="str">
        <f t="shared" si="6"/>
        <v/>
      </c>
      <c r="N52" s="392" t="str">
        <f t="shared" si="6"/>
        <v/>
      </c>
      <c r="O52" s="389" t="str">
        <f t="shared" si="6"/>
        <v/>
      </c>
      <c r="P52" s="394" t="str">
        <f t="shared" si="6"/>
        <v/>
      </c>
      <c r="Q52" s="391" t="str">
        <f t="shared" si="6"/>
        <v/>
      </c>
      <c r="R52" s="392" t="str">
        <f t="shared" si="6"/>
        <v/>
      </c>
      <c r="S52" s="389" t="str">
        <f t="shared" si="6"/>
        <v/>
      </c>
      <c r="T52" s="390" t="str">
        <f t="shared" si="6"/>
        <v/>
      </c>
      <c r="U52" s="391" t="str">
        <f t="shared" si="6"/>
        <v/>
      </c>
      <c r="V52" s="392" t="str">
        <f t="shared" si="6"/>
        <v/>
      </c>
      <c r="W52" s="389" t="str">
        <f t="shared" si="6"/>
        <v/>
      </c>
      <c r="X52" s="390" t="str">
        <f t="shared" si="6"/>
        <v/>
      </c>
      <c r="Y52" s="391" t="str">
        <f t="shared" si="6"/>
        <v/>
      </c>
      <c r="Z52" s="392" t="str">
        <f t="shared" si="6"/>
        <v/>
      </c>
      <c r="AA52" s="389" t="str">
        <f t="shared" si="6"/>
        <v/>
      </c>
      <c r="AB52" s="390" t="str">
        <f t="shared" si="6"/>
        <v/>
      </c>
      <c r="AC52" s="391" t="str">
        <f t="shared" si="6"/>
        <v/>
      </c>
      <c r="AD52" s="410" t="str">
        <f t="shared" si="6"/>
        <v/>
      </c>
      <c r="AE52" s="206"/>
    </row>
    <row r="53" ht="15.75" customHeight="1">
      <c r="A53" s="207"/>
      <c r="B53" s="398" t="s">
        <v>180</v>
      </c>
      <c r="C53" s="411">
        <f t="shared" ref="C53:AD53" si="7">IF(AND(C29="VC-CMV",C43="NO"),(C40-C41)/(C35/60),"")</f>
        <v>8.75</v>
      </c>
      <c r="D53" s="412" t="str">
        <f t="shared" si="7"/>
        <v/>
      </c>
      <c r="E53" s="411">
        <f t="shared" si="7"/>
        <v>10.90909091</v>
      </c>
      <c r="F53" s="412" t="str">
        <f t="shared" si="7"/>
        <v/>
      </c>
      <c r="G53" s="411" t="str">
        <f t="shared" si="7"/>
        <v/>
      </c>
      <c r="H53" s="412">
        <f t="shared" si="7"/>
        <v>14.18181818</v>
      </c>
      <c r="I53" s="413">
        <f t="shared" si="7"/>
        <v>20</v>
      </c>
      <c r="J53" s="412">
        <f t="shared" si="7"/>
        <v>14.4</v>
      </c>
      <c r="K53" s="411" t="str">
        <f t="shared" si="7"/>
        <v>#DIV/0!</v>
      </c>
      <c r="L53" s="412" t="str">
        <f t="shared" si="7"/>
        <v/>
      </c>
      <c r="M53" s="411" t="str">
        <f t="shared" si="7"/>
        <v/>
      </c>
      <c r="N53" s="412" t="str">
        <f t="shared" si="7"/>
        <v/>
      </c>
      <c r="O53" s="411" t="str">
        <f t="shared" si="7"/>
        <v/>
      </c>
      <c r="P53" s="414" t="str">
        <f t="shared" si="7"/>
        <v/>
      </c>
      <c r="Q53" s="411" t="str">
        <f t="shared" si="7"/>
        <v/>
      </c>
      <c r="R53" s="412" t="str">
        <f t="shared" si="7"/>
        <v/>
      </c>
      <c r="S53" s="411" t="str">
        <f t="shared" si="7"/>
        <v/>
      </c>
      <c r="T53" s="412" t="str">
        <f t="shared" si="7"/>
        <v/>
      </c>
      <c r="U53" s="411" t="str">
        <f t="shared" si="7"/>
        <v/>
      </c>
      <c r="V53" s="412" t="str">
        <f t="shared" si="7"/>
        <v/>
      </c>
      <c r="W53" s="411" t="str">
        <f t="shared" si="7"/>
        <v/>
      </c>
      <c r="X53" s="412" t="str">
        <f t="shared" si="7"/>
        <v/>
      </c>
      <c r="Y53" s="411" t="str">
        <f t="shared" si="7"/>
        <v/>
      </c>
      <c r="Z53" s="412" t="str">
        <f t="shared" si="7"/>
        <v/>
      </c>
      <c r="AA53" s="411" t="str">
        <f t="shared" si="7"/>
        <v/>
      </c>
      <c r="AB53" s="412" t="str">
        <f t="shared" si="7"/>
        <v/>
      </c>
      <c r="AC53" s="411" t="str">
        <f t="shared" si="7"/>
        <v/>
      </c>
      <c r="AD53" s="414" t="str">
        <f t="shared" si="7"/>
        <v/>
      </c>
      <c r="AE53" s="415"/>
    </row>
    <row r="54" ht="15.75" customHeight="1">
      <c r="A54" s="207"/>
      <c r="B54" s="416" t="s">
        <v>181</v>
      </c>
      <c r="C54" s="417">
        <f t="shared" ref="C54:AD54" si="8">IF(AND(C29="VC-CMV",AND(C36="Cuadrada",C43="NO")), (((0.5*(C51/(C38/1000))+(1+(C48/C49))/(60*(C48/C49))*C37*C53)*((C38/1000)*(C38/1000))+(C38/1000)*C42)*C37*0.098),"")</f>
        <v>20.29154098</v>
      </c>
      <c r="D54" s="418" t="str">
        <f t="shared" si="8"/>
        <v/>
      </c>
      <c r="E54" s="419">
        <f t="shared" si="8"/>
        <v>35.77178182</v>
      </c>
      <c r="F54" s="420" t="str">
        <f t="shared" si="8"/>
        <v/>
      </c>
      <c r="G54" s="417" t="str">
        <f t="shared" si="8"/>
        <v/>
      </c>
      <c r="H54" s="418">
        <f t="shared" si="8"/>
        <v>36.26136012</v>
      </c>
      <c r="I54" s="421">
        <f t="shared" si="8"/>
        <v>44.68381867</v>
      </c>
      <c r="J54" s="420">
        <f t="shared" si="8"/>
        <v>36.038268</v>
      </c>
      <c r="K54" s="417" t="str">
        <f t="shared" si="8"/>
        <v/>
      </c>
      <c r="L54" s="418" t="str">
        <f t="shared" si="8"/>
        <v/>
      </c>
      <c r="M54" s="419" t="str">
        <f t="shared" si="8"/>
        <v/>
      </c>
      <c r="N54" s="420" t="str">
        <f t="shared" si="8"/>
        <v/>
      </c>
      <c r="O54" s="417" t="str">
        <f t="shared" si="8"/>
        <v/>
      </c>
      <c r="P54" s="422" t="str">
        <f t="shared" si="8"/>
        <v/>
      </c>
      <c r="Q54" s="419" t="str">
        <f t="shared" si="8"/>
        <v/>
      </c>
      <c r="R54" s="420" t="str">
        <f t="shared" si="8"/>
        <v/>
      </c>
      <c r="S54" s="417" t="str">
        <f t="shared" si="8"/>
        <v/>
      </c>
      <c r="T54" s="418" t="str">
        <f t="shared" si="8"/>
        <v/>
      </c>
      <c r="U54" s="419" t="str">
        <f t="shared" si="8"/>
        <v/>
      </c>
      <c r="V54" s="420" t="str">
        <f t="shared" si="8"/>
        <v/>
      </c>
      <c r="W54" s="417" t="str">
        <f t="shared" si="8"/>
        <v/>
      </c>
      <c r="X54" s="418" t="str">
        <f t="shared" si="8"/>
        <v/>
      </c>
      <c r="Y54" s="419" t="str">
        <f t="shared" si="8"/>
        <v/>
      </c>
      <c r="Z54" s="420" t="str">
        <f t="shared" si="8"/>
        <v/>
      </c>
      <c r="AA54" s="417" t="str">
        <f t="shared" si="8"/>
        <v/>
      </c>
      <c r="AB54" s="418" t="str">
        <f t="shared" si="8"/>
        <v/>
      </c>
      <c r="AC54" s="419" t="str">
        <f t="shared" si="8"/>
        <v/>
      </c>
      <c r="AD54" s="423" t="str">
        <f t="shared" si="8"/>
        <v/>
      </c>
      <c r="AE54" s="377"/>
    </row>
    <row r="55" ht="15.75" customHeight="1">
      <c r="A55" s="207"/>
      <c r="B55" s="424" t="s">
        <v>182</v>
      </c>
      <c r="C55" s="417">
        <f t="shared" ref="C55:AD55" si="9">IFS(OR(C52="",C54=""),"",AND(C52&gt;0,C54&gt;0),C54/C52)</f>
        <v>0.37490145</v>
      </c>
      <c r="D55" s="425" t="str">
        <f t="shared" si="9"/>
        <v/>
      </c>
      <c r="E55" s="419">
        <f t="shared" si="9"/>
        <v>0.7440530618</v>
      </c>
      <c r="F55" s="425" t="str">
        <f t="shared" si="9"/>
        <v>#DIV/0!</v>
      </c>
      <c r="G55" s="419" t="str">
        <f t="shared" si="9"/>
        <v>#DIV/0!</v>
      </c>
      <c r="H55" s="425">
        <f t="shared" si="9"/>
        <v>1.026264909</v>
      </c>
      <c r="I55" s="421">
        <f t="shared" si="9"/>
        <v>1.8279744</v>
      </c>
      <c r="J55" s="425">
        <f t="shared" si="9"/>
        <v>1.3894272</v>
      </c>
      <c r="K55" s="419" t="str">
        <f t="shared" si="9"/>
        <v/>
      </c>
      <c r="L55" s="425" t="str">
        <f t="shared" si="9"/>
        <v/>
      </c>
      <c r="M55" s="419" t="str">
        <f t="shared" si="9"/>
        <v/>
      </c>
      <c r="N55" s="425" t="str">
        <f t="shared" si="9"/>
        <v/>
      </c>
      <c r="O55" s="419" t="str">
        <f t="shared" si="9"/>
        <v/>
      </c>
      <c r="P55" s="426" t="str">
        <f t="shared" si="9"/>
        <v/>
      </c>
      <c r="Q55" s="419" t="str">
        <f t="shared" si="9"/>
        <v/>
      </c>
      <c r="R55" s="425" t="str">
        <f t="shared" si="9"/>
        <v/>
      </c>
      <c r="S55" s="419" t="str">
        <f t="shared" si="9"/>
        <v/>
      </c>
      <c r="T55" s="425" t="str">
        <f t="shared" si="9"/>
        <v/>
      </c>
      <c r="U55" s="419" t="str">
        <f t="shared" si="9"/>
        <v/>
      </c>
      <c r="V55" s="425" t="str">
        <f t="shared" si="9"/>
        <v/>
      </c>
      <c r="W55" s="419" t="str">
        <f t="shared" si="9"/>
        <v/>
      </c>
      <c r="X55" s="425" t="str">
        <f t="shared" si="9"/>
        <v/>
      </c>
      <c r="Y55" s="419" t="str">
        <f t="shared" si="9"/>
        <v/>
      </c>
      <c r="Z55" s="425" t="str">
        <f t="shared" si="9"/>
        <v/>
      </c>
      <c r="AA55" s="419" t="str">
        <f t="shared" si="9"/>
        <v/>
      </c>
      <c r="AB55" s="425" t="str">
        <f t="shared" si="9"/>
        <v/>
      </c>
      <c r="AC55" s="419" t="str">
        <f t="shared" si="9"/>
        <v/>
      </c>
      <c r="AD55" s="427" t="str">
        <f t="shared" si="9"/>
        <v/>
      </c>
      <c r="AE55" s="377"/>
    </row>
    <row r="56" ht="15.75" customHeight="1">
      <c r="A56" s="207"/>
      <c r="B56" s="424" t="s">
        <v>183</v>
      </c>
      <c r="C56" s="417">
        <f t="shared" ref="C56:AD56" si="10">IFS(OR(C54="",$J$2=""),"",AND(C54&gt;0,$J$2&gt;0),C54/$J$2)</f>
        <v>0.2701360693</v>
      </c>
      <c r="D56" s="428" t="str">
        <f t="shared" si="10"/>
        <v/>
      </c>
      <c r="E56" s="429">
        <f t="shared" si="10"/>
        <v>0.4762205365</v>
      </c>
      <c r="F56" s="430" t="str">
        <f t="shared" si="10"/>
        <v/>
      </c>
      <c r="G56" s="431" t="str">
        <f t="shared" si="10"/>
        <v/>
      </c>
      <c r="H56" s="418">
        <f t="shared" si="10"/>
        <v>0.4827381666</v>
      </c>
      <c r="I56" s="421">
        <f t="shared" si="10"/>
        <v>0.5948641923</v>
      </c>
      <c r="J56" s="420">
        <f t="shared" si="10"/>
        <v>0.4797681985</v>
      </c>
      <c r="K56" s="431" t="str">
        <f t="shared" si="10"/>
        <v/>
      </c>
      <c r="L56" s="428" t="str">
        <f t="shared" si="10"/>
        <v/>
      </c>
      <c r="M56" s="432" t="str">
        <f t="shared" si="10"/>
        <v/>
      </c>
      <c r="N56" s="430" t="str">
        <f t="shared" si="10"/>
        <v/>
      </c>
      <c r="O56" s="431" t="str">
        <f t="shared" si="10"/>
        <v/>
      </c>
      <c r="P56" s="433" t="str">
        <f t="shared" si="10"/>
        <v/>
      </c>
      <c r="Q56" s="432" t="str">
        <f t="shared" si="10"/>
        <v/>
      </c>
      <c r="R56" s="430" t="str">
        <f t="shared" si="10"/>
        <v/>
      </c>
      <c r="S56" s="431" t="str">
        <f t="shared" si="10"/>
        <v/>
      </c>
      <c r="T56" s="428" t="str">
        <f t="shared" si="10"/>
        <v/>
      </c>
      <c r="U56" s="432" t="str">
        <f t="shared" si="10"/>
        <v/>
      </c>
      <c r="V56" s="430" t="str">
        <f t="shared" si="10"/>
        <v/>
      </c>
      <c r="W56" s="431" t="str">
        <f t="shared" si="10"/>
        <v/>
      </c>
      <c r="X56" s="428" t="str">
        <f t="shared" si="10"/>
        <v/>
      </c>
      <c r="Y56" s="432" t="str">
        <f t="shared" si="10"/>
        <v/>
      </c>
      <c r="Z56" s="430" t="str">
        <f t="shared" si="10"/>
        <v/>
      </c>
      <c r="AA56" s="431" t="str">
        <f t="shared" si="10"/>
        <v/>
      </c>
      <c r="AB56" s="428" t="str">
        <f t="shared" si="10"/>
        <v/>
      </c>
      <c r="AC56" s="432" t="str">
        <f t="shared" si="10"/>
        <v/>
      </c>
      <c r="AD56" s="434" t="str">
        <f t="shared" si="10"/>
        <v/>
      </c>
      <c r="AE56" s="377"/>
    </row>
    <row r="57" ht="15.75" customHeight="1">
      <c r="A57" s="207"/>
      <c r="B57" s="424" t="s">
        <v>184</v>
      </c>
      <c r="C57" s="417">
        <f t="shared" ref="C57:AD57" si="11">IF(AND(C21&gt;0,C39&gt;0),(C39*1000*C21)/($J$2*37.5*100),"")</f>
        <v>1.468306797</v>
      </c>
      <c r="D57" s="418">
        <f t="shared" si="11"/>
        <v>1.720716403</v>
      </c>
      <c r="E57" s="419">
        <f t="shared" si="11"/>
        <v>2.99011307</v>
      </c>
      <c r="F57" s="420">
        <f t="shared" si="11"/>
        <v>2.358663046</v>
      </c>
      <c r="G57" s="417">
        <f t="shared" si="11"/>
        <v>1.931235245</v>
      </c>
      <c r="H57" s="418">
        <f t="shared" si="11"/>
        <v>3.537142553</v>
      </c>
      <c r="I57" s="421">
        <f t="shared" si="11"/>
        <v>2.351917923</v>
      </c>
      <c r="J57" s="420">
        <f t="shared" si="11"/>
        <v>2.336120134</v>
      </c>
      <c r="K57" s="417" t="str">
        <f t="shared" si="11"/>
        <v/>
      </c>
      <c r="L57" s="418" t="str">
        <f t="shared" si="11"/>
        <v/>
      </c>
      <c r="M57" s="419" t="str">
        <f t="shared" si="11"/>
        <v/>
      </c>
      <c r="N57" s="420" t="str">
        <f t="shared" si="11"/>
        <v/>
      </c>
      <c r="O57" s="417" t="str">
        <f t="shared" si="11"/>
        <v/>
      </c>
      <c r="P57" s="422" t="str">
        <f t="shared" si="11"/>
        <v/>
      </c>
      <c r="Q57" s="419" t="str">
        <f t="shared" si="11"/>
        <v/>
      </c>
      <c r="R57" s="420" t="str">
        <f t="shared" si="11"/>
        <v/>
      </c>
      <c r="S57" s="417" t="str">
        <f t="shared" si="11"/>
        <v/>
      </c>
      <c r="T57" s="418" t="str">
        <f t="shared" si="11"/>
        <v/>
      </c>
      <c r="U57" s="419" t="str">
        <f t="shared" si="11"/>
        <v/>
      </c>
      <c r="V57" s="420" t="str">
        <f t="shared" si="11"/>
        <v/>
      </c>
      <c r="W57" s="417" t="str">
        <f t="shared" si="11"/>
        <v/>
      </c>
      <c r="X57" s="418" t="str">
        <f t="shared" si="11"/>
        <v/>
      </c>
      <c r="Y57" s="419" t="str">
        <f t="shared" si="11"/>
        <v/>
      </c>
      <c r="Z57" s="420" t="str">
        <f t="shared" si="11"/>
        <v/>
      </c>
      <c r="AA57" s="417" t="str">
        <f t="shared" si="11"/>
        <v/>
      </c>
      <c r="AB57" s="418" t="str">
        <f t="shared" si="11"/>
        <v/>
      </c>
      <c r="AC57" s="419" t="str">
        <f t="shared" si="11"/>
        <v/>
      </c>
      <c r="AD57" s="423" t="str">
        <f t="shared" si="11"/>
        <v/>
      </c>
      <c r="AE57" s="377"/>
    </row>
    <row r="58" ht="15.75" customHeight="1">
      <c r="A58" s="207"/>
      <c r="B58" s="435" t="s">
        <v>185</v>
      </c>
      <c r="C58" s="436" t="str">
        <f t="shared" ref="C58:AD58" si="12">IFS(C41="","",C41=C40,"0",C41&lt;C40,"",C41&gt;C40,C41-(C40-C32))</f>
        <v/>
      </c>
      <c r="D58" s="437" t="str">
        <f t="shared" si="12"/>
        <v/>
      </c>
      <c r="E58" s="438" t="str">
        <f t="shared" si="12"/>
        <v/>
      </c>
      <c r="F58" s="439" t="str">
        <f t="shared" si="12"/>
        <v/>
      </c>
      <c r="G58" s="436" t="str">
        <f t="shared" si="12"/>
        <v/>
      </c>
      <c r="H58" s="437" t="str">
        <f t="shared" si="12"/>
        <v/>
      </c>
      <c r="I58" s="440" t="str">
        <f t="shared" si="12"/>
        <v/>
      </c>
      <c r="J58" s="439" t="str">
        <f t="shared" si="12"/>
        <v/>
      </c>
      <c r="K58" s="436">
        <f t="shared" si="12"/>
        <v>40</v>
      </c>
      <c r="L58" s="437" t="str">
        <f t="shared" si="12"/>
        <v/>
      </c>
      <c r="M58" s="438" t="str">
        <f t="shared" si="12"/>
        <v/>
      </c>
      <c r="N58" s="439" t="str">
        <f t="shared" si="12"/>
        <v/>
      </c>
      <c r="O58" s="436" t="str">
        <f t="shared" si="12"/>
        <v/>
      </c>
      <c r="P58" s="441" t="str">
        <f t="shared" si="12"/>
        <v/>
      </c>
      <c r="Q58" s="438" t="str">
        <f t="shared" si="12"/>
        <v/>
      </c>
      <c r="R58" s="439" t="str">
        <f t="shared" si="12"/>
        <v/>
      </c>
      <c r="S58" s="436" t="str">
        <f t="shared" si="12"/>
        <v/>
      </c>
      <c r="T58" s="437" t="str">
        <f t="shared" si="12"/>
        <v/>
      </c>
      <c r="U58" s="438" t="str">
        <f t="shared" si="12"/>
        <v/>
      </c>
      <c r="V58" s="439" t="str">
        <f t="shared" si="12"/>
        <v/>
      </c>
      <c r="W58" s="436" t="str">
        <f t="shared" si="12"/>
        <v/>
      </c>
      <c r="X58" s="437" t="str">
        <f t="shared" si="12"/>
        <v/>
      </c>
      <c r="Y58" s="438" t="str">
        <f t="shared" si="12"/>
        <v/>
      </c>
      <c r="Z58" s="439" t="str">
        <f t="shared" si="12"/>
        <v/>
      </c>
      <c r="AA58" s="436" t="str">
        <f t="shared" si="12"/>
        <v/>
      </c>
      <c r="AB58" s="437" t="str">
        <f t="shared" si="12"/>
        <v/>
      </c>
      <c r="AC58" s="438" t="str">
        <f t="shared" si="12"/>
        <v/>
      </c>
      <c r="AD58" s="442" t="str">
        <f t="shared" si="12"/>
        <v/>
      </c>
      <c r="AE58" s="377"/>
    </row>
    <row r="59" ht="15.75" customHeight="1">
      <c r="A59" s="207"/>
      <c r="B59" s="443" t="s">
        <v>186</v>
      </c>
      <c r="C59" s="444" t="str">
        <f t="shared" ref="C59:AD59" si="13">IF(C45&gt;0,(C40-C41)*(C45*0.66),"")</f>
        <v/>
      </c>
      <c r="D59" s="445" t="str">
        <f t="shared" si="13"/>
        <v/>
      </c>
      <c r="E59" s="444" t="str">
        <f t="shared" si="13"/>
        <v/>
      </c>
      <c r="F59" s="445" t="str">
        <f t="shared" si="13"/>
        <v/>
      </c>
      <c r="G59" s="444" t="str">
        <f t="shared" si="13"/>
        <v/>
      </c>
      <c r="H59" s="445" t="str">
        <f t="shared" si="13"/>
        <v/>
      </c>
      <c r="I59" s="446" t="str">
        <f t="shared" si="13"/>
        <v/>
      </c>
      <c r="J59" s="445" t="str">
        <f t="shared" si="13"/>
        <v/>
      </c>
      <c r="K59" s="444" t="str">
        <f t="shared" si="13"/>
        <v/>
      </c>
      <c r="L59" s="445" t="str">
        <f t="shared" si="13"/>
        <v/>
      </c>
      <c r="M59" s="444" t="str">
        <f t="shared" si="13"/>
        <v/>
      </c>
      <c r="N59" s="445" t="str">
        <f t="shared" si="13"/>
        <v/>
      </c>
      <c r="O59" s="444" t="str">
        <f t="shared" si="13"/>
        <v/>
      </c>
      <c r="P59" s="447" t="str">
        <f t="shared" si="13"/>
        <v/>
      </c>
      <c r="Q59" s="444" t="str">
        <f t="shared" si="13"/>
        <v/>
      </c>
      <c r="R59" s="445" t="str">
        <f t="shared" si="13"/>
        <v/>
      </c>
      <c r="S59" s="444" t="str">
        <f t="shared" si="13"/>
        <v/>
      </c>
      <c r="T59" s="445" t="str">
        <f t="shared" si="13"/>
        <v/>
      </c>
      <c r="U59" s="444" t="str">
        <f t="shared" si="13"/>
        <v/>
      </c>
      <c r="V59" s="445" t="str">
        <f t="shared" si="13"/>
        <v/>
      </c>
      <c r="W59" s="444" t="str">
        <f t="shared" si="13"/>
        <v/>
      </c>
      <c r="X59" s="445" t="str">
        <f t="shared" si="13"/>
        <v/>
      </c>
      <c r="Y59" s="444" t="str">
        <f t="shared" si="13"/>
        <v/>
      </c>
      <c r="Z59" s="445" t="str">
        <f t="shared" si="13"/>
        <v/>
      </c>
      <c r="AA59" s="444" t="str">
        <f t="shared" si="13"/>
        <v/>
      </c>
      <c r="AB59" s="445" t="str">
        <f t="shared" si="13"/>
        <v/>
      </c>
      <c r="AC59" s="444" t="str">
        <f t="shared" si="13"/>
        <v/>
      </c>
      <c r="AD59" s="447" t="str">
        <f t="shared" si="13"/>
        <v/>
      </c>
      <c r="AE59" s="206"/>
    </row>
    <row r="60" ht="15.75" customHeight="1">
      <c r="A60" s="207"/>
      <c r="B60" s="443" t="s">
        <v>187</v>
      </c>
      <c r="C60" s="444" t="str">
        <f t="shared" ref="C60:AD60" si="14">IF(C45&gt;0,C45*0.75,"")</f>
        <v/>
      </c>
      <c r="D60" s="445" t="str">
        <f t="shared" si="14"/>
        <v/>
      </c>
      <c r="E60" s="444" t="str">
        <f t="shared" si="14"/>
        <v/>
      </c>
      <c r="F60" s="445" t="str">
        <f t="shared" si="14"/>
        <v/>
      </c>
      <c r="G60" s="444" t="str">
        <f t="shared" si="14"/>
        <v/>
      </c>
      <c r="H60" s="445" t="str">
        <f t="shared" si="14"/>
        <v/>
      </c>
      <c r="I60" s="446" t="str">
        <f t="shared" si="14"/>
        <v/>
      </c>
      <c r="J60" s="445" t="str">
        <f t="shared" si="14"/>
        <v/>
      </c>
      <c r="K60" s="444" t="str">
        <f t="shared" si="14"/>
        <v/>
      </c>
      <c r="L60" s="445" t="str">
        <f t="shared" si="14"/>
        <v/>
      </c>
      <c r="M60" s="444" t="str">
        <f t="shared" si="14"/>
        <v/>
      </c>
      <c r="N60" s="445" t="str">
        <f t="shared" si="14"/>
        <v/>
      </c>
      <c r="O60" s="444" t="str">
        <f t="shared" si="14"/>
        <v/>
      </c>
      <c r="P60" s="447" t="str">
        <f t="shared" si="14"/>
        <v/>
      </c>
      <c r="Q60" s="444" t="str">
        <f t="shared" si="14"/>
        <v/>
      </c>
      <c r="R60" s="445" t="str">
        <f t="shared" si="14"/>
        <v/>
      </c>
      <c r="S60" s="444" t="str">
        <f t="shared" si="14"/>
        <v/>
      </c>
      <c r="T60" s="445" t="str">
        <f t="shared" si="14"/>
        <v/>
      </c>
      <c r="U60" s="444" t="str">
        <f t="shared" si="14"/>
        <v/>
      </c>
      <c r="V60" s="445" t="str">
        <f t="shared" si="14"/>
        <v/>
      </c>
      <c r="W60" s="444" t="str">
        <f t="shared" si="14"/>
        <v/>
      </c>
      <c r="X60" s="445" t="str">
        <f t="shared" si="14"/>
        <v/>
      </c>
      <c r="Y60" s="444" t="str">
        <f t="shared" si="14"/>
        <v/>
      </c>
      <c r="Z60" s="445" t="str">
        <f t="shared" si="14"/>
        <v/>
      </c>
      <c r="AA60" s="444" t="str">
        <f t="shared" si="14"/>
        <v/>
      </c>
      <c r="AB60" s="445" t="str">
        <f t="shared" si="14"/>
        <v/>
      </c>
      <c r="AC60" s="444" t="str">
        <f t="shared" si="14"/>
        <v/>
      </c>
      <c r="AD60" s="447" t="str">
        <f t="shared" si="14"/>
        <v/>
      </c>
      <c r="AE60" s="206"/>
    </row>
    <row r="61" ht="15.75" customHeight="1">
      <c r="A61" s="207"/>
      <c r="B61" s="443" t="s">
        <v>188</v>
      </c>
      <c r="C61" s="444">
        <f t="shared" ref="C61:AD61" si="15">IFS(AND(C51&lt;&gt;"",C37&lt;&gt;""),C51*C37,AND(C51&lt;&gt;"",C31&lt;&gt;""),C51*C31,C51="","")</f>
        <v>176</v>
      </c>
      <c r="D61" s="445">
        <f t="shared" si="15"/>
        <v>290</v>
      </c>
      <c r="E61" s="444">
        <f t="shared" si="15"/>
        <v>291.2</v>
      </c>
      <c r="F61" s="445" t="str">
        <f t="shared" si="15"/>
        <v/>
      </c>
      <c r="G61" s="444" t="str">
        <f t="shared" si="15"/>
        <v/>
      </c>
      <c r="H61" s="448">
        <f t="shared" si="15"/>
        <v>390</v>
      </c>
      <c r="I61" s="449">
        <f t="shared" si="15"/>
        <v>522</v>
      </c>
      <c r="J61" s="445">
        <f t="shared" si="15"/>
        <v>480</v>
      </c>
      <c r="K61" s="444">
        <f t="shared" si="15"/>
        <v>532</v>
      </c>
      <c r="L61" s="445" t="str">
        <f t="shared" si="15"/>
        <v/>
      </c>
      <c r="M61" s="444" t="str">
        <f t="shared" si="15"/>
        <v/>
      </c>
      <c r="N61" s="445" t="str">
        <f t="shared" si="15"/>
        <v/>
      </c>
      <c r="O61" s="444" t="str">
        <f t="shared" si="15"/>
        <v/>
      </c>
      <c r="P61" s="447" t="str">
        <f t="shared" si="15"/>
        <v/>
      </c>
      <c r="Q61" s="444" t="str">
        <f t="shared" si="15"/>
        <v/>
      </c>
      <c r="R61" s="445" t="str">
        <f t="shared" si="15"/>
        <v/>
      </c>
      <c r="S61" s="444" t="str">
        <f t="shared" si="15"/>
        <v/>
      </c>
      <c r="T61" s="444" t="str">
        <f t="shared" si="15"/>
        <v/>
      </c>
      <c r="U61" s="444" t="str">
        <f t="shared" si="15"/>
        <v/>
      </c>
      <c r="V61" s="445" t="str">
        <f t="shared" si="15"/>
        <v/>
      </c>
      <c r="W61" s="444" t="str">
        <f t="shared" si="15"/>
        <v/>
      </c>
      <c r="X61" s="445" t="str">
        <f t="shared" si="15"/>
        <v/>
      </c>
      <c r="Y61" s="444" t="str">
        <f t="shared" si="15"/>
        <v/>
      </c>
      <c r="Z61" s="445" t="str">
        <f t="shared" si="15"/>
        <v/>
      </c>
      <c r="AA61" s="444" t="str">
        <f t="shared" si="15"/>
        <v/>
      </c>
      <c r="AB61" s="445" t="str">
        <f t="shared" si="15"/>
        <v/>
      </c>
      <c r="AC61" s="444" t="str">
        <f t="shared" si="15"/>
        <v/>
      </c>
      <c r="AD61" s="446" t="str">
        <f t="shared" si="15"/>
        <v/>
      </c>
      <c r="AE61" s="206"/>
    </row>
    <row r="62" ht="15.75" customHeight="1">
      <c r="A62" s="275"/>
      <c r="B62" s="450" t="s">
        <v>189</v>
      </c>
      <c r="C62" s="451">
        <f t="shared" ref="C62:AD62" si="16">IFS(C50="","",AND(C50&lt;&gt;"",C27&lt;&gt;""),(C50*100*C27)/C22)</f>
        <v>8.878718535</v>
      </c>
      <c r="D62" s="452">
        <f t="shared" si="16"/>
        <v>7.741935484</v>
      </c>
      <c r="E62" s="453">
        <f t="shared" si="16"/>
        <v>15.69682152</v>
      </c>
      <c r="F62" s="452" t="str">
        <f t="shared" si="16"/>
        <v/>
      </c>
      <c r="G62" s="453" t="str">
        <f t="shared" si="16"/>
        <v/>
      </c>
      <c r="H62" s="452">
        <f t="shared" si="16"/>
        <v>18.07377049</v>
      </c>
      <c r="I62" s="454">
        <f t="shared" si="16"/>
        <v>18.0952381</v>
      </c>
      <c r="J62" s="452">
        <f t="shared" si="16"/>
        <v>13.01075269</v>
      </c>
      <c r="K62" s="453">
        <f t="shared" si="16"/>
        <v>6.875</v>
      </c>
      <c r="L62" s="452" t="str">
        <f t="shared" si="16"/>
        <v/>
      </c>
      <c r="M62" s="453" t="str">
        <f t="shared" si="16"/>
        <v/>
      </c>
      <c r="N62" s="452" t="str">
        <f t="shared" si="16"/>
        <v/>
      </c>
      <c r="O62" s="453" t="str">
        <f t="shared" si="16"/>
        <v/>
      </c>
      <c r="P62" s="455" t="str">
        <f t="shared" si="16"/>
        <v/>
      </c>
      <c r="Q62" s="456" t="str">
        <f t="shared" si="16"/>
        <v/>
      </c>
      <c r="R62" s="457" t="str">
        <f t="shared" si="16"/>
        <v/>
      </c>
      <c r="S62" s="456" t="str">
        <f t="shared" si="16"/>
        <v/>
      </c>
      <c r="T62" s="457" t="str">
        <f t="shared" si="16"/>
        <v/>
      </c>
      <c r="U62" s="456" t="str">
        <f t="shared" si="16"/>
        <v/>
      </c>
      <c r="V62" s="457" t="str">
        <f t="shared" si="16"/>
        <v/>
      </c>
      <c r="W62" s="456" t="str">
        <f t="shared" si="16"/>
        <v/>
      </c>
      <c r="X62" s="457" t="str">
        <f t="shared" si="16"/>
        <v/>
      </c>
      <c r="Y62" s="456" t="str">
        <f t="shared" si="16"/>
        <v/>
      </c>
      <c r="Z62" s="457" t="str">
        <f t="shared" si="16"/>
        <v/>
      </c>
      <c r="AA62" s="456" t="str">
        <f t="shared" si="16"/>
        <v/>
      </c>
      <c r="AB62" s="457" t="str">
        <f t="shared" si="16"/>
        <v/>
      </c>
      <c r="AC62" s="456" t="str">
        <f t="shared" si="16"/>
        <v/>
      </c>
      <c r="AD62" s="455" t="str">
        <f t="shared" si="16"/>
        <v/>
      </c>
      <c r="AE62" s="206"/>
    </row>
    <row r="63" ht="15.75" customHeight="1">
      <c r="A63" s="458"/>
      <c r="B63" s="459"/>
      <c r="C63" s="183"/>
      <c r="D63" s="183"/>
      <c r="E63" s="183"/>
      <c r="F63" s="183"/>
      <c r="G63" s="183"/>
      <c r="H63" s="183"/>
      <c r="I63" s="183"/>
      <c r="J63" s="183"/>
      <c r="K63" s="183"/>
      <c r="L63" s="183"/>
      <c r="M63" s="183"/>
      <c r="N63" s="183"/>
      <c r="O63" s="183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B63" s="185"/>
      <c r="AC63" s="185"/>
      <c r="AD63" s="185"/>
      <c r="AE63" s="206"/>
    </row>
    <row r="64" ht="15.75" customHeight="1">
      <c r="A64" s="458"/>
      <c r="B64" s="459"/>
      <c r="C64" s="183"/>
      <c r="D64" s="183"/>
      <c r="E64" s="183"/>
      <c r="F64" s="183"/>
      <c r="G64" s="183"/>
      <c r="H64" s="183"/>
      <c r="I64" s="183"/>
      <c r="J64" s="183"/>
      <c r="K64" s="183"/>
      <c r="L64" s="183"/>
      <c r="M64" s="183"/>
      <c r="N64" s="183"/>
      <c r="O64" s="183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B64" s="185"/>
      <c r="AC64" s="185"/>
      <c r="AD64" s="185"/>
      <c r="AE64" s="206"/>
    </row>
    <row r="65" ht="15.75" customHeight="1">
      <c r="A65" s="458"/>
      <c r="B65" s="460" t="s">
        <v>110</v>
      </c>
      <c r="C65" s="461">
        <f>SUM(C66:C70)</f>
        <v>8</v>
      </c>
      <c r="D65" s="183"/>
      <c r="E65" s="462" t="s">
        <v>109</v>
      </c>
      <c r="F65" s="463">
        <f>F66+F67+F68+F69+F71</f>
        <v>7</v>
      </c>
      <c r="G65" s="183"/>
      <c r="H65" s="462" t="s">
        <v>111</v>
      </c>
      <c r="I65" s="464">
        <f>SUM(I66:I72)</f>
        <v>6</v>
      </c>
      <c r="J65" s="183"/>
      <c r="K65" s="465" t="s">
        <v>190</v>
      </c>
      <c r="L65" s="190"/>
      <c r="M65" s="466">
        <f>COUNTIF(15:15,"POSITIVO")</f>
        <v>0</v>
      </c>
      <c r="N65" s="183"/>
      <c r="O65" s="467" t="s">
        <v>191</v>
      </c>
      <c r="P65" s="461" t="str">
        <f>IF(P66&gt;0,"SI","NO")</f>
        <v>NO</v>
      </c>
      <c r="Q65" s="68"/>
      <c r="R65" s="68"/>
      <c r="S65" s="468" t="s">
        <v>106</v>
      </c>
      <c r="T65" s="469">
        <f>COUNTIF(28:28,"&lt;200")</f>
        <v>8</v>
      </c>
      <c r="U65" s="68"/>
      <c r="V65" s="68"/>
      <c r="W65" s="68"/>
      <c r="X65" s="68"/>
      <c r="Y65" s="68"/>
      <c r="Z65" s="68"/>
      <c r="AB65" s="185"/>
      <c r="AC65" s="185"/>
      <c r="AD65" s="185"/>
      <c r="AE65" s="206"/>
    </row>
    <row r="66" ht="15.75" customHeight="1">
      <c r="A66" s="68"/>
      <c r="B66" s="470" t="s">
        <v>192</v>
      </c>
      <c r="C66" s="471">
        <f>COUNTIF(14:14,"MDZ")</f>
        <v>2</v>
      </c>
      <c r="D66" s="183"/>
      <c r="E66" s="472" t="s">
        <v>193</v>
      </c>
      <c r="F66" s="473">
        <f>COUNTIF(12:12,"FNT")</f>
        <v>7</v>
      </c>
      <c r="G66" s="183"/>
      <c r="H66" s="472" t="s">
        <v>194</v>
      </c>
      <c r="I66" s="474">
        <f>COUNTIF(19:19,"NORA")</f>
        <v>6</v>
      </c>
      <c r="J66" s="475"/>
      <c r="K66" s="476" t="s">
        <v>195</v>
      </c>
      <c r="L66" s="190"/>
      <c r="M66" s="477">
        <f>COUNTIF(15:15,"NEGATIVO")</f>
        <v>0</v>
      </c>
      <c r="N66" s="475"/>
      <c r="O66" s="478" t="s">
        <v>196</v>
      </c>
      <c r="P66" s="473">
        <f>COUNTIFS(17:17,"&gt;=0",17:17,"&lt;48")</f>
        <v>0</v>
      </c>
      <c r="Q66" s="479" t="s">
        <v>197</v>
      </c>
      <c r="AB66" s="185"/>
      <c r="AC66" s="185"/>
      <c r="AD66" s="185"/>
      <c r="AE66" s="185"/>
    </row>
    <row r="67" ht="15.75" customHeight="1">
      <c r="A67" s="480"/>
      <c r="B67" s="481" t="s">
        <v>198</v>
      </c>
      <c r="C67" s="482">
        <f>COUNTIF(14:14,"PROPO")</f>
        <v>4</v>
      </c>
      <c r="D67" s="483"/>
      <c r="E67" s="484" t="s">
        <v>199</v>
      </c>
      <c r="F67" s="485">
        <f>COUNTIF(12:12,"MORF")</f>
        <v>0</v>
      </c>
      <c r="G67" s="483"/>
      <c r="H67" s="484" t="s">
        <v>200</v>
      </c>
      <c r="I67" s="486">
        <f>COUNTIF(19:19,"VASO")</f>
        <v>0</v>
      </c>
      <c r="J67" s="475"/>
      <c r="K67" s="476" t="s">
        <v>201</v>
      </c>
      <c r="L67" s="190"/>
      <c r="M67" s="477">
        <f>COUNTIF(15:15,"N/E")</f>
        <v>8</v>
      </c>
      <c r="N67" s="475"/>
      <c r="O67" s="487" t="s">
        <v>202</v>
      </c>
      <c r="P67" s="488">
        <f>COUNTIF(17:17,"&gt;=48")</f>
        <v>0</v>
      </c>
      <c r="Q67" s="489" t="s">
        <v>197</v>
      </c>
      <c r="AB67" s="185"/>
      <c r="AC67" s="185"/>
      <c r="AD67" s="185"/>
      <c r="AE67" s="185"/>
    </row>
    <row r="68" ht="15.75" customHeight="1">
      <c r="A68" s="480"/>
      <c r="B68" s="481" t="s">
        <v>203</v>
      </c>
      <c r="C68" s="482">
        <f>COUNTIF(14:14,"DEXMEDETO")</f>
        <v>1</v>
      </c>
      <c r="D68" s="483"/>
      <c r="E68" s="484" t="s">
        <v>204</v>
      </c>
      <c r="F68" s="485">
        <f>COUNTIF(12:12,"REMI")</f>
        <v>0</v>
      </c>
      <c r="G68" s="483"/>
      <c r="H68" s="484" t="s">
        <v>205</v>
      </c>
      <c r="I68" s="486">
        <f>COUNTIF(19:19,"DOPA")</f>
        <v>0</v>
      </c>
      <c r="J68" s="475"/>
      <c r="K68" s="475"/>
      <c r="L68" s="475"/>
      <c r="M68" s="475"/>
      <c r="N68" s="475"/>
      <c r="O68" s="475"/>
      <c r="P68" s="179"/>
      <c r="Q68" s="179"/>
      <c r="AB68" s="185"/>
      <c r="AC68" s="185"/>
      <c r="AD68" s="185"/>
      <c r="AE68" s="185"/>
    </row>
    <row r="69" ht="15.75" customHeight="1">
      <c r="A69" s="480"/>
      <c r="B69" s="481" t="s">
        <v>131</v>
      </c>
      <c r="C69" s="490">
        <f>COUNTIF(14:14,"MDZ/PROPO")</f>
        <v>1</v>
      </c>
      <c r="D69" s="475"/>
      <c r="E69" s="484" t="s">
        <v>206</v>
      </c>
      <c r="F69" s="486">
        <f>COUNTIF(12:12,"DOLOFRIX")</f>
        <v>0</v>
      </c>
      <c r="G69" s="475"/>
      <c r="H69" s="484" t="s">
        <v>207</v>
      </c>
      <c r="I69" s="486">
        <f>COUNTIF(19:19,"NORA/VASO")</f>
        <v>0</v>
      </c>
      <c r="J69" s="475"/>
      <c r="K69" s="491" t="s">
        <v>208</v>
      </c>
      <c r="L69" s="190"/>
      <c r="M69" s="492">
        <f>SUM(M70:M72)</f>
        <v>0</v>
      </c>
      <c r="N69" s="475"/>
      <c r="O69" s="493" t="s">
        <v>103</v>
      </c>
      <c r="P69" s="494">
        <f>SUM(P70:P73)</f>
        <v>4</v>
      </c>
      <c r="Q69" s="179"/>
      <c r="AB69" s="185"/>
      <c r="AC69" s="185"/>
      <c r="AD69" s="185"/>
      <c r="AE69" s="185"/>
    </row>
    <row r="70" ht="15.75" customHeight="1">
      <c r="A70" s="480"/>
      <c r="B70" s="481" t="s">
        <v>209</v>
      </c>
      <c r="C70" s="490">
        <f>COUNTIF(14:14,"KETA")</f>
        <v>0</v>
      </c>
      <c r="D70" s="475"/>
      <c r="E70" s="484" t="s">
        <v>210</v>
      </c>
      <c r="F70" s="486">
        <f>COUNTIF(12:12,"AINES")</f>
        <v>0</v>
      </c>
      <c r="G70" s="475"/>
      <c r="H70" s="484" t="s">
        <v>211</v>
      </c>
      <c r="I70" s="486">
        <f>COUNTIF(19:19,"DOBUTA")</f>
        <v>0</v>
      </c>
      <c r="J70" s="475"/>
      <c r="K70" s="495" t="s">
        <v>212</v>
      </c>
      <c r="L70" s="140"/>
      <c r="M70" s="496">
        <f>COUNTIF(16:16,"QTP")</f>
        <v>0</v>
      </c>
      <c r="N70" s="475"/>
      <c r="O70" s="497" t="s">
        <v>213</v>
      </c>
      <c r="P70" s="498">
        <f>COUNTIF(18:18,"ATRA")</f>
        <v>4</v>
      </c>
      <c r="Q70" s="179"/>
      <c r="AB70" s="185"/>
      <c r="AC70" s="185"/>
      <c r="AD70" s="185"/>
      <c r="AE70" s="185"/>
    </row>
    <row r="71" ht="15.75" customHeight="1">
      <c r="A71" s="480"/>
      <c r="B71" s="499" t="s">
        <v>214</v>
      </c>
      <c r="C71" s="500">
        <f>COUNTIF(14:14,"OTROS")</f>
        <v>0</v>
      </c>
      <c r="D71" s="475"/>
      <c r="E71" s="501" t="s">
        <v>214</v>
      </c>
      <c r="F71" s="488">
        <f>COUNTIF(12:12,"OTROS")</f>
        <v>0</v>
      </c>
      <c r="G71" s="475"/>
      <c r="H71" s="484" t="s">
        <v>215</v>
      </c>
      <c r="I71" s="486">
        <f>COUNTIF(19:19,"MILRI")</f>
        <v>0</v>
      </c>
      <c r="J71" s="475"/>
      <c r="K71" s="495" t="s">
        <v>216</v>
      </c>
      <c r="L71" s="140"/>
      <c r="M71" s="496">
        <f>COUNTIF(16:16,"HLP")</f>
        <v>0</v>
      </c>
      <c r="N71" s="475"/>
      <c r="O71" s="501" t="s">
        <v>217</v>
      </c>
      <c r="P71" s="500">
        <f>COUNTIF(18:18,"ROCU")</f>
        <v>0</v>
      </c>
      <c r="Q71" s="179"/>
      <c r="AB71" s="185"/>
      <c r="AC71" s="185"/>
      <c r="AD71" s="185"/>
      <c r="AE71" s="185"/>
    </row>
    <row r="72" ht="15.75" customHeight="1">
      <c r="B72" s="179"/>
      <c r="C72" s="475"/>
      <c r="D72" s="475"/>
      <c r="E72" s="475"/>
      <c r="F72" s="475"/>
      <c r="G72" s="475"/>
      <c r="H72" s="501" t="s">
        <v>214</v>
      </c>
      <c r="I72" s="488">
        <f>COUNTIF(19:19,"OTROS")</f>
        <v>0</v>
      </c>
      <c r="J72" s="475"/>
      <c r="K72" s="487" t="s">
        <v>218</v>
      </c>
      <c r="L72" s="59"/>
      <c r="M72" s="502">
        <f>COUNTIF(16:16,"QTP/HLP")</f>
        <v>0</v>
      </c>
      <c r="N72" s="475"/>
      <c r="O72" s="503"/>
      <c r="P72" s="475"/>
      <c r="Q72" s="179"/>
      <c r="AB72" s="185"/>
      <c r="AC72" s="185"/>
      <c r="AD72" s="185"/>
      <c r="AE72" s="185"/>
    </row>
    <row r="73" ht="15.75" customHeight="1">
      <c r="B73" s="179"/>
      <c r="C73" s="475"/>
      <c r="D73" s="475"/>
      <c r="E73" s="475"/>
      <c r="F73" s="475"/>
      <c r="G73" s="475"/>
      <c r="H73" s="475"/>
      <c r="I73" s="475"/>
      <c r="J73" s="475"/>
      <c r="K73" s="475"/>
      <c r="L73" s="475"/>
      <c r="M73" s="475"/>
      <c r="N73" s="475"/>
      <c r="O73" s="503"/>
      <c r="P73" s="475"/>
      <c r="Q73" s="179"/>
      <c r="AB73" s="185"/>
      <c r="AC73" s="185"/>
      <c r="AD73" s="185"/>
      <c r="AE73" s="185"/>
    </row>
    <row r="74" ht="15.75" customHeight="1">
      <c r="C74" s="184"/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AB74" s="185"/>
      <c r="AC74" s="185"/>
      <c r="AD74" s="185"/>
      <c r="AE74" s="185"/>
    </row>
    <row r="75" ht="15.75" customHeight="1">
      <c r="C75" s="184"/>
      <c r="D75" s="184"/>
      <c r="E75" s="184"/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AB75" s="185"/>
      <c r="AC75" s="185"/>
      <c r="AD75" s="185"/>
      <c r="AE75" s="185"/>
    </row>
    <row r="76" ht="15.75" customHeight="1">
      <c r="C76" s="184"/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AB76" s="185"/>
      <c r="AC76" s="185"/>
      <c r="AD76" s="185"/>
      <c r="AE76" s="185"/>
    </row>
    <row r="77" ht="15.75" customHeight="1">
      <c r="C77" s="184"/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AB77" s="185"/>
      <c r="AC77" s="185"/>
      <c r="AD77" s="185"/>
      <c r="AE77" s="185"/>
    </row>
    <row r="78" ht="15.75" customHeight="1">
      <c r="C78" s="184"/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AB78" s="185"/>
      <c r="AC78" s="185"/>
      <c r="AD78" s="185"/>
      <c r="AE78" s="185"/>
    </row>
    <row r="79" ht="15.75" customHeight="1">
      <c r="C79" s="184"/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AB79" s="185"/>
      <c r="AC79" s="185"/>
      <c r="AD79" s="185"/>
      <c r="AE79" s="185"/>
    </row>
    <row r="80" ht="15.75" customHeight="1">
      <c r="C80" s="184"/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AB80" s="185"/>
      <c r="AC80" s="185"/>
      <c r="AD80" s="185"/>
      <c r="AE80" s="185"/>
    </row>
    <row r="81" ht="15.75" customHeight="1">
      <c r="C81" s="184"/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AB81" s="185"/>
      <c r="AC81" s="185"/>
      <c r="AD81" s="185"/>
      <c r="AE81" s="185"/>
    </row>
    <row r="82" ht="15.75" customHeight="1"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AB82" s="185"/>
      <c r="AC82" s="185"/>
      <c r="AD82" s="185"/>
      <c r="AE82" s="185"/>
    </row>
    <row r="83" ht="15.75" customHeight="1"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AB83" s="185"/>
      <c r="AC83" s="185"/>
      <c r="AD83" s="185"/>
      <c r="AE83" s="185"/>
    </row>
    <row r="84" ht="15.75" customHeight="1"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AB84" s="185"/>
      <c r="AC84" s="185"/>
      <c r="AD84" s="185"/>
      <c r="AE84" s="185"/>
    </row>
    <row r="85" ht="15.75" customHeight="1">
      <c r="C85" s="184"/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AB85" s="185"/>
      <c r="AC85" s="185"/>
      <c r="AD85" s="185"/>
      <c r="AE85" s="185"/>
    </row>
    <row r="86" ht="15.75" customHeight="1">
      <c r="C86" s="184"/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AB86" s="185"/>
      <c r="AC86" s="185"/>
      <c r="AD86" s="185"/>
      <c r="AE86" s="185"/>
    </row>
    <row r="87" ht="15.75" customHeight="1">
      <c r="C87" s="184"/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AB87" s="185"/>
      <c r="AC87" s="185"/>
      <c r="AD87" s="185"/>
      <c r="AE87" s="185"/>
    </row>
    <row r="88" ht="15.75" customHeight="1"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AB88" s="185"/>
      <c r="AC88" s="185"/>
      <c r="AD88" s="185"/>
      <c r="AE88" s="185"/>
    </row>
    <row r="89" ht="15.75" customHeight="1">
      <c r="C89" s="184"/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AB89" s="185"/>
      <c r="AC89" s="185"/>
      <c r="AD89" s="185"/>
      <c r="AE89" s="185"/>
    </row>
    <row r="90" ht="15.75" customHeight="1"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AB90" s="185"/>
      <c r="AC90" s="185"/>
      <c r="AD90" s="185"/>
      <c r="AE90" s="185"/>
    </row>
    <row r="91" ht="15.75" customHeight="1"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AB91" s="185"/>
      <c r="AC91" s="185"/>
      <c r="AD91" s="185"/>
      <c r="AE91" s="185"/>
    </row>
    <row r="92" ht="15.75" customHeight="1"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AB92" s="185"/>
      <c r="AC92" s="185"/>
      <c r="AD92" s="185"/>
      <c r="AE92" s="185"/>
    </row>
    <row r="93" ht="15.75" customHeight="1"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AB93" s="185"/>
      <c r="AC93" s="185"/>
      <c r="AD93" s="185"/>
      <c r="AE93" s="185"/>
    </row>
    <row r="94" ht="15.75" customHeight="1">
      <c r="C94" s="184"/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AB94" s="185"/>
      <c r="AC94" s="185"/>
      <c r="AD94" s="185"/>
      <c r="AE94" s="185"/>
    </row>
    <row r="95" ht="15.75" customHeight="1">
      <c r="C95" s="184"/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AB95" s="185"/>
      <c r="AC95" s="185"/>
      <c r="AD95" s="185"/>
      <c r="AE95" s="185"/>
    </row>
    <row r="96" ht="15.75" customHeight="1">
      <c r="C96" s="184"/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AB96" s="185"/>
      <c r="AC96" s="185"/>
      <c r="AD96" s="185"/>
      <c r="AE96" s="185"/>
    </row>
    <row r="97" ht="15.75" customHeight="1">
      <c r="C97" s="184"/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AB97" s="185"/>
      <c r="AC97" s="185"/>
      <c r="AD97" s="185"/>
      <c r="AE97" s="185"/>
    </row>
    <row r="98" ht="15.75" customHeight="1">
      <c r="C98" s="184"/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AB98" s="185"/>
      <c r="AC98" s="185"/>
      <c r="AD98" s="185"/>
      <c r="AE98" s="185"/>
    </row>
    <row r="99" ht="15.75" customHeight="1"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AB99" s="185"/>
      <c r="AC99" s="185"/>
      <c r="AD99" s="185"/>
      <c r="AE99" s="185"/>
    </row>
    <row r="100" ht="15.75" customHeight="1"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AB100" s="185"/>
      <c r="AC100" s="185"/>
      <c r="AD100" s="185"/>
      <c r="AE100" s="185"/>
    </row>
    <row r="101" ht="15.75" customHeight="1">
      <c r="C101" s="184"/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AB101" s="185"/>
      <c r="AC101" s="185"/>
      <c r="AD101" s="185"/>
      <c r="AE101" s="185"/>
    </row>
    <row r="102" ht="15.75" customHeight="1">
      <c r="C102" s="184"/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AB102" s="185"/>
      <c r="AC102" s="185"/>
      <c r="AD102" s="185"/>
      <c r="AE102" s="185"/>
    </row>
    <row r="103" ht="15.75" customHeight="1">
      <c r="C103" s="184"/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AB103" s="185"/>
      <c r="AC103" s="185"/>
      <c r="AD103" s="185"/>
      <c r="AE103" s="185"/>
    </row>
    <row r="104" ht="15.75" customHeight="1">
      <c r="C104" s="184"/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AB104" s="185"/>
      <c r="AC104" s="185"/>
      <c r="AD104" s="185"/>
      <c r="AE104" s="185"/>
    </row>
    <row r="105" ht="15.75" customHeight="1"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AB105" s="185"/>
      <c r="AC105" s="185"/>
      <c r="AD105" s="185"/>
      <c r="AE105" s="185"/>
    </row>
    <row r="106" ht="15.75" customHeight="1"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AB106" s="185"/>
      <c r="AC106" s="185"/>
      <c r="AD106" s="185"/>
      <c r="AE106" s="185"/>
    </row>
    <row r="107" ht="15.75" customHeight="1">
      <c r="C107" s="184"/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AB107" s="185"/>
      <c r="AC107" s="185"/>
      <c r="AD107" s="185"/>
      <c r="AE107" s="185"/>
    </row>
    <row r="108" ht="15.75" customHeight="1">
      <c r="C108" s="184"/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AB108" s="185"/>
      <c r="AC108" s="185"/>
      <c r="AD108" s="185"/>
      <c r="AE108" s="185"/>
    </row>
    <row r="109" ht="15.75" customHeight="1">
      <c r="C109" s="184"/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AB109" s="185"/>
      <c r="AC109" s="185"/>
      <c r="AD109" s="185"/>
      <c r="AE109" s="185"/>
    </row>
    <row r="110" ht="15.75" customHeight="1"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AB110" s="185"/>
      <c r="AC110" s="185"/>
      <c r="AD110" s="185"/>
      <c r="AE110" s="185"/>
    </row>
    <row r="111" ht="15.75" customHeight="1"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AB111" s="185"/>
      <c r="AC111" s="185"/>
      <c r="AD111" s="185"/>
      <c r="AE111" s="185"/>
    </row>
    <row r="112" ht="15.75" customHeight="1"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AB112" s="185"/>
      <c r="AC112" s="185"/>
      <c r="AD112" s="185"/>
      <c r="AE112" s="185"/>
    </row>
    <row r="113" ht="15.75" customHeight="1"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AB113" s="185"/>
      <c r="AC113" s="185"/>
      <c r="AD113" s="185"/>
      <c r="AE113" s="185"/>
    </row>
    <row r="114" ht="15.75" customHeight="1"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AB114" s="185"/>
      <c r="AC114" s="185"/>
      <c r="AD114" s="185"/>
      <c r="AE114" s="185"/>
    </row>
    <row r="115" ht="15.75" customHeight="1"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AB115" s="185"/>
      <c r="AC115" s="185"/>
      <c r="AD115" s="185"/>
      <c r="AE115" s="185"/>
    </row>
    <row r="116" ht="15.75" customHeight="1"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AB116" s="185"/>
      <c r="AC116" s="185"/>
      <c r="AD116" s="185"/>
      <c r="AE116" s="185"/>
    </row>
    <row r="117" ht="15.75" customHeight="1"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AB117" s="185"/>
      <c r="AC117" s="185"/>
      <c r="AD117" s="185"/>
      <c r="AE117" s="185"/>
    </row>
    <row r="118" ht="15.75" customHeight="1"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AB118" s="185"/>
      <c r="AC118" s="185"/>
      <c r="AD118" s="185"/>
      <c r="AE118" s="185"/>
    </row>
    <row r="119" ht="15.75" customHeight="1"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AB119" s="185"/>
      <c r="AC119" s="185"/>
      <c r="AD119" s="185"/>
      <c r="AE119" s="185"/>
    </row>
    <row r="120" ht="15.75" customHeight="1"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AB120" s="185"/>
      <c r="AC120" s="185"/>
      <c r="AD120" s="185"/>
      <c r="AE120" s="185"/>
    </row>
    <row r="121" ht="15.75" customHeight="1"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AB121" s="185"/>
      <c r="AC121" s="185"/>
      <c r="AD121" s="185"/>
      <c r="AE121" s="185"/>
    </row>
    <row r="122" ht="15.75" customHeight="1"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AB122" s="185"/>
      <c r="AC122" s="185"/>
      <c r="AD122" s="185"/>
      <c r="AE122" s="185"/>
    </row>
    <row r="123" ht="15.75" customHeight="1"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AB123" s="185"/>
      <c r="AC123" s="185"/>
      <c r="AD123" s="185"/>
      <c r="AE123" s="185"/>
    </row>
    <row r="124" ht="15.75" customHeight="1"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AB124" s="185"/>
      <c r="AC124" s="185"/>
      <c r="AD124" s="185"/>
      <c r="AE124" s="185"/>
    </row>
    <row r="125" ht="15.75" customHeight="1"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AB125" s="185"/>
      <c r="AC125" s="185"/>
      <c r="AD125" s="185"/>
      <c r="AE125" s="185"/>
    </row>
    <row r="126" ht="15.75" customHeight="1"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AB126" s="185"/>
      <c r="AC126" s="185"/>
      <c r="AD126" s="185"/>
      <c r="AE126" s="185"/>
    </row>
    <row r="127" ht="15.75" customHeight="1"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AB127" s="185"/>
      <c r="AC127" s="185"/>
      <c r="AD127" s="185"/>
      <c r="AE127" s="185"/>
    </row>
    <row r="128" ht="15.75" customHeight="1"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AB128" s="185"/>
      <c r="AC128" s="185"/>
      <c r="AD128" s="185"/>
      <c r="AE128" s="185"/>
    </row>
    <row r="129" ht="15.75" customHeight="1"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AB129" s="185"/>
      <c r="AC129" s="185"/>
      <c r="AD129" s="185"/>
      <c r="AE129" s="185"/>
    </row>
    <row r="130" ht="15.75" customHeight="1"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AB130" s="185"/>
      <c r="AC130" s="185"/>
      <c r="AD130" s="185"/>
      <c r="AE130" s="185"/>
    </row>
    <row r="131" ht="15.75" customHeight="1"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AB131" s="185"/>
      <c r="AC131" s="185"/>
      <c r="AD131" s="185"/>
      <c r="AE131" s="185"/>
    </row>
    <row r="132" ht="15.75" customHeight="1"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AB132" s="185"/>
      <c r="AC132" s="185"/>
      <c r="AD132" s="185"/>
      <c r="AE132" s="185"/>
    </row>
    <row r="133" ht="15.75" customHeight="1"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AB133" s="185"/>
      <c r="AC133" s="185"/>
      <c r="AD133" s="185"/>
      <c r="AE133" s="185"/>
    </row>
    <row r="134" ht="15.75" customHeight="1"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AB134" s="185"/>
      <c r="AC134" s="185"/>
      <c r="AD134" s="185"/>
      <c r="AE134" s="185"/>
    </row>
    <row r="135" ht="15.75" customHeight="1"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AB135" s="185"/>
      <c r="AC135" s="185"/>
      <c r="AD135" s="185"/>
      <c r="AE135" s="185"/>
    </row>
    <row r="136" ht="15.75" customHeight="1"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AB136" s="185"/>
      <c r="AC136" s="185"/>
      <c r="AD136" s="185"/>
      <c r="AE136" s="185"/>
    </row>
    <row r="137" ht="15.75" customHeight="1"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AB137" s="185"/>
      <c r="AC137" s="185"/>
      <c r="AD137" s="185"/>
      <c r="AE137" s="185"/>
    </row>
    <row r="138" ht="15.75" customHeight="1"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AB138" s="185"/>
      <c r="AC138" s="185"/>
      <c r="AD138" s="185"/>
      <c r="AE138" s="185"/>
    </row>
    <row r="139" ht="15.75" customHeight="1"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AB139" s="185"/>
      <c r="AC139" s="185"/>
      <c r="AD139" s="185"/>
      <c r="AE139" s="185"/>
    </row>
    <row r="140" ht="15.75" customHeight="1"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AB140" s="185"/>
      <c r="AC140" s="185"/>
      <c r="AD140" s="185"/>
      <c r="AE140" s="185"/>
    </row>
    <row r="141" ht="15.75" customHeight="1"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AB141" s="185"/>
      <c r="AC141" s="185"/>
      <c r="AD141" s="185"/>
      <c r="AE141" s="185"/>
    </row>
    <row r="142" ht="15.75" customHeight="1"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AB142" s="185"/>
      <c r="AC142" s="185"/>
      <c r="AD142" s="185"/>
      <c r="AE142" s="185"/>
    </row>
    <row r="143" ht="15.75" customHeight="1"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AB143" s="185"/>
      <c r="AC143" s="185"/>
      <c r="AD143" s="185"/>
      <c r="AE143" s="185"/>
    </row>
    <row r="144" ht="15.75" customHeight="1"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AB144" s="185"/>
      <c r="AC144" s="185"/>
      <c r="AD144" s="185"/>
      <c r="AE144" s="185"/>
    </row>
    <row r="145" ht="15.75" customHeight="1"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AB145" s="185"/>
      <c r="AC145" s="185"/>
      <c r="AD145" s="185"/>
      <c r="AE145" s="185"/>
    </row>
    <row r="146" ht="15.75" customHeight="1"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AB146" s="185"/>
      <c r="AC146" s="185"/>
      <c r="AD146" s="185"/>
      <c r="AE146" s="185"/>
    </row>
    <row r="147" ht="15.75" customHeight="1"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AB147" s="185"/>
      <c r="AC147" s="185"/>
      <c r="AD147" s="185"/>
      <c r="AE147" s="185"/>
    </row>
    <row r="148" ht="15.75" customHeight="1"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AB148" s="185"/>
      <c r="AC148" s="185"/>
      <c r="AD148" s="185"/>
      <c r="AE148" s="185"/>
    </row>
    <row r="149" ht="15.75" customHeight="1"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AB149" s="185"/>
      <c r="AC149" s="185"/>
      <c r="AD149" s="185"/>
      <c r="AE149" s="185"/>
    </row>
    <row r="150" ht="15.75" customHeight="1"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AB150" s="185"/>
      <c r="AC150" s="185"/>
      <c r="AD150" s="185"/>
      <c r="AE150" s="185"/>
    </row>
    <row r="151" ht="15.75" customHeight="1"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AB151" s="185"/>
      <c r="AC151" s="185"/>
      <c r="AD151" s="185"/>
      <c r="AE151" s="185"/>
    </row>
    <row r="152" ht="15.75" customHeight="1"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AB152" s="185"/>
      <c r="AC152" s="185"/>
      <c r="AD152" s="185"/>
      <c r="AE152" s="185"/>
    </row>
    <row r="153" ht="15.75" customHeight="1"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AB153" s="185"/>
      <c r="AC153" s="185"/>
      <c r="AD153" s="185"/>
      <c r="AE153" s="185"/>
    </row>
    <row r="154" ht="15.75" customHeight="1"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AB154" s="185"/>
      <c r="AC154" s="185"/>
      <c r="AD154" s="185"/>
      <c r="AE154" s="185"/>
    </row>
    <row r="155" ht="15.75" customHeight="1"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AB155" s="185"/>
      <c r="AC155" s="185"/>
      <c r="AD155" s="185"/>
      <c r="AE155" s="185"/>
    </row>
    <row r="156" ht="15.75" customHeight="1"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AB156" s="185"/>
      <c r="AC156" s="185"/>
      <c r="AD156" s="185"/>
      <c r="AE156" s="185"/>
    </row>
    <row r="157" ht="15.75" customHeight="1"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AB157" s="185"/>
      <c r="AC157" s="185"/>
      <c r="AD157" s="185"/>
      <c r="AE157" s="185"/>
    </row>
    <row r="158" ht="15.75" customHeight="1"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AB158" s="185"/>
      <c r="AC158" s="185"/>
      <c r="AD158" s="185"/>
      <c r="AE158" s="185"/>
    </row>
    <row r="159" ht="15.75" customHeight="1"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AB159" s="185"/>
      <c r="AC159" s="185"/>
      <c r="AD159" s="185"/>
      <c r="AE159" s="185"/>
    </row>
    <row r="160" ht="15.75" customHeight="1"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AB160" s="185"/>
      <c r="AC160" s="185"/>
      <c r="AD160" s="185"/>
      <c r="AE160" s="185"/>
    </row>
    <row r="161" ht="15.75" customHeight="1"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AB161" s="185"/>
      <c r="AC161" s="185"/>
      <c r="AD161" s="185"/>
      <c r="AE161" s="185"/>
    </row>
    <row r="162" ht="15.75" customHeight="1"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AB162" s="185"/>
      <c r="AC162" s="185"/>
      <c r="AD162" s="185"/>
      <c r="AE162" s="185"/>
    </row>
    <row r="163" ht="15.75" customHeight="1"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AB163" s="185"/>
      <c r="AC163" s="185"/>
      <c r="AD163" s="185"/>
      <c r="AE163" s="185"/>
    </row>
    <row r="164" ht="15.75" customHeight="1"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AB164" s="185"/>
      <c r="AC164" s="185"/>
      <c r="AD164" s="185"/>
      <c r="AE164" s="185"/>
    </row>
    <row r="165" ht="15.75" customHeight="1"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AB165" s="185"/>
      <c r="AC165" s="185"/>
      <c r="AD165" s="185"/>
      <c r="AE165" s="185"/>
    </row>
    <row r="166" ht="15.75" customHeight="1"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AB166" s="185"/>
      <c r="AC166" s="185"/>
      <c r="AD166" s="185"/>
      <c r="AE166" s="185"/>
    </row>
    <row r="167" ht="15.75" customHeight="1"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AB167" s="185"/>
      <c r="AC167" s="185"/>
      <c r="AD167" s="185"/>
      <c r="AE167" s="185"/>
    </row>
    <row r="168" ht="15.75" customHeight="1"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AB168" s="185"/>
      <c r="AC168" s="185"/>
      <c r="AD168" s="185"/>
      <c r="AE168" s="185"/>
    </row>
    <row r="169" ht="15.75" customHeight="1"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AB169" s="185"/>
      <c r="AC169" s="185"/>
      <c r="AD169" s="185"/>
      <c r="AE169" s="185"/>
    </row>
    <row r="170" ht="15.75" customHeight="1"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AB170" s="185"/>
      <c r="AC170" s="185"/>
      <c r="AD170" s="185"/>
      <c r="AE170" s="185"/>
    </row>
    <row r="171" ht="15.75" customHeight="1"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AB171" s="185"/>
      <c r="AC171" s="185"/>
      <c r="AD171" s="185"/>
      <c r="AE171" s="185"/>
    </row>
    <row r="172" ht="15.75" customHeight="1"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AB172" s="185"/>
      <c r="AC172" s="185"/>
      <c r="AD172" s="185"/>
      <c r="AE172" s="185"/>
    </row>
    <row r="173" ht="15.75" customHeight="1"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AB173" s="185"/>
      <c r="AC173" s="185"/>
      <c r="AD173" s="185"/>
      <c r="AE173" s="185"/>
    </row>
    <row r="174" ht="15.75" customHeight="1"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AB174" s="185"/>
      <c r="AC174" s="185"/>
      <c r="AD174" s="185"/>
      <c r="AE174" s="185"/>
    </row>
    <row r="175" ht="15.75" customHeight="1"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AB175" s="185"/>
      <c r="AC175" s="185"/>
      <c r="AD175" s="185"/>
      <c r="AE175" s="185"/>
    </row>
    <row r="176" ht="15.75" customHeight="1"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AB176" s="185"/>
      <c r="AC176" s="185"/>
      <c r="AD176" s="185"/>
      <c r="AE176" s="185"/>
    </row>
    <row r="177" ht="15.75" customHeight="1"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AB177" s="185"/>
      <c r="AC177" s="185"/>
      <c r="AD177" s="185"/>
      <c r="AE177" s="185"/>
    </row>
    <row r="178" ht="15.75" customHeight="1"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AB178" s="185"/>
      <c r="AC178" s="185"/>
      <c r="AD178" s="185"/>
      <c r="AE178" s="185"/>
    </row>
    <row r="179" ht="15.75" customHeight="1"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AB179" s="185"/>
      <c r="AC179" s="185"/>
      <c r="AD179" s="185"/>
      <c r="AE179" s="185"/>
    </row>
    <row r="180" ht="15.75" customHeight="1"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AB180" s="185"/>
      <c r="AC180" s="185"/>
      <c r="AD180" s="185"/>
      <c r="AE180" s="185"/>
    </row>
    <row r="181" ht="15.75" customHeight="1"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AB181" s="185"/>
      <c r="AC181" s="185"/>
      <c r="AD181" s="185"/>
      <c r="AE181" s="185"/>
    </row>
    <row r="182" ht="15.75" customHeight="1"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AB182" s="185"/>
      <c r="AC182" s="185"/>
      <c r="AD182" s="185"/>
      <c r="AE182" s="185"/>
    </row>
    <row r="183" ht="15.75" customHeight="1"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AB183" s="185"/>
      <c r="AC183" s="185"/>
      <c r="AD183" s="185"/>
      <c r="AE183" s="185"/>
    </row>
    <row r="184" ht="15.75" customHeight="1"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AB184" s="185"/>
      <c r="AC184" s="185"/>
      <c r="AD184" s="185"/>
      <c r="AE184" s="185"/>
    </row>
    <row r="185" ht="15.75" customHeight="1"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AB185" s="185"/>
      <c r="AC185" s="185"/>
      <c r="AD185" s="185"/>
      <c r="AE185" s="185"/>
    </row>
    <row r="186" ht="15.75" customHeight="1"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AB186" s="185"/>
      <c r="AC186" s="185"/>
      <c r="AD186" s="185"/>
      <c r="AE186" s="185"/>
    </row>
    <row r="187" ht="15.75" customHeight="1"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AB187" s="185"/>
      <c r="AC187" s="185"/>
      <c r="AD187" s="185"/>
      <c r="AE187" s="185"/>
    </row>
    <row r="188" ht="15.75" customHeight="1"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AB188" s="185"/>
      <c r="AC188" s="185"/>
      <c r="AD188" s="185"/>
      <c r="AE188" s="185"/>
    </row>
    <row r="189" ht="15.75" customHeight="1"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AB189" s="185"/>
      <c r="AC189" s="185"/>
      <c r="AD189" s="185"/>
      <c r="AE189" s="185"/>
    </row>
    <row r="190" ht="15.75" customHeight="1"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AB190" s="185"/>
      <c r="AC190" s="185"/>
      <c r="AD190" s="185"/>
      <c r="AE190" s="185"/>
    </row>
    <row r="191" ht="15.75" customHeight="1"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AB191" s="185"/>
      <c r="AC191" s="185"/>
      <c r="AD191" s="185"/>
      <c r="AE191" s="185"/>
    </row>
    <row r="192" ht="15.75" customHeight="1"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AB192" s="185"/>
      <c r="AC192" s="185"/>
      <c r="AD192" s="185"/>
      <c r="AE192" s="185"/>
    </row>
    <row r="193" ht="15.75" customHeight="1"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AB193" s="185"/>
      <c r="AC193" s="185"/>
      <c r="AD193" s="185"/>
      <c r="AE193" s="185"/>
    </row>
    <row r="194" ht="15.75" customHeight="1"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AB194" s="185"/>
      <c r="AC194" s="185"/>
      <c r="AD194" s="185"/>
      <c r="AE194" s="185"/>
    </row>
    <row r="195" ht="15.75" customHeight="1"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AB195" s="185"/>
      <c r="AC195" s="185"/>
      <c r="AD195" s="185"/>
      <c r="AE195" s="185"/>
    </row>
    <row r="196" ht="15.75" customHeight="1"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AB196" s="185"/>
      <c r="AC196" s="185"/>
      <c r="AD196" s="185"/>
      <c r="AE196" s="185"/>
    </row>
    <row r="197" ht="15.75" customHeight="1"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AB197" s="185"/>
      <c r="AC197" s="185"/>
      <c r="AD197" s="185"/>
      <c r="AE197" s="185"/>
    </row>
    <row r="198" ht="15.75" customHeight="1"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AB198" s="185"/>
      <c r="AC198" s="185"/>
      <c r="AD198" s="185"/>
      <c r="AE198" s="185"/>
    </row>
    <row r="199" ht="15.75" customHeight="1"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AB199" s="185"/>
      <c r="AC199" s="185"/>
      <c r="AD199" s="185"/>
      <c r="AE199" s="185"/>
    </row>
    <row r="200" ht="15.75" customHeight="1"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AB200" s="185"/>
      <c r="AC200" s="185"/>
      <c r="AD200" s="185"/>
      <c r="AE200" s="185"/>
    </row>
    <row r="201" ht="15.75" customHeight="1">
      <c r="C201" s="184"/>
      <c r="D201" s="184"/>
      <c r="E201" s="184"/>
      <c r="F201" s="184"/>
      <c r="G201" s="184"/>
      <c r="H201" s="184"/>
      <c r="I201" s="184"/>
      <c r="J201" s="184"/>
      <c r="K201" s="184"/>
      <c r="L201" s="184"/>
      <c r="M201" s="184"/>
      <c r="N201" s="184"/>
      <c r="O201" s="184"/>
      <c r="AB201" s="185"/>
      <c r="AC201" s="185"/>
      <c r="AD201" s="185"/>
      <c r="AE201" s="185"/>
    </row>
    <row r="202" ht="15.75" customHeight="1">
      <c r="C202" s="184"/>
      <c r="D202" s="184"/>
      <c r="E202" s="184"/>
      <c r="F202" s="184"/>
      <c r="G202" s="184"/>
      <c r="H202" s="184"/>
      <c r="I202" s="184"/>
      <c r="J202" s="184"/>
      <c r="K202" s="184"/>
      <c r="L202" s="184"/>
      <c r="M202" s="184"/>
      <c r="N202" s="184"/>
      <c r="O202" s="184"/>
      <c r="AB202" s="185"/>
      <c r="AC202" s="185"/>
      <c r="AD202" s="185"/>
      <c r="AE202" s="185"/>
    </row>
    <row r="203" ht="15.75" customHeight="1">
      <c r="C203" s="184"/>
      <c r="D203" s="184"/>
      <c r="E203" s="184"/>
      <c r="F203" s="184"/>
      <c r="G203" s="184"/>
      <c r="H203" s="184"/>
      <c r="I203" s="184"/>
      <c r="J203" s="184"/>
      <c r="K203" s="184"/>
      <c r="L203" s="184"/>
      <c r="M203" s="184"/>
      <c r="N203" s="184"/>
      <c r="O203" s="184"/>
      <c r="AB203" s="185"/>
      <c r="AC203" s="185"/>
      <c r="AD203" s="185"/>
      <c r="AE203" s="185"/>
    </row>
    <row r="204" ht="15.75" customHeight="1"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AB204" s="185"/>
      <c r="AC204" s="185"/>
      <c r="AD204" s="185"/>
      <c r="AE204" s="185"/>
    </row>
    <row r="205" ht="15.75" customHeight="1"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4"/>
      <c r="N205" s="184"/>
      <c r="O205" s="184"/>
      <c r="AB205" s="185"/>
      <c r="AC205" s="185"/>
      <c r="AD205" s="185"/>
      <c r="AE205" s="185"/>
    </row>
    <row r="206" ht="15.75" customHeight="1"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4"/>
      <c r="N206" s="184"/>
      <c r="O206" s="184"/>
      <c r="AB206" s="185"/>
      <c r="AC206" s="185"/>
      <c r="AD206" s="185"/>
      <c r="AE206" s="185"/>
    </row>
    <row r="207" ht="15.75" customHeight="1">
      <c r="C207" s="184"/>
      <c r="D207" s="184"/>
      <c r="E207" s="184"/>
      <c r="F207" s="184"/>
      <c r="G207" s="184"/>
      <c r="H207" s="184"/>
      <c r="I207" s="184"/>
      <c r="J207" s="184"/>
      <c r="K207" s="184"/>
      <c r="L207" s="184"/>
      <c r="M207" s="184"/>
      <c r="N207" s="184"/>
      <c r="O207" s="184"/>
      <c r="AB207" s="185"/>
      <c r="AC207" s="185"/>
      <c r="AD207" s="185"/>
      <c r="AE207" s="185"/>
    </row>
    <row r="208" ht="15.75" customHeight="1">
      <c r="C208" s="184"/>
      <c r="D208" s="184"/>
      <c r="E208" s="184"/>
      <c r="F208" s="184"/>
      <c r="G208" s="184"/>
      <c r="H208" s="184"/>
      <c r="I208" s="184"/>
      <c r="J208" s="184"/>
      <c r="K208" s="184"/>
      <c r="L208" s="184"/>
      <c r="M208" s="184"/>
      <c r="N208" s="184"/>
      <c r="O208" s="184"/>
      <c r="AB208" s="185"/>
      <c r="AC208" s="185"/>
      <c r="AD208" s="185"/>
      <c r="AE208" s="185"/>
    </row>
    <row r="209" ht="15.75" customHeight="1">
      <c r="C209" s="184"/>
      <c r="D209" s="184"/>
      <c r="E209" s="184"/>
      <c r="F209" s="184"/>
      <c r="G209" s="184"/>
      <c r="H209" s="184"/>
      <c r="I209" s="184"/>
      <c r="J209" s="184"/>
      <c r="K209" s="184"/>
      <c r="L209" s="184"/>
      <c r="M209" s="184"/>
      <c r="N209" s="184"/>
      <c r="O209" s="184"/>
      <c r="AB209" s="185"/>
      <c r="AC209" s="185"/>
      <c r="AD209" s="185"/>
      <c r="AE209" s="185"/>
    </row>
    <row r="210" ht="15.75" customHeight="1">
      <c r="C210" s="184"/>
      <c r="D210" s="184"/>
      <c r="E210" s="184"/>
      <c r="F210" s="184"/>
      <c r="G210" s="184"/>
      <c r="H210" s="184"/>
      <c r="I210" s="184"/>
      <c r="J210" s="184"/>
      <c r="K210" s="184"/>
      <c r="L210" s="184"/>
      <c r="M210" s="184"/>
      <c r="N210" s="184"/>
      <c r="O210" s="184"/>
      <c r="AB210" s="185"/>
      <c r="AC210" s="185"/>
      <c r="AD210" s="185"/>
      <c r="AE210" s="185"/>
    </row>
    <row r="211" ht="15.75" customHeight="1">
      <c r="C211" s="184"/>
      <c r="D211" s="184"/>
      <c r="E211" s="184"/>
      <c r="F211" s="184"/>
      <c r="G211" s="184"/>
      <c r="H211" s="184"/>
      <c r="I211" s="184"/>
      <c r="J211" s="184"/>
      <c r="K211" s="184"/>
      <c r="L211" s="184"/>
      <c r="M211" s="184"/>
      <c r="N211" s="184"/>
      <c r="O211" s="184"/>
      <c r="AB211" s="185"/>
      <c r="AC211" s="185"/>
      <c r="AD211" s="185"/>
      <c r="AE211" s="185"/>
    </row>
    <row r="212" ht="15.75" customHeight="1">
      <c r="C212" s="184"/>
      <c r="D212" s="184"/>
      <c r="E212" s="184"/>
      <c r="F212" s="184"/>
      <c r="G212" s="184"/>
      <c r="H212" s="184"/>
      <c r="I212" s="184"/>
      <c r="J212" s="184"/>
      <c r="K212" s="184"/>
      <c r="L212" s="184"/>
      <c r="M212" s="184"/>
      <c r="N212" s="184"/>
      <c r="O212" s="184"/>
      <c r="AB212" s="185"/>
      <c r="AC212" s="185"/>
      <c r="AD212" s="185"/>
      <c r="AE212" s="185"/>
    </row>
    <row r="213" ht="15.75" customHeight="1"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4"/>
      <c r="N213" s="184"/>
      <c r="O213" s="184"/>
      <c r="AB213" s="185"/>
      <c r="AC213" s="185"/>
      <c r="AD213" s="185"/>
      <c r="AE213" s="185"/>
    </row>
    <row r="214" ht="15.75" customHeight="1"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4"/>
      <c r="N214" s="184"/>
      <c r="O214" s="184"/>
      <c r="AB214" s="185"/>
      <c r="AC214" s="185"/>
      <c r="AD214" s="185"/>
      <c r="AE214" s="185"/>
    </row>
    <row r="215" ht="15.75" customHeight="1">
      <c r="C215" s="184"/>
      <c r="D215" s="184"/>
      <c r="E215" s="184"/>
      <c r="F215" s="184"/>
      <c r="G215" s="184"/>
      <c r="H215" s="184"/>
      <c r="I215" s="184"/>
      <c r="J215" s="184"/>
      <c r="K215" s="184"/>
      <c r="L215" s="184"/>
      <c r="M215" s="184"/>
      <c r="N215" s="184"/>
      <c r="O215" s="184"/>
      <c r="AB215" s="185"/>
      <c r="AC215" s="185"/>
      <c r="AD215" s="185"/>
      <c r="AE215" s="185"/>
    </row>
    <row r="216" ht="15.75" customHeight="1">
      <c r="C216" s="184"/>
      <c r="D216" s="184"/>
      <c r="E216" s="184"/>
      <c r="F216" s="184"/>
      <c r="G216" s="184"/>
      <c r="H216" s="184"/>
      <c r="I216" s="184"/>
      <c r="J216" s="184"/>
      <c r="K216" s="184"/>
      <c r="L216" s="184"/>
      <c r="M216" s="184"/>
      <c r="N216" s="184"/>
      <c r="O216" s="184"/>
      <c r="AB216" s="185"/>
      <c r="AC216" s="185"/>
      <c r="AD216" s="185"/>
      <c r="AE216" s="185"/>
    </row>
    <row r="217" ht="15.75" customHeight="1">
      <c r="C217" s="184"/>
      <c r="D217" s="184"/>
      <c r="E217" s="184"/>
      <c r="F217" s="184"/>
      <c r="G217" s="184"/>
      <c r="H217" s="184"/>
      <c r="I217" s="184"/>
      <c r="J217" s="184"/>
      <c r="K217" s="184"/>
      <c r="L217" s="184"/>
      <c r="M217" s="184"/>
      <c r="N217" s="184"/>
      <c r="O217" s="184"/>
      <c r="AB217" s="185"/>
      <c r="AC217" s="185"/>
      <c r="AD217" s="185"/>
      <c r="AE217" s="185"/>
    </row>
    <row r="218" ht="15.75" customHeight="1"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4"/>
      <c r="N218" s="184"/>
      <c r="O218" s="184"/>
      <c r="AB218" s="185"/>
      <c r="AC218" s="185"/>
      <c r="AD218" s="185"/>
      <c r="AE218" s="185"/>
    </row>
    <row r="219" ht="15.75" customHeight="1"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4"/>
      <c r="N219" s="184"/>
      <c r="O219" s="184"/>
      <c r="AB219" s="185"/>
      <c r="AC219" s="185"/>
      <c r="AD219" s="185"/>
      <c r="AE219" s="185"/>
    </row>
    <row r="220" ht="15.75" customHeight="1">
      <c r="C220" s="184"/>
      <c r="D220" s="184"/>
      <c r="E220" s="184"/>
      <c r="F220" s="184"/>
      <c r="G220" s="184"/>
      <c r="H220" s="184"/>
      <c r="I220" s="184"/>
      <c r="J220" s="184"/>
      <c r="K220" s="184"/>
      <c r="L220" s="184"/>
      <c r="M220" s="184"/>
      <c r="N220" s="184"/>
      <c r="O220" s="184"/>
      <c r="AB220" s="185"/>
      <c r="AC220" s="185"/>
      <c r="AD220" s="185"/>
      <c r="AE220" s="185"/>
    </row>
    <row r="221" ht="15.75" customHeight="1">
      <c r="C221" s="184"/>
      <c r="D221" s="184"/>
      <c r="E221" s="184"/>
      <c r="F221" s="184"/>
      <c r="G221" s="184"/>
      <c r="H221" s="184"/>
      <c r="I221" s="184"/>
      <c r="J221" s="184"/>
      <c r="K221" s="184"/>
      <c r="L221" s="184"/>
      <c r="M221" s="184"/>
      <c r="N221" s="184"/>
      <c r="O221" s="184"/>
      <c r="AB221" s="185"/>
      <c r="AC221" s="185"/>
      <c r="AD221" s="185"/>
      <c r="AE221" s="185"/>
    </row>
    <row r="222" ht="15.75" customHeight="1">
      <c r="C222" s="184"/>
      <c r="D222" s="184"/>
      <c r="E222" s="184"/>
      <c r="F222" s="184"/>
      <c r="G222" s="184"/>
      <c r="H222" s="184"/>
      <c r="I222" s="184"/>
      <c r="J222" s="184"/>
      <c r="K222" s="184"/>
      <c r="L222" s="184"/>
      <c r="M222" s="184"/>
      <c r="N222" s="184"/>
      <c r="O222" s="184"/>
      <c r="AB222" s="185"/>
      <c r="AC222" s="185"/>
      <c r="AD222" s="185"/>
      <c r="AE222" s="185"/>
    </row>
    <row r="223" ht="15.75" customHeight="1">
      <c r="C223" s="184"/>
      <c r="D223" s="184"/>
      <c r="E223" s="184"/>
      <c r="F223" s="184"/>
      <c r="G223" s="184"/>
      <c r="H223" s="184"/>
      <c r="I223" s="184"/>
      <c r="J223" s="184"/>
      <c r="K223" s="184"/>
      <c r="L223" s="184"/>
      <c r="M223" s="184"/>
      <c r="N223" s="184"/>
      <c r="O223" s="184"/>
      <c r="AB223" s="185"/>
      <c r="AC223" s="185"/>
      <c r="AD223" s="185"/>
      <c r="AE223" s="185"/>
    </row>
    <row r="224" ht="15.75" customHeight="1">
      <c r="C224" s="184"/>
      <c r="D224" s="184"/>
      <c r="E224" s="184"/>
      <c r="F224" s="184"/>
      <c r="G224" s="184"/>
      <c r="H224" s="184"/>
      <c r="I224" s="184"/>
      <c r="J224" s="184"/>
      <c r="K224" s="184"/>
      <c r="L224" s="184"/>
      <c r="M224" s="184"/>
      <c r="N224" s="184"/>
      <c r="O224" s="184"/>
      <c r="AB224" s="185"/>
      <c r="AC224" s="185"/>
      <c r="AD224" s="185"/>
      <c r="AE224" s="185"/>
    </row>
    <row r="225" ht="15.75" customHeight="1"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4"/>
      <c r="N225" s="184"/>
      <c r="O225" s="184"/>
      <c r="AB225" s="185"/>
      <c r="AC225" s="185"/>
      <c r="AD225" s="185"/>
      <c r="AE225" s="185"/>
    </row>
    <row r="226" ht="15.75" customHeight="1"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4"/>
      <c r="N226" s="184"/>
      <c r="O226" s="184"/>
      <c r="AB226" s="185"/>
      <c r="AC226" s="185"/>
      <c r="AD226" s="185"/>
      <c r="AE226" s="185"/>
    </row>
    <row r="227" ht="15.75" customHeight="1">
      <c r="C227" s="184"/>
      <c r="D227" s="184"/>
      <c r="E227" s="184"/>
      <c r="F227" s="184"/>
      <c r="G227" s="184"/>
      <c r="H227" s="184"/>
      <c r="I227" s="184"/>
      <c r="J227" s="184"/>
      <c r="K227" s="184"/>
      <c r="L227" s="184"/>
      <c r="M227" s="184"/>
      <c r="N227" s="184"/>
      <c r="O227" s="184"/>
      <c r="AB227" s="185"/>
      <c r="AC227" s="185"/>
      <c r="AD227" s="185"/>
      <c r="AE227" s="185"/>
    </row>
    <row r="228" ht="15.75" customHeight="1">
      <c r="C228" s="184"/>
      <c r="D228" s="184"/>
      <c r="E228" s="184"/>
      <c r="F228" s="184"/>
      <c r="G228" s="184"/>
      <c r="H228" s="184"/>
      <c r="I228" s="184"/>
      <c r="J228" s="184"/>
      <c r="K228" s="184"/>
      <c r="L228" s="184"/>
      <c r="M228" s="184"/>
      <c r="N228" s="184"/>
      <c r="O228" s="184"/>
      <c r="AB228" s="185"/>
      <c r="AC228" s="185"/>
      <c r="AD228" s="185"/>
      <c r="AE228" s="185"/>
    </row>
    <row r="229" ht="15.75" customHeight="1">
      <c r="C229" s="184"/>
      <c r="D229" s="184"/>
      <c r="E229" s="184"/>
      <c r="F229" s="184"/>
      <c r="G229" s="184"/>
      <c r="H229" s="184"/>
      <c r="I229" s="184"/>
      <c r="J229" s="184"/>
      <c r="K229" s="184"/>
      <c r="L229" s="184"/>
      <c r="M229" s="184"/>
      <c r="N229" s="184"/>
      <c r="O229" s="184"/>
      <c r="AB229" s="185"/>
      <c r="AC229" s="185"/>
      <c r="AD229" s="185"/>
      <c r="AE229" s="185"/>
    </row>
    <row r="230" ht="15.75" customHeight="1">
      <c r="C230" s="184"/>
      <c r="D230" s="184"/>
      <c r="E230" s="184"/>
      <c r="F230" s="184"/>
      <c r="G230" s="184"/>
      <c r="H230" s="184"/>
      <c r="I230" s="184"/>
      <c r="J230" s="184"/>
      <c r="K230" s="184"/>
      <c r="L230" s="184"/>
      <c r="M230" s="184"/>
      <c r="N230" s="184"/>
      <c r="O230" s="184"/>
      <c r="AB230" s="185"/>
      <c r="AC230" s="185"/>
      <c r="AD230" s="185"/>
      <c r="AE230" s="185"/>
    </row>
    <row r="231" ht="15.75" customHeight="1"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4"/>
      <c r="N231" s="184"/>
      <c r="O231" s="184"/>
      <c r="AB231" s="185"/>
      <c r="AC231" s="185"/>
      <c r="AD231" s="185"/>
      <c r="AE231" s="185"/>
    </row>
    <row r="232" ht="15.75" customHeight="1"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4"/>
      <c r="N232" s="184"/>
      <c r="O232" s="184"/>
      <c r="AB232" s="185"/>
      <c r="AC232" s="185"/>
      <c r="AD232" s="185"/>
      <c r="AE232" s="185"/>
    </row>
    <row r="233" ht="15.75" customHeight="1">
      <c r="C233" s="184"/>
      <c r="D233" s="184"/>
      <c r="E233" s="184"/>
      <c r="F233" s="184"/>
      <c r="G233" s="184"/>
      <c r="H233" s="184"/>
      <c r="I233" s="184"/>
      <c r="J233" s="184"/>
      <c r="K233" s="184"/>
      <c r="L233" s="184"/>
      <c r="M233" s="184"/>
      <c r="N233" s="184"/>
      <c r="O233" s="184"/>
      <c r="AB233" s="185"/>
      <c r="AC233" s="185"/>
      <c r="AD233" s="185"/>
      <c r="AE233" s="185"/>
    </row>
    <row r="234" ht="15.75" customHeight="1">
      <c r="C234" s="184"/>
      <c r="D234" s="184"/>
      <c r="E234" s="184"/>
      <c r="F234" s="184"/>
      <c r="G234" s="184"/>
      <c r="H234" s="184"/>
      <c r="I234" s="184"/>
      <c r="J234" s="184"/>
      <c r="K234" s="184"/>
      <c r="L234" s="184"/>
      <c r="M234" s="184"/>
      <c r="N234" s="184"/>
      <c r="O234" s="184"/>
      <c r="AB234" s="185"/>
      <c r="AC234" s="185"/>
      <c r="AD234" s="185"/>
      <c r="AE234" s="185"/>
    </row>
    <row r="235" ht="15.75" customHeight="1">
      <c r="C235" s="184"/>
      <c r="D235" s="184"/>
      <c r="E235" s="184"/>
      <c r="F235" s="184"/>
      <c r="G235" s="184"/>
      <c r="H235" s="184"/>
      <c r="I235" s="184"/>
      <c r="J235" s="184"/>
      <c r="K235" s="184"/>
      <c r="L235" s="184"/>
      <c r="M235" s="184"/>
      <c r="N235" s="184"/>
      <c r="O235" s="184"/>
      <c r="AB235" s="185"/>
      <c r="AC235" s="185"/>
      <c r="AD235" s="185"/>
      <c r="AE235" s="185"/>
    </row>
    <row r="236" ht="15.75" customHeight="1">
      <c r="C236" s="184"/>
      <c r="D236" s="184"/>
      <c r="E236" s="184"/>
      <c r="F236" s="184"/>
      <c r="G236" s="184"/>
      <c r="H236" s="184"/>
      <c r="I236" s="184"/>
      <c r="J236" s="184"/>
      <c r="K236" s="184"/>
      <c r="L236" s="184"/>
      <c r="M236" s="184"/>
      <c r="N236" s="184"/>
      <c r="O236" s="184"/>
      <c r="AB236" s="185"/>
      <c r="AC236" s="185"/>
      <c r="AD236" s="185"/>
      <c r="AE236" s="185"/>
    </row>
    <row r="237" ht="15.75" customHeight="1"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4"/>
      <c r="N237" s="184"/>
      <c r="O237" s="184"/>
      <c r="AB237" s="185"/>
      <c r="AC237" s="185"/>
      <c r="AD237" s="185"/>
      <c r="AE237" s="185"/>
    </row>
    <row r="238" ht="15.75" customHeight="1"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4"/>
      <c r="N238" s="184"/>
      <c r="O238" s="184"/>
      <c r="AB238" s="185"/>
      <c r="AC238" s="185"/>
      <c r="AD238" s="185"/>
      <c r="AE238" s="185"/>
    </row>
    <row r="239" ht="15.75" customHeight="1">
      <c r="C239" s="184"/>
      <c r="D239" s="184"/>
      <c r="E239" s="184"/>
      <c r="F239" s="184"/>
      <c r="G239" s="184"/>
      <c r="H239" s="184"/>
      <c r="I239" s="184"/>
      <c r="J239" s="184"/>
      <c r="K239" s="184"/>
      <c r="L239" s="184"/>
      <c r="M239" s="184"/>
      <c r="N239" s="184"/>
      <c r="O239" s="184"/>
      <c r="AB239" s="185"/>
      <c r="AC239" s="185"/>
      <c r="AD239" s="185"/>
      <c r="AE239" s="185"/>
    </row>
    <row r="240" ht="15.75" customHeight="1">
      <c r="C240" s="184"/>
      <c r="D240" s="184"/>
      <c r="E240" s="184"/>
      <c r="F240" s="184"/>
      <c r="G240" s="184"/>
      <c r="H240" s="184"/>
      <c r="I240" s="184"/>
      <c r="J240" s="184"/>
      <c r="K240" s="184"/>
      <c r="L240" s="184"/>
      <c r="M240" s="184"/>
      <c r="N240" s="184"/>
      <c r="O240" s="184"/>
      <c r="AB240" s="185"/>
      <c r="AC240" s="185"/>
      <c r="AD240" s="185"/>
      <c r="AE240" s="185"/>
    </row>
    <row r="241" ht="15.75" customHeight="1">
      <c r="C241" s="184"/>
      <c r="D241" s="184"/>
      <c r="E241" s="184"/>
      <c r="F241" s="184"/>
      <c r="G241" s="184"/>
      <c r="H241" s="184"/>
      <c r="I241" s="184"/>
      <c r="J241" s="184"/>
      <c r="K241" s="184"/>
      <c r="L241" s="184"/>
      <c r="M241" s="184"/>
      <c r="N241" s="184"/>
      <c r="O241" s="184"/>
      <c r="AB241" s="185"/>
      <c r="AC241" s="185"/>
      <c r="AD241" s="185"/>
      <c r="AE241" s="185"/>
    </row>
    <row r="242" ht="15.75" customHeight="1"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4"/>
      <c r="N242" s="184"/>
      <c r="O242" s="184"/>
      <c r="AB242" s="185"/>
      <c r="AC242" s="185"/>
      <c r="AD242" s="185"/>
      <c r="AE242" s="185"/>
    </row>
    <row r="243" ht="15.75" customHeight="1"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4"/>
      <c r="N243" s="184"/>
      <c r="O243" s="184"/>
      <c r="AB243" s="185"/>
      <c r="AC243" s="185"/>
      <c r="AD243" s="185"/>
      <c r="AE243" s="185"/>
    </row>
    <row r="244" ht="15.75" customHeight="1"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AB244" s="185"/>
      <c r="AC244" s="185"/>
      <c r="AD244" s="185"/>
      <c r="AE244" s="185"/>
    </row>
    <row r="245" ht="15.75" customHeight="1">
      <c r="C245" s="184"/>
      <c r="D245" s="184"/>
      <c r="E245" s="184"/>
      <c r="F245" s="184"/>
      <c r="G245" s="184"/>
      <c r="H245" s="184"/>
      <c r="I245" s="184"/>
      <c r="J245" s="184"/>
      <c r="K245" s="184"/>
      <c r="L245" s="184"/>
      <c r="M245" s="184"/>
      <c r="N245" s="184"/>
      <c r="O245" s="184"/>
      <c r="AB245" s="185"/>
      <c r="AC245" s="185"/>
      <c r="AD245" s="185"/>
      <c r="AE245" s="185"/>
    </row>
    <row r="246" ht="15.75" customHeight="1">
      <c r="C246" s="184"/>
      <c r="D246" s="184"/>
      <c r="E246" s="184"/>
      <c r="F246" s="184"/>
      <c r="G246" s="184"/>
      <c r="H246" s="184"/>
      <c r="I246" s="184"/>
      <c r="J246" s="184"/>
      <c r="K246" s="184"/>
      <c r="L246" s="184"/>
      <c r="M246" s="184"/>
      <c r="N246" s="184"/>
      <c r="O246" s="184"/>
      <c r="AB246" s="185"/>
      <c r="AC246" s="185"/>
      <c r="AD246" s="185"/>
      <c r="AE246" s="185"/>
    </row>
    <row r="247" ht="15.75" customHeight="1">
      <c r="C247" s="184"/>
      <c r="D247" s="184"/>
      <c r="E247" s="184"/>
      <c r="F247" s="184"/>
      <c r="G247" s="184"/>
      <c r="H247" s="184"/>
      <c r="I247" s="184"/>
      <c r="J247" s="184"/>
      <c r="K247" s="184"/>
      <c r="L247" s="184"/>
      <c r="M247" s="184"/>
      <c r="N247" s="184"/>
      <c r="O247" s="184"/>
      <c r="AB247" s="185"/>
      <c r="AC247" s="185"/>
      <c r="AD247" s="185"/>
      <c r="AE247" s="185"/>
    </row>
    <row r="248" ht="15.75" customHeight="1"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4"/>
      <c r="N248" s="184"/>
      <c r="O248" s="184"/>
      <c r="AB248" s="185"/>
      <c r="AC248" s="185"/>
      <c r="AD248" s="185"/>
      <c r="AE248" s="185"/>
    </row>
    <row r="249" ht="15.75" customHeight="1"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4"/>
      <c r="N249" s="184"/>
      <c r="O249" s="184"/>
      <c r="AB249" s="185"/>
      <c r="AC249" s="185"/>
      <c r="AD249" s="185"/>
      <c r="AE249" s="185"/>
    </row>
    <row r="250" ht="15.75" customHeight="1">
      <c r="C250" s="184"/>
      <c r="D250" s="184"/>
      <c r="E250" s="184"/>
      <c r="F250" s="184"/>
      <c r="G250" s="184"/>
      <c r="H250" s="184"/>
      <c r="I250" s="184"/>
      <c r="J250" s="184"/>
      <c r="K250" s="184"/>
      <c r="L250" s="184"/>
      <c r="M250" s="184"/>
      <c r="N250" s="184"/>
      <c r="O250" s="184"/>
      <c r="AB250" s="185"/>
      <c r="AC250" s="185"/>
      <c r="AD250" s="185"/>
      <c r="AE250" s="185"/>
    </row>
    <row r="251" ht="15.75" customHeight="1">
      <c r="C251" s="184"/>
      <c r="D251" s="184"/>
      <c r="E251" s="184"/>
      <c r="F251" s="184"/>
      <c r="G251" s="184"/>
      <c r="H251" s="184"/>
      <c r="I251" s="184"/>
      <c r="J251" s="184"/>
      <c r="K251" s="184"/>
      <c r="L251" s="184"/>
      <c r="M251" s="184"/>
      <c r="N251" s="184"/>
      <c r="O251" s="184"/>
      <c r="AB251" s="185"/>
      <c r="AC251" s="185"/>
      <c r="AD251" s="185"/>
      <c r="AE251" s="185"/>
    </row>
    <row r="252" ht="15.75" customHeight="1"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4"/>
      <c r="N252" s="184"/>
      <c r="O252" s="184"/>
      <c r="AB252" s="185"/>
      <c r="AC252" s="185"/>
      <c r="AD252" s="185"/>
      <c r="AE252" s="185"/>
    </row>
    <row r="253" ht="15.75" customHeight="1"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4"/>
      <c r="N253" s="184"/>
      <c r="O253" s="184"/>
      <c r="AB253" s="185"/>
      <c r="AC253" s="185"/>
      <c r="AD253" s="185"/>
      <c r="AE253" s="185"/>
    </row>
    <row r="254" ht="15.75" customHeight="1">
      <c r="C254" s="184"/>
      <c r="D254" s="184"/>
      <c r="E254" s="184"/>
      <c r="F254" s="184"/>
      <c r="G254" s="184"/>
      <c r="H254" s="184"/>
      <c r="I254" s="184"/>
      <c r="J254" s="184"/>
      <c r="K254" s="184"/>
      <c r="L254" s="184"/>
      <c r="M254" s="184"/>
      <c r="N254" s="184"/>
      <c r="O254" s="184"/>
      <c r="AB254" s="185"/>
      <c r="AC254" s="185"/>
      <c r="AD254" s="185"/>
      <c r="AE254" s="185"/>
    </row>
    <row r="255" ht="15.75" customHeight="1">
      <c r="C255" s="184"/>
      <c r="D255" s="184"/>
      <c r="E255" s="184"/>
      <c r="F255" s="184"/>
      <c r="G255" s="184"/>
      <c r="H255" s="184"/>
      <c r="I255" s="184"/>
      <c r="J255" s="184"/>
      <c r="K255" s="184"/>
      <c r="L255" s="184"/>
      <c r="M255" s="184"/>
      <c r="N255" s="184"/>
      <c r="O255" s="184"/>
      <c r="AB255" s="185"/>
      <c r="AC255" s="185"/>
      <c r="AD255" s="185"/>
      <c r="AE255" s="185"/>
    </row>
    <row r="256" ht="15.75" customHeight="1">
      <c r="C256" s="184"/>
      <c r="D256" s="184"/>
      <c r="E256" s="184"/>
      <c r="F256" s="184"/>
      <c r="G256" s="184"/>
      <c r="H256" s="184"/>
      <c r="I256" s="184"/>
      <c r="J256" s="184"/>
      <c r="K256" s="184"/>
      <c r="L256" s="184"/>
      <c r="M256" s="184"/>
      <c r="N256" s="184"/>
      <c r="O256" s="184"/>
      <c r="AB256" s="185"/>
      <c r="AC256" s="185"/>
      <c r="AD256" s="185"/>
      <c r="AE256" s="185"/>
    </row>
    <row r="257" ht="15.75" customHeight="1">
      <c r="C257" s="184"/>
      <c r="D257" s="184"/>
      <c r="E257" s="184"/>
      <c r="F257" s="184"/>
      <c r="G257" s="184"/>
      <c r="H257" s="184"/>
      <c r="I257" s="184"/>
      <c r="J257" s="184"/>
      <c r="K257" s="184"/>
      <c r="L257" s="184"/>
      <c r="M257" s="184"/>
      <c r="N257" s="184"/>
      <c r="O257" s="184"/>
      <c r="AB257" s="185"/>
      <c r="AC257" s="185"/>
      <c r="AD257" s="185"/>
      <c r="AE257" s="185"/>
    </row>
    <row r="258" ht="15.75" customHeight="1">
      <c r="C258" s="184"/>
      <c r="D258" s="184"/>
      <c r="E258" s="184"/>
      <c r="F258" s="184"/>
      <c r="G258" s="184"/>
      <c r="H258" s="184"/>
      <c r="I258" s="184"/>
      <c r="J258" s="184"/>
      <c r="K258" s="184"/>
      <c r="L258" s="184"/>
      <c r="M258" s="184"/>
      <c r="N258" s="184"/>
      <c r="O258" s="184"/>
      <c r="AB258" s="185"/>
      <c r="AC258" s="185"/>
      <c r="AD258" s="185"/>
      <c r="AE258" s="185"/>
    </row>
    <row r="259" ht="15.75" customHeight="1">
      <c r="C259" s="184"/>
      <c r="D259" s="184"/>
      <c r="E259" s="184"/>
      <c r="F259" s="184"/>
      <c r="G259" s="184"/>
      <c r="H259" s="184"/>
      <c r="I259" s="184"/>
      <c r="J259" s="184"/>
      <c r="K259" s="184"/>
      <c r="L259" s="184"/>
      <c r="M259" s="184"/>
      <c r="N259" s="184"/>
      <c r="O259" s="184"/>
      <c r="AB259" s="185"/>
      <c r="AC259" s="185"/>
      <c r="AD259" s="185"/>
      <c r="AE259" s="185"/>
    </row>
    <row r="260" ht="15.75" customHeight="1">
      <c r="C260" s="184"/>
      <c r="D260" s="184"/>
      <c r="E260" s="184"/>
      <c r="F260" s="184"/>
      <c r="G260" s="184"/>
      <c r="H260" s="184"/>
      <c r="I260" s="184"/>
      <c r="J260" s="184"/>
      <c r="K260" s="184"/>
      <c r="L260" s="184"/>
      <c r="M260" s="184"/>
      <c r="N260" s="184"/>
      <c r="O260" s="184"/>
      <c r="AB260" s="185"/>
      <c r="AC260" s="185"/>
      <c r="AD260" s="185"/>
      <c r="AE260" s="185"/>
    </row>
    <row r="261" ht="15.75" customHeight="1">
      <c r="C261" s="184"/>
      <c r="D261" s="184"/>
      <c r="E261" s="184"/>
      <c r="F261" s="184"/>
      <c r="G261" s="184"/>
      <c r="H261" s="184"/>
      <c r="I261" s="184"/>
      <c r="J261" s="184"/>
      <c r="K261" s="184"/>
      <c r="L261" s="184"/>
      <c r="M261" s="184"/>
      <c r="N261" s="184"/>
      <c r="O261" s="184"/>
      <c r="AB261" s="185"/>
      <c r="AC261" s="185"/>
      <c r="AD261" s="185"/>
      <c r="AE261" s="185"/>
    </row>
    <row r="262" ht="15.75" customHeight="1">
      <c r="C262" s="184"/>
      <c r="D262" s="184"/>
      <c r="E262" s="184"/>
      <c r="F262" s="184"/>
      <c r="G262" s="184"/>
      <c r="H262" s="184"/>
      <c r="I262" s="184"/>
      <c r="J262" s="184"/>
      <c r="K262" s="184"/>
      <c r="L262" s="184"/>
      <c r="M262" s="184"/>
      <c r="N262" s="184"/>
      <c r="O262" s="184"/>
      <c r="AB262" s="185"/>
      <c r="AC262" s="185"/>
      <c r="AD262" s="185"/>
      <c r="AE262" s="185"/>
    </row>
    <row r="263" ht="15.75" customHeight="1">
      <c r="C263" s="184"/>
      <c r="D263" s="184"/>
      <c r="E263" s="184"/>
      <c r="F263" s="184"/>
      <c r="G263" s="184"/>
      <c r="H263" s="184"/>
      <c r="I263" s="184"/>
      <c r="J263" s="184"/>
      <c r="K263" s="184"/>
      <c r="L263" s="184"/>
      <c r="M263" s="184"/>
      <c r="N263" s="184"/>
      <c r="O263" s="184"/>
      <c r="AB263" s="185"/>
      <c r="AC263" s="185"/>
      <c r="AD263" s="185"/>
      <c r="AE263" s="185"/>
    </row>
    <row r="264" ht="15.75" customHeight="1">
      <c r="C264" s="184"/>
      <c r="D264" s="184"/>
      <c r="E264" s="184"/>
      <c r="F264" s="184"/>
      <c r="G264" s="184"/>
      <c r="H264" s="184"/>
      <c r="I264" s="184"/>
      <c r="J264" s="184"/>
      <c r="K264" s="184"/>
      <c r="L264" s="184"/>
      <c r="M264" s="184"/>
      <c r="N264" s="184"/>
      <c r="O264" s="184"/>
      <c r="AB264" s="185"/>
      <c r="AC264" s="185"/>
      <c r="AD264" s="185"/>
      <c r="AE264" s="185"/>
    </row>
    <row r="265" ht="15.75" customHeight="1">
      <c r="C265" s="184"/>
      <c r="D265" s="184"/>
      <c r="E265" s="184"/>
      <c r="F265" s="184"/>
      <c r="G265" s="184"/>
      <c r="H265" s="184"/>
      <c r="I265" s="184"/>
      <c r="J265" s="184"/>
      <c r="K265" s="184"/>
      <c r="L265" s="184"/>
      <c r="M265" s="184"/>
      <c r="N265" s="184"/>
      <c r="O265" s="184"/>
      <c r="AB265" s="185"/>
      <c r="AC265" s="185"/>
      <c r="AD265" s="185"/>
      <c r="AE265" s="185"/>
    </row>
    <row r="266" ht="15.75" customHeight="1">
      <c r="C266" s="184"/>
      <c r="D266" s="184"/>
      <c r="E266" s="184"/>
      <c r="F266" s="184"/>
      <c r="G266" s="184"/>
      <c r="H266" s="184"/>
      <c r="I266" s="184"/>
      <c r="J266" s="184"/>
      <c r="K266" s="184"/>
      <c r="L266" s="184"/>
      <c r="M266" s="184"/>
      <c r="N266" s="184"/>
      <c r="O266" s="184"/>
      <c r="AB266" s="185"/>
      <c r="AC266" s="185"/>
      <c r="AD266" s="185"/>
      <c r="AE266" s="185"/>
    </row>
    <row r="267" ht="15.75" customHeight="1">
      <c r="C267" s="184"/>
      <c r="D267" s="184"/>
      <c r="E267" s="184"/>
      <c r="F267" s="184"/>
      <c r="G267" s="184"/>
      <c r="H267" s="184"/>
      <c r="I267" s="184"/>
      <c r="J267" s="184"/>
      <c r="K267" s="184"/>
      <c r="L267" s="184"/>
      <c r="M267" s="184"/>
      <c r="N267" s="184"/>
      <c r="O267" s="184"/>
      <c r="AB267" s="185"/>
      <c r="AC267" s="185"/>
      <c r="AD267" s="185"/>
      <c r="AE267" s="185"/>
    </row>
    <row r="268" ht="15.75" customHeight="1">
      <c r="C268" s="184"/>
      <c r="D268" s="184"/>
      <c r="E268" s="184"/>
      <c r="F268" s="184"/>
      <c r="G268" s="184"/>
      <c r="H268" s="184"/>
      <c r="I268" s="184"/>
      <c r="J268" s="184"/>
      <c r="K268" s="184"/>
      <c r="L268" s="184"/>
      <c r="M268" s="184"/>
      <c r="N268" s="184"/>
      <c r="O268" s="184"/>
      <c r="AB268" s="185"/>
      <c r="AC268" s="185"/>
      <c r="AD268" s="185"/>
      <c r="AE268" s="185"/>
    </row>
    <row r="269" ht="15.75" customHeight="1">
      <c r="C269" s="184"/>
      <c r="D269" s="184"/>
      <c r="E269" s="184"/>
      <c r="F269" s="184"/>
      <c r="G269" s="184"/>
      <c r="H269" s="184"/>
      <c r="I269" s="184"/>
      <c r="J269" s="184"/>
      <c r="K269" s="184"/>
      <c r="L269" s="184"/>
      <c r="M269" s="184"/>
      <c r="N269" s="184"/>
      <c r="O269" s="184"/>
      <c r="AB269" s="185"/>
      <c r="AC269" s="185"/>
      <c r="AD269" s="185"/>
      <c r="AE269" s="185"/>
    </row>
    <row r="270" ht="15.75" customHeight="1">
      <c r="C270" s="184"/>
      <c r="D270" s="184"/>
      <c r="E270" s="184"/>
      <c r="F270" s="184"/>
      <c r="G270" s="184"/>
      <c r="H270" s="184"/>
      <c r="I270" s="184"/>
      <c r="J270" s="184"/>
      <c r="K270" s="184"/>
      <c r="L270" s="184"/>
      <c r="M270" s="184"/>
      <c r="N270" s="184"/>
      <c r="O270" s="184"/>
      <c r="AB270" s="185"/>
      <c r="AC270" s="185"/>
      <c r="AD270" s="185"/>
      <c r="AE270" s="185"/>
    </row>
    <row r="271" ht="15.75" customHeight="1">
      <c r="C271" s="184"/>
      <c r="D271" s="184"/>
      <c r="E271" s="184"/>
      <c r="F271" s="184"/>
      <c r="G271" s="184"/>
      <c r="H271" s="184"/>
      <c r="I271" s="184"/>
      <c r="J271" s="184"/>
      <c r="K271" s="184"/>
      <c r="L271" s="184"/>
      <c r="M271" s="184"/>
      <c r="N271" s="184"/>
      <c r="O271" s="184"/>
      <c r="AB271" s="185"/>
      <c r="AC271" s="185"/>
      <c r="AD271" s="185"/>
      <c r="AE271" s="185"/>
    </row>
    <row r="272" ht="15.75" customHeight="1">
      <c r="C272" s="184"/>
      <c r="D272" s="184"/>
      <c r="E272" s="184"/>
      <c r="F272" s="184"/>
      <c r="G272" s="184"/>
      <c r="H272" s="184"/>
      <c r="I272" s="184"/>
      <c r="J272" s="184"/>
      <c r="K272" s="184"/>
      <c r="L272" s="184"/>
      <c r="M272" s="184"/>
      <c r="N272" s="184"/>
      <c r="O272" s="184"/>
      <c r="AB272" s="185"/>
      <c r="AC272" s="185"/>
      <c r="AD272" s="185"/>
      <c r="AE272" s="185"/>
    </row>
    <row r="273" ht="15.75" customHeight="1">
      <c r="C273" s="184"/>
      <c r="D273" s="184"/>
      <c r="E273" s="184"/>
      <c r="F273" s="184"/>
      <c r="G273" s="184"/>
      <c r="H273" s="184"/>
      <c r="I273" s="184"/>
      <c r="J273" s="184"/>
      <c r="K273" s="184"/>
      <c r="L273" s="184"/>
      <c r="M273" s="184"/>
      <c r="N273" s="184"/>
      <c r="O273" s="184"/>
      <c r="AB273" s="185"/>
      <c r="AC273" s="185"/>
      <c r="AD273" s="185"/>
      <c r="AE273" s="185"/>
    </row>
    <row r="274" ht="15.75" customHeight="1">
      <c r="C274" s="184"/>
      <c r="D274" s="184"/>
      <c r="E274" s="184"/>
      <c r="F274" s="184"/>
      <c r="G274" s="184"/>
      <c r="H274" s="184"/>
      <c r="I274" s="184"/>
      <c r="J274" s="184"/>
      <c r="K274" s="184"/>
      <c r="L274" s="184"/>
      <c r="M274" s="184"/>
      <c r="N274" s="184"/>
      <c r="O274" s="184"/>
      <c r="AB274" s="185"/>
      <c r="AC274" s="185"/>
      <c r="AD274" s="185"/>
      <c r="AE274" s="185"/>
    </row>
    <row r="275" ht="15.75" customHeight="1">
      <c r="C275" s="184"/>
      <c r="D275" s="184"/>
      <c r="E275" s="184"/>
      <c r="F275" s="184"/>
      <c r="G275" s="184"/>
      <c r="H275" s="184"/>
      <c r="I275" s="184"/>
      <c r="J275" s="184"/>
      <c r="K275" s="184"/>
      <c r="L275" s="184"/>
      <c r="M275" s="184"/>
      <c r="N275" s="184"/>
      <c r="O275" s="184"/>
      <c r="AB275" s="185"/>
      <c r="AC275" s="185"/>
      <c r="AD275" s="185"/>
      <c r="AE275" s="185"/>
    </row>
    <row r="276" ht="15.75" customHeight="1">
      <c r="C276" s="184"/>
      <c r="D276" s="184"/>
      <c r="E276" s="184"/>
      <c r="F276" s="184"/>
      <c r="G276" s="184"/>
      <c r="H276" s="184"/>
      <c r="I276" s="184"/>
      <c r="J276" s="184"/>
      <c r="K276" s="184"/>
      <c r="L276" s="184"/>
      <c r="M276" s="184"/>
      <c r="N276" s="184"/>
      <c r="O276" s="184"/>
      <c r="AB276" s="185"/>
      <c r="AC276" s="185"/>
      <c r="AD276" s="185"/>
      <c r="AE276" s="185"/>
    </row>
    <row r="277" ht="15.75" customHeight="1">
      <c r="C277" s="184"/>
      <c r="D277" s="184"/>
      <c r="E277" s="184"/>
      <c r="F277" s="184"/>
      <c r="G277" s="184"/>
      <c r="H277" s="184"/>
      <c r="I277" s="184"/>
      <c r="J277" s="184"/>
      <c r="K277" s="184"/>
      <c r="L277" s="184"/>
      <c r="M277" s="184"/>
      <c r="N277" s="184"/>
      <c r="O277" s="184"/>
      <c r="AB277" s="185"/>
      <c r="AC277" s="185"/>
      <c r="AD277" s="185"/>
      <c r="AE277" s="185"/>
    </row>
    <row r="278" ht="15.75" customHeight="1">
      <c r="C278" s="184"/>
      <c r="D278" s="184"/>
      <c r="E278" s="184"/>
      <c r="F278" s="184"/>
      <c r="G278" s="184"/>
      <c r="H278" s="184"/>
      <c r="I278" s="184"/>
      <c r="J278" s="184"/>
      <c r="K278" s="184"/>
      <c r="L278" s="184"/>
      <c r="M278" s="184"/>
      <c r="N278" s="184"/>
      <c r="O278" s="184"/>
      <c r="AB278" s="185"/>
      <c r="AC278" s="185"/>
      <c r="AD278" s="185"/>
      <c r="AE278" s="185"/>
    </row>
    <row r="279" ht="15.75" customHeight="1">
      <c r="C279" s="184"/>
      <c r="D279" s="184"/>
      <c r="E279" s="184"/>
      <c r="F279" s="184"/>
      <c r="G279" s="184"/>
      <c r="H279" s="184"/>
      <c r="I279" s="184"/>
      <c r="J279" s="184"/>
      <c r="K279" s="184"/>
      <c r="L279" s="184"/>
      <c r="M279" s="184"/>
      <c r="N279" s="184"/>
      <c r="O279" s="184"/>
      <c r="AB279" s="185"/>
      <c r="AC279" s="185"/>
      <c r="AD279" s="185"/>
      <c r="AE279" s="185"/>
    </row>
    <row r="280" ht="15.75" customHeight="1">
      <c r="C280" s="184"/>
      <c r="D280" s="184"/>
      <c r="E280" s="184"/>
      <c r="F280" s="184"/>
      <c r="G280" s="184"/>
      <c r="H280" s="184"/>
      <c r="I280" s="184"/>
      <c r="J280" s="184"/>
      <c r="K280" s="184"/>
      <c r="L280" s="184"/>
      <c r="M280" s="184"/>
      <c r="N280" s="184"/>
      <c r="O280" s="184"/>
      <c r="AB280" s="185"/>
      <c r="AC280" s="185"/>
      <c r="AD280" s="185"/>
      <c r="AE280" s="185"/>
    </row>
    <row r="281" ht="15.75" customHeight="1">
      <c r="C281" s="184"/>
      <c r="D281" s="184"/>
      <c r="E281" s="184"/>
      <c r="F281" s="184"/>
      <c r="G281" s="184"/>
      <c r="H281" s="184"/>
      <c r="I281" s="184"/>
      <c r="J281" s="184"/>
      <c r="K281" s="184"/>
      <c r="L281" s="184"/>
      <c r="M281" s="184"/>
      <c r="N281" s="184"/>
      <c r="O281" s="184"/>
      <c r="AB281" s="185"/>
      <c r="AC281" s="185"/>
      <c r="AD281" s="185"/>
      <c r="AE281" s="185"/>
    </row>
    <row r="282" ht="15.75" customHeight="1">
      <c r="C282" s="184"/>
      <c r="D282" s="184"/>
      <c r="E282" s="184"/>
      <c r="F282" s="184"/>
      <c r="G282" s="184"/>
      <c r="H282" s="184"/>
      <c r="I282" s="184"/>
      <c r="J282" s="184"/>
      <c r="K282" s="184"/>
      <c r="L282" s="184"/>
      <c r="M282" s="184"/>
      <c r="N282" s="184"/>
      <c r="O282" s="184"/>
      <c r="AB282" s="185"/>
      <c r="AC282" s="185"/>
      <c r="AD282" s="185"/>
      <c r="AE282" s="185"/>
    </row>
    <row r="283" ht="15.75" customHeight="1">
      <c r="C283" s="184"/>
      <c r="D283" s="184"/>
      <c r="E283" s="184"/>
      <c r="F283" s="184"/>
      <c r="G283" s="184"/>
      <c r="H283" s="184"/>
      <c r="I283" s="184"/>
      <c r="J283" s="184"/>
      <c r="K283" s="184"/>
      <c r="L283" s="184"/>
      <c r="M283" s="184"/>
      <c r="N283" s="184"/>
      <c r="O283" s="184"/>
      <c r="AB283" s="185"/>
      <c r="AC283" s="185"/>
      <c r="AD283" s="185"/>
      <c r="AE283" s="185"/>
    </row>
    <row r="284" ht="15.75" customHeight="1">
      <c r="C284" s="184"/>
      <c r="D284" s="184"/>
      <c r="E284" s="184"/>
      <c r="F284" s="184"/>
      <c r="G284" s="184"/>
      <c r="H284" s="184"/>
      <c r="I284" s="184"/>
      <c r="J284" s="184"/>
      <c r="K284" s="184"/>
      <c r="L284" s="184"/>
      <c r="M284" s="184"/>
      <c r="N284" s="184"/>
      <c r="O284" s="184"/>
      <c r="AB284" s="185"/>
      <c r="AC284" s="185"/>
      <c r="AD284" s="185"/>
      <c r="AE284" s="185"/>
    </row>
    <row r="285" ht="15.75" customHeight="1">
      <c r="C285" s="184"/>
      <c r="D285" s="184"/>
      <c r="E285" s="184"/>
      <c r="F285" s="184"/>
      <c r="G285" s="184"/>
      <c r="H285" s="184"/>
      <c r="I285" s="184"/>
      <c r="J285" s="184"/>
      <c r="K285" s="184"/>
      <c r="L285" s="184"/>
      <c r="M285" s="184"/>
      <c r="N285" s="184"/>
      <c r="O285" s="184"/>
      <c r="AB285" s="185"/>
      <c r="AC285" s="185"/>
      <c r="AD285" s="185"/>
      <c r="AE285" s="185"/>
    </row>
    <row r="286" ht="15.75" customHeight="1">
      <c r="C286" s="184"/>
      <c r="D286" s="184"/>
      <c r="E286" s="184"/>
      <c r="F286" s="184"/>
      <c r="G286" s="184"/>
      <c r="H286" s="184"/>
      <c r="I286" s="184"/>
      <c r="J286" s="184"/>
      <c r="K286" s="184"/>
      <c r="L286" s="184"/>
      <c r="M286" s="184"/>
      <c r="N286" s="184"/>
      <c r="O286" s="184"/>
      <c r="AB286" s="185"/>
      <c r="AC286" s="185"/>
      <c r="AD286" s="185"/>
      <c r="AE286" s="185"/>
    </row>
    <row r="287" ht="15.75" customHeight="1">
      <c r="C287" s="184"/>
      <c r="D287" s="184"/>
      <c r="E287" s="184"/>
      <c r="F287" s="184"/>
      <c r="G287" s="184"/>
      <c r="H287" s="184"/>
      <c r="I287" s="184"/>
      <c r="J287" s="184"/>
      <c r="K287" s="184"/>
      <c r="L287" s="184"/>
      <c r="M287" s="184"/>
      <c r="N287" s="184"/>
      <c r="O287" s="184"/>
      <c r="AB287" s="185"/>
      <c r="AC287" s="185"/>
      <c r="AD287" s="185"/>
      <c r="AE287" s="185"/>
    </row>
    <row r="288" ht="15.75" customHeight="1">
      <c r="C288" s="184"/>
      <c r="D288" s="184"/>
      <c r="E288" s="184"/>
      <c r="F288" s="184"/>
      <c r="G288" s="184"/>
      <c r="H288" s="184"/>
      <c r="I288" s="184"/>
      <c r="J288" s="184"/>
      <c r="K288" s="184"/>
      <c r="L288" s="184"/>
      <c r="M288" s="184"/>
      <c r="N288" s="184"/>
      <c r="O288" s="184"/>
      <c r="AB288" s="185"/>
      <c r="AC288" s="185"/>
      <c r="AD288" s="185"/>
      <c r="AE288" s="185"/>
    </row>
    <row r="289" ht="15.75" customHeight="1">
      <c r="C289" s="184"/>
      <c r="D289" s="184"/>
      <c r="E289" s="184"/>
      <c r="F289" s="184"/>
      <c r="G289" s="184"/>
      <c r="H289" s="184"/>
      <c r="I289" s="184"/>
      <c r="J289" s="184"/>
      <c r="K289" s="184"/>
      <c r="L289" s="184"/>
      <c r="M289" s="184"/>
      <c r="N289" s="184"/>
      <c r="O289" s="184"/>
      <c r="AB289" s="185"/>
      <c r="AC289" s="185"/>
      <c r="AD289" s="185"/>
      <c r="AE289" s="185"/>
    </row>
    <row r="290" ht="15.75" customHeight="1">
      <c r="C290" s="184"/>
      <c r="D290" s="184"/>
      <c r="E290" s="184"/>
      <c r="F290" s="184"/>
      <c r="G290" s="184"/>
      <c r="H290" s="184"/>
      <c r="I290" s="184"/>
      <c r="J290" s="184"/>
      <c r="K290" s="184"/>
      <c r="L290" s="184"/>
      <c r="M290" s="184"/>
      <c r="N290" s="184"/>
      <c r="O290" s="184"/>
      <c r="AB290" s="185"/>
      <c r="AC290" s="185"/>
      <c r="AD290" s="185"/>
      <c r="AE290" s="185"/>
    </row>
    <row r="291" ht="15.75" customHeight="1">
      <c r="C291" s="184"/>
      <c r="D291" s="184"/>
      <c r="E291" s="184"/>
      <c r="F291" s="184"/>
      <c r="G291" s="184"/>
      <c r="H291" s="184"/>
      <c r="I291" s="184"/>
      <c r="J291" s="184"/>
      <c r="K291" s="184"/>
      <c r="L291" s="184"/>
      <c r="M291" s="184"/>
      <c r="N291" s="184"/>
      <c r="O291" s="184"/>
      <c r="AB291" s="185"/>
      <c r="AC291" s="185"/>
      <c r="AD291" s="185"/>
      <c r="AE291" s="185"/>
    </row>
    <row r="292" ht="15.75" customHeight="1">
      <c r="C292" s="184"/>
      <c r="D292" s="184"/>
      <c r="E292" s="184"/>
      <c r="F292" s="184"/>
      <c r="G292" s="184"/>
      <c r="H292" s="184"/>
      <c r="I292" s="184"/>
      <c r="J292" s="184"/>
      <c r="K292" s="184"/>
      <c r="L292" s="184"/>
      <c r="M292" s="184"/>
      <c r="N292" s="184"/>
      <c r="O292" s="184"/>
      <c r="AB292" s="185"/>
      <c r="AC292" s="185"/>
      <c r="AD292" s="185"/>
      <c r="AE292" s="185"/>
    </row>
    <row r="293" ht="15.75" customHeight="1">
      <c r="C293" s="184"/>
      <c r="D293" s="184"/>
      <c r="E293" s="184"/>
      <c r="F293" s="184"/>
      <c r="G293" s="184"/>
      <c r="H293" s="184"/>
      <c r="I293" s="184"/>
      <c r="J293" s="184"/>
      <c r="K293" s="184"/>
      <c r="L293" s="184"/>
      <c r="M293" s="184"/>
      <c r="N293" s="184"/>
      <c r="O293" s="184"/>
      <c r="AB293" s="185"/>
      <c r="AC293" s="185"/>
      <c r="AD293" s="185"/>
      <c r="AE293" s="185"/>
    </row>
    <row r="294" ht="15.75" customHeight="1">
      <c r="C294" s="184"/>
      <c r="D294" s="184"/>
      <c r="E294" s="184"/>
      <c r="F294" s="184"/>
      <c r="G294" s="184"/>
      <c r="H294" s="184"/>
      <c r="I294" s="184"/>
      <c r="J294" s="184"/>
      <c r="K294" s="184"/>
      <c r="L294" s="184"/>
      <c r="M294" s="184"/>
      <c r="N294" s="184"/>
      <c r="O294" s="184"/>
      <c r="AB294" s="185"/>
      <c r="AC294" s="185"/>
      <c r="AD294" s="185"/>
      <c r="AE294" s="185"/>
    </row>
    <row r="295" ht="15.75" customHeight="1">
      <c r="C295" s="184"/>
      <c r="D295" s="184"/>
      <c r="E295" s="184"/>
      <c r="F295" s="184"/>
      <c r="G295" s="184"/>
      <c r="H295" s="184"/>
      <c r="I295" s="184"/>
      <c r="J295" s="184"/>
      <c r="K295" s="184"/>
      <c r="L295" s="184"/>
      <c r="M295" s="184"/>
      <c r="N295" s="184"/>
      <c r="O295" s="184"/>
      <c r="AB295" s="185"/>
      <c r="AC295" s="185"/>
      <c r="AD295" s="185"/>
      <c r="AE295" s="185"/>
    </row>
    <row r="296" ht="15.75" customHeight="1">
      <c r="C296" s="184"/>
      <c r="D296" s="184"/>
      <c r="E296" s="184"/>
      <c r="F296" s="184"/>
      <c r="G296" s="184"/>
      <c r="H296" s="184"/>
      <c r="I296" s="184"/>
      <c r="J296" s="184"/>
      <c r="K296" s="184"/>
      <c r="L296" s="184"/>
      <c r="M296" s="184"/>
      <c r="N296" s="184"/>
      <c r="O296" s="184"/>
      <c r="AB296" s="185"/>
      <c r="AC296" s="185"/>
      <c r="AD296" s="185"/>
      <c r="AE296" s="185"/>
    </row>
    <row r="297" ht="15.75" customHeight="1">
      <c r="C297" s="184"/>
      <c r="D297" s="184"/>
      <c r="E297" s="184"/>
      <c r="F297" s="184"/>
      <c r="G297" s="184"/>
      <c r="H297" s="184"/>
      <c r="I297" s="184"/>
      <c r="J297" s="184"/>
      <c r="K297" s="184"/>
      <c r="L297" s="184"/>
      <c r="M297" s="184"/>
      <c r="N297" s="184"/>
      <c r="O297" s="184"/>
      <c r="AB297" s="185"/>
      <c r="AC297" s="185"/>
      <c r="AD297" s="185"/>
      <c r="AE297" s="185"/>
    </row>
    <row r="298" ht="15.75" customHeight="1">
      <c r="C298" s="184"/>
      <c r="D298" s="184"/>
      <c r="E298" s="184"/>
      <c r="F298" s="184"/>
      <c r="G298" s="184"/>
      <c r="H298" s="184"/>
      <c r="I298" s="184"/>
      <c r="J298" s="184"/>
      <c r="K298" s="184"/>
      <c r="L298" s="184"/>
      <c r="M298" s="184"/>
      <c r="N298" s="184"/>
      <c r="O298" s="184"/>
      <c r="AB298" s="185"/>
      <c r="AC298" s="185"/>
      <c r="AD298" s="185"/>
      <c r="AE298" s="185"/>
    </row>
    <row r="299" ht="15.75" customHeight="1">
      <c r="C299" s="184"/>
      <c r="D299" s="184"/>
      <c r="E299" s="184"/>
      <c r="F299" s="184"/>
      <c r="G299" s="184"/>
      <c r="H299" s="184"/>
      <c r="I299" s="184"/>
      <c r="J299" s="184"/>
      <c r="K299" s="184"/>
      <c r="L299" s="184"/>
      <c r="M299" s="184"/>
      <c r="N299" s="184"/>
      <c r="O299" s="184"/>
      <c r="AB299" s="185"/>
      <c r="AC299" s="185"/>
      <c r="AD299" s="185"/>
      <c r="AE299" s="185"/>
    </row>
    <row r="300" ht="15.75" customHeight="1">
      <c r="C300" s="184"/>
      <c r="D300" s="184"/>
      <c r="E300" s="184"/>
      <c r="F300" s="184"/>
      <c r="G300" s="184"/>
      <c r="H300" s="184"/>
      <c r="I300" s="184"/>
      <c r="J300" s="184"/>
      <c r="K300" s="184"/>
      <c r="L300" s="184"/>
      <c r="M300" s="184"/>
      <c r="N300" s="184"/>
      <c r="O300" s="184"/>
      <c r="AB300" s="185"/>
      <c r="AC300" s="185"/>
      <c r="AD300" s="185"/>
      <c r="AE300" s="185"/>
    </row>
    <row r="301" ht="15.75" customHeight="1">
      <c r="C301" s="184"/>
      <c r="D301" s="184"/>
      <c r="E301" s="184"/>
      <c r="F301" s="184"/>
      <c r="G301" s="184"/>
      <c r="H301" s="184"/>
      <c r="I301" s="184"/>
      <c r="J301" s="184"/>
      <c r="K301" s="184"/>
      <c r="L301" s="184"/>
      <c r="M301" s="184"/>
      <c r="N301" s="184"/>
      <c r="O301" s="184"/>
      <c r="AB301" s="185"/>
      <c r="AC301" s="185"/>
      <c r="AD301" s="185"/>
      <c r="AE301" s="185"/>
    </row>
    <row r="302" ht="15.75" customHeight="1">
      <c r="C302" s="184"/>
      <c r="D302" s="184"/>
      <c r="E302" s="184"/>
      <c r="F302" s="184"/>
      <c r="G302" s="184"/>
      <c r="H302" s="184"/>
      <c r="I302" s="184"/>
      <c r="J302" s="184"/>
      <c r="K302" s="184"/>
      <c r="L302" s="184"/>
      <c r="M302" s="184"/>
      <c r="N302" s="184"/>
      <c r="O302" s="184"/>
      <c r="AB302" s="185"/>
      <c r="AC302" s="185"/>
      <c r="AD302" s="185"/>
      <c r="AE302" s="185"/>
    </row>
    <row r="303" ht="15.75" customHeight="1">
      <c r="C303" s="184"/>
      <c r="D303" s="184"/>
      <c r="E303" s="184"/>
      <c r="F303" s="184"/>
      <c r="G303" s="184"/>
      <c r="H303" s="184"/>
      <c r="I303" s="184"/>
      <c r="J303" s="184"/>
      <c r="K303" s="184"/>
      <c r="L303" s="184"/>
      <c r="M303" s="184"/>
      <c r="N303" s="184"/>
      <c r="O303" s="184"/>
      <c r="AB303" s="185"/>
      <c r="AC303" s="185"/>
      <c r="AD303" s="185"/>
      <c r="AE303" s="185"/>
    </row>
    <row r="304" ht="15.75" customHeight="1">
      <c r="C304" s="184"/>
      <c r="D304" s="184"/>
      <c r="E304" s="184"/>
      <c r="F304" s="184"/>
      <c r="G304" s="184"/>
      <c r="H304" s="184"/>
      <c r="I304" s="184"/>
      <c r="J304" s="184"/>
      <c r="K304" s="184"/>
      <c r="L304" s="184"/>
      <c r="M304" s="184"/>
      <c r="N304" s="184"/>
      <c r="O304" s="184"/>
      <c r="AB304" s="185"/>
      <c r="AC304" s="185"/>
      <c r="AD304" s="185"/>
      <c r="AE304" s="185"/>
    </row>
    <row r="305" ht="15.75" customHeight="1">
      <c r="C305" s="184"/>
      <c r="D305" s="184"/>
      <c r="E305" s="184"/>
      <c r="F305" s="184"/>
      <c r="G305" s="184"/>
      <c r="H305" s="184"/>
      <c r="I305" s="184"/>
      <c r="J305" s="184"/>
      <c r="K305" s="184"/>
      <c r="L305" s="184"/>
      <c r="M305" s="184"/>
      <c r="N305" s="184"/>
      <c r="O305" s="184"/>
      <c r="AB305" s="185"/>
      <c r="AC305" s="185"/>
      <c r="AD305" s="185"/>
      <c r="AE305" s="185"/>
    </row>
    <row r="306" ht="15.75" customHeight="1">
      <c r="C306" s="184"/>
      <c r="D306" s="184"/>
      <c r="E306" s="184"/>
      <c r="F306" s="184"/>
      <c r="G306" s="184"/>
      <c r="H306" s="184"/>
      <c r="I306" s="184"/>
      <c r="J306" s="184"/>
      <c r="K306" s="184"/>
      <c r="L306" s="184"/>
      <c r="M306" s="184"/>
      <c r="N306" s="184"/>
      <c r="O306" s="184"/>
      <c r="AB306" s="185"/>
      <c r="AC306" s="185"/>
      <c r="AD306" s="185"/>
      <c r="AE306" s="185"/>
    </row>
    <row r="307" ht="15.75" customHeight="1">
      <c r="C307" s="184"/>
      <c r="D307" s="184"/>
      <c r="E307" s="184"/>
      <c r="F307" s="184"/>
      <c r="G307" s="184"/>
      <c r="H307" s="184"/>
      <c r="I307" s="184"/>
      <c r="J307" s="184"/>
      <c r="K307" s="184"/>
      <c r="L307" s="184"/>
      <c r="M307" s="184"/>
      <c r="N307" s="184"/>
      <c r="O307" s="184"/>
      <c r="AB307" s="185"/>
      <c r="AC307" s="185"/>
      <c r="AD307" s="185"/>
      <c r="AE307" s="185"/>
    </row>
    <row r="308" ht="15.75" customHeight="1">
      <c r="C308" s="184"/>
      <c r="D308" s="184"/>
      <c r="E308" s="184"/>
      <c r="F308" s="184"/>
      <c r="G308" s="184"/>
      <c r="H308" s="184"/>
      <c r="I308" s="184"/>
      <c r="J308" s="184"/>
      <c r="K308" s="184"/>
      <c r="L308" s="184"/>
      <c r="M308" s="184"/>
      <c r="N308" s="184"/>
      <c r="O308" s="184"/>
      <c r="AB308" s="185"/>
      <c r="AC308" s="185"/>
      <c r="AD308" s="185"/>
      <c r="AE308" s="185"/>
    </row>
    <row r="309" ht="15.75" customHeight="1">
      <c r="C309" s="184"/>
      <c r="D309" s="184"/>
      <c r="E309" s="184"/>
      <c r="F309" s="184"/>
      <c r="G309" s="184"/>
      <c r="H309" s="184"/>
      <c r="I309" s="184"/>
      <c r="J309" s="184"/>
      <c r="K309" s="184"/>
      <c r="L309" s="184"/>
      <c r="M309" s="184"/>
      <c r="N309" s="184"/>
      <c r="O309" s="184"/>
      <c r="AB309" s="185"/>
      <c r="AC309" s="185"/>
      <c r="AD309" s="185"/>
      <c r="AE309" s="185"/>
    </row>
    <row r="310" ht="15.75" customHeight="1">
      <c r="C310" s="184"/>
      <c r="D310" s="184"/>
      <c r="E310" s="184"/>
      <c r="F310" s="184"/>
      <c r="G310" s="184"/>
      <c r="H310" s="184"/>
      <c r="I310" s="184"/>
      <c r="J310" s="184"/>
      <c r="K310" s="184"/>
      <c r="L310" s="184"/>
      <c r="M310" s="184"/>
      <c r="N310" s="184"/>
      <c r="O310" s="184"/>
      <c r="AB310" s="185"/>
      <c r="AC310" s="185"/>
      <c r="AD310" s="185"/>
      <c r="AE310" s="185"/>
    </row>
    <row r="311" ht="15.75" customHeight="1">
      <c r="C311" s="184"/>
      <c r="D311" s="184"/>
      <c r="E311" s="184"/>
      <c r="F311" s="184"/>
      <c r="G311" s="184"/>
      <c r="H311" s="184"/>
      <c r="I311" s="184"/>
      <c r="J311" s="184"/>
      <c r="K311" s="184"/>
      <c r="L311" s="184"/>
      <c r="M311" s="184"/>
      <c r="N311" s="184"/>
      <c r="O311" s="184"/>
      <c r="AB311" s="185"/>
      <c r="AC311" s="185"/>
      <c r="AD311" s="185"/>
      <c r="AE311" s="185"/>
    </row>
    <row r="312" ht="15.75" customHeight="1">
      <c r="C312" s="184"/>
      <c r="D312" s="184"/>
      <c r="E312" s="184"/>
      <c r="F312" s="184"/>
      <c r="G312" s="184"/>
      <c r="H312" s="184"/>
      <c r="I312" s="184"/>
      <c r="J312" s="184"/>
      <c r="K312" s="184"/>
      <c r="L312" s="184"/>
      <c r="M312" s="184"/>
      <c r="N312" s="184"/>
      <c r="O312" s="184"/>
      <c r="AB312" s="185"/>
      <c r="AC312" s="185"/>
      <c r="AD312" s="185"/>
      <c r="AE312" s="185"/>
    </row>
    <row r="313" ht="15.75" customHeight="1">
      <c r="C313" s="184"/>
      <c r="D313" s="184"/>
      <c r="E313" s="184"/>
      <c r="F313" s="184"/>
      <c r="G313" s="184"/>
      <c r="H313" s="184"/>
      <c r="I313" s="184"/>
      <c r="J313" s="184"/>
      <c r="K313" s="184"/>
      <c r="L313" s="184"/>
      <c r="M313" s="184"/>
      <c r="N313" s="184"/>
      <c r="O313" s="184"/>
      <c r="AB313" s="185"/>
      <c r="AC313" s="185"/>
      <c r="AD313" s="185"/>
      <c r="AE313" s="185"/>
    </row>
    <row r="314" ht="15.75" customHeight="1">
      <c r="C314" s="184"/>
      <c r="D314" s="184"/>
      <c r="E314" s="184"/>
      <c r="F314" s="184"/>
      <c r="G314" s="184"/>
      <c r="H314" s="184"/>
      <c r="I314" s="184"/>
      <c r="J314" s="184"/>
      <c r="K314" s="184"/>
      <c r="L314" s="184"/>
      <c r="M314" s="184"/>
      <c r="N314" s="184"/>
      <c r="O314" s="184"/>
      <c r="AB314" s="185"/>
      <c r="AC314" s="185"/>
      <c r="AD314" s="185"/>
      <c r="AE314" s="185"/>
    </row>
    <row r="315" ht="15.75" customHeight="1">
      <c r="C315" s="184"/>
      <c r="D315" s="184"/>
      <c r="E315" s="184"/>
      <c r="F315" s="184"/>
      <c r="G315" s="184"/>
      <c r="H315" s="184"/>
      <c r="I315" s="184"/>
      <c r="J315" s="184"/>
      <c r="K315" s="184"/>
      <c r="L315" s="184"/>
      <c r="M315" s="184"/>
      <c r="N315" s="184"/>
      <c r="O315" s="184"/>
      <c r="AB315" s="185"/>
      <c r="AC315" s="185"/>
      <c r="AD315" s="185"/>
      <c r="AE315" s="185"/>
    </row>
    <row r="316" ht="15.75" customHeight="1">
      <c r="C316" s="184"/>
      <c r="D316" s="184"/>
      <c r="E316" s="184"/>
      <c r="F316" s="184"/>
      <c r="G316" s="184"/>
      <c r="H316" s="184"/>
      <c r="I316" s="184"/>
      <c r="J316" s="184"/>
      <c r="K316" s="184"/>
      <c r="L316" s="184"/>
      <c r="M316" s="184"/>
      <c r="N316" s="184"/>
      <c r="O316" s="184"/>
      <c r="AB316" s="185"/>
      <c r="AC316" s="185"/>
      <c r="AD316" s="185"/>
      <c r="AE316" s="185"/>
    </row>
    <row r="317" ht="15.75" customHeight="1">
      <c r="C317" s="184"/>
      <c r="D317" s="184"/>
      <c r="E317" s="184"/>
      <c r="F317" s="184"/>
      <c r="G317" s="184"/>
      <c r="H317" s="184"/>
      <c r="I317" s="184"/>
      <c r="J317" s="184"/>
      <c r="K317" s="184"/>
      <c r="L317" s="184"/>
      <c r="M317" s="184"/>
      <c r="N317" s="184"/>
      <c r="O317" s="184"/>
      <c r="AB317" s="185"/>
      <c r="AC317" s="185"/>
      <c r="AD317" s="185"/>
      <c r="AE317" s="185"/>
    </row>
    <row r="318" ht="15.75" customHeight="1">
      <c r="C318" s="184"/>
      <c r="D318" s="184"/>
      <c r="E318" s="184"/>
      <c r="F318" s="184"/>
      <c r="G318" s="184"/>
      <c r="H318" s="184"/>
      <c r="I318" s="184"/>
      <c r="J318" s="184"/>
      <c r="K318" s="184"/>
      <c r="L318" s="184"/>
      <c r="M318" s="184"/>
      <c r="N318" s="184"/>
      <c r="O318" s="184"/>
      <c r="AB318" s="185"/>
      <c r="AC318" s="185"/>
      <c r="AD318" s="185"/>
      <c r="AE318" s="185"/>
    </row>
    <row r="319" ht="15.75" customHeight="1">
      <c r="C319" s="184"/>
      <c r="D319" s="184"/>
      <c r="E319" s="184"/>
      <c r="F319" s="184"/>
      <c r="G319" s="184"/>
      <c r="H319" s="184"/>
      <c r="I319" s="184"/>
      <c r="J319" s="184"/>
      <c r="K319" s="184"/>
      <c r="L319" s="184"/>
      <c r="M319" s="184"/>
      <c r="N319" s="184"/>
      <c r="O319" s="184"/>
      <c r="AB319" s="185"/>
      <c r="AC319" s="185"/>
      <c r="AD319" s="185"/>
      <c r="AE319" s="185"/>
    </row>
    <row r="320" ht="15.75" customHeight="1">
      <c r="C320" s="184"/>
      <c r="D320" s="184"/>
      <c r="E320" s="184"/>
      <c r="F320" s="184"/>
      <c r="G320" s="184"/>
      <c r="H320" s="184"/>
      <c r="I320" s="184"/>
      <c r="J320" s="184"/>
      <c r="K320" s="184"/>
      <c r="L320" s="184"/>
      <c r="M320" s="184"/>
      <c r="N320" s="184"/>
      <c r="O320" s="184"/>
      <c r="AB320" s="185"/>
      <c r="AC320" s="185"/>
      <c r="AD320" s="185"/>
      <c r="AE320" s="185"/>
    </row>
    <row r="321" ht="15.75" customHeight="1">
      <c r="C321" s="184"/>
      <c r="D321" s="184"/>
      <c r="E321" s="184"/>
      <c r="F321" s="184"/>
      <c r="G321" s="184"/>
      <c r="H321" s="184"/>
      <c r="I321" s="184"/>
      <c r="J321" s="184"/>
      <c r="K321" s="184"/>
      <c r="L321" s="184"/>
      <c r="M321" s="184"/>
      <c r="N321" s="184"/>
      <c r="O321" s="184"/>
      <c r="AB321" s="185"/>
      <c r="AC321" s="185"/>
      <c r="AD321" s="185"/>
      <c r="AE321" s="185"/>
    </row>
    <row r="322" ht="15.75" customHeight="1">
      <c r="C322" s="184"/>
      <c r="D322" s="184"/>
      <c r="E322" s="184"/>
      <c r="F322" s="184"/>
      <c r="G322" s="184"/>
      <c r="H322" s="184"/>
      <c r="I322" s="184"/>
      <c r="J322" s="184"/>
      <c r="K322" s="184"/>
      <c r="L322" s="184"/>
      <c r="M322" s="184"/>
      <c r="N322" s="184"/>
      <c r="O322" s="184"/>
      <c r="AB322" s="185"/>
      <c r="AC322" s="185"/>
      <c r="AD322" s="185"/>
      <c r="AE322" s="185"/>
    </row>
    <row r="323" ht="15.75" customHeight="1">
      <c r="C323" s="184"/>
      <c r="D323" s="184"/>
      <c r="E323" s="184"/>
      <c r="F323" s="184"/>
      <c r="G323" s="184"/>
      <c r="H323" s="184"/>
      <c r="I323" s="184"/>
      <c r="J323" s="184"/>
      <c r="K323" s="184"/>
      <c r="L323" s="184"/>
      <c r="M323" s="184"/>
      <c r="N323" s="184"/>
      <c r="O323" s="184"/>
      <c r="AB323" s="185"/>
      <c r="AC323" s="185"/>
      <c r="AD323" s="185"/>
      <c r="AE323" s="185"/>
    </row>
    <row r="324" ht="15.75" customHeight="1">
      <c r="C324" s="184"/>
      <c r="D324" s="184"/>
      <c r="E324" s="184"/>
      <c r="F324" s="184"/>
      <c r="G324" s="184"/>
      <c r="H324" s="184"/>
      <c r="I324" s="184"/>
      <c r="J324" s="184"/>
      <c r="K324" s="184"/>
      <c r="L324" s="184"/>
      <c r="M324" s="184"/>
      <c r="N324" s="184"/>
      <c r="O324" s="184"/>
      <c r="AB324" s="185"/>
      <c r="AC324" s="185"/>
      <c r="AD324" s="185"/>
      <c r="AE324" s="185"/>
    </row>
    <row r="325" ht="15.75" customHeight="1">
      <c r="C325" s="184"/>
      <c r="D325" s="184"/>
      <c r="E325" s="184"/>
      <c r="F325" s="184"/>
      <c r="G325" s="184"/>
      <c r="H325" s="184"/>
      <c r="I325" s="184"/>
      <c r="J325" s="184"/>
      <c r="K325" s="184"/>
      <c r="L325" s="184"/>
      <c r="M325" s="184"/>
      <c r="N325" s="184"/>
      <c r="O325" s="184"/>
      <c r="AB325" s="185"/>
      <c r="AC325" s="185"/>
      <c r="AD325" s="185"/>
      <c r="AE325" s="185"/>
    </row>
    <row r="326" ht="15.75" customHeight="1">
      <c r="C326" s="184"/>
      <c r="D326" s="184"/>
      <c r="E326" s="184"/>
      <c r="F326" s="184"/>
      <c r="G326" s="184"/>
      <c r="H326" s="184"/>
      <c r="I326" s="184"/>
      <c r="J326" s="184"/>
      <c r="K326" s="184"/>
      <c r="L326" s="184"/>
      <c r="M326" s="184"/>
      <c r="N326" s="184"/>
      <c r="O326" s="184"/>
      <c r="AB326" s="185"/>
      <c r="AC326" s="185"/>
      <c r="AD326" s="185"/>
      <c r="AE326" s="185"/>
    </row>
    <row r="327" ht="15.75" customHeight="1">
      <c r="C327" s="184"/>
      <c r="D327" s="184"/>
      <c r="E327" s="184"/>
      <c r="F327" s="184"/>
      <c r="G327" s="184"/>
      <c r="H327" s="184"/>
      <c r="I327" s="184"/>
      <c r="J327" s="184"/>
      <c r="K327" s="184"/>
      <c r="L327" s="184"/>
      <c r="M327" s="184"/>
      <c r="N327" s="184"/>
      <c r="O327" s="184"/>
      <c r="AB327" s="185"/>
      <c r="AC327" s="185"/>
      <c r="AD327" s="185"/>
      <c r="AE327" s="185"/>
    </row>
    <row r="328" ht="15.75" customHeight="1">
      <c r="C328" s="184"/>
      <c r="D328" s="184"/>
      <c r="E328" s="184"/>
      <c r="F328" s="184"/>
      <c r="G328" s="184"/>
      <c r="H328" s="184"/>
      <c r="I328" s="184"/>
      <c r="J328" s="184"/>
      <c r="K328" s="184"/>
      <c r="L328" s="184"/>
      <c r="M328" s="184"/>
      <c r="N328" s="184"/>
      <c r="O328" s="184"/>
      <c r="AB328" s="185"/>
      <c r="AC328" s="185"/>
      <c r="AD328" s="185"/>
      <c r="AE328" s="185"/>
    </row>
    <row r="329" ht="15.75" customHeight="1">
      <c r="C329" s="184"/>
      <c r="D329" s="184"/>
      <c r="E329" s="184"/>
      <c r="F329" s="184"/>
      <c r="G329" s="184"/>
      <c r="H329" s="184"/>
      <c r="I329" s="184"/>
      <c r="J329" s="184"/>
      <c r="K329" s="184"/>
      <c r="L329" s="184"/>
      <c r="M329" s="184"/>
      <c r="N329" s="184"/>
      <c r="O329" s="184"/>
      <c r="AB329" s="185"/>
      <c r="AC329" s="185"/>
      <c r="AD329" s="185"/>
      <c r="AE329" s="185"/>
    </row>
    <row r="330" ht="15.75" customHeight="1">
      <c r="C330" s="184"/>
      <c r="D330" s="184"/>
      <c r="E330" s="184"/>
      <c r="F330" s="184"/>
      <c r="G330" s="184"/>
      <c r="H330" s="184"/>
      <c r="I330" s="184"/>
      <c r="J330" s="184"/>
      <c r="K330" s="184"/>
      <c r="L330" s="184"/>
      <c r="M330" s="184"/>
      <c r="N330" s="184"/>
      <c r="O330" s="184"/>
      <c r="AB330" s="185"/>
      <c r="AC330" s="185"/>
      <c r="AD330" s="185"/>
      <c r="AE330" s="185"/>
    </row>
    <row r="331" ht="15.75" customHeight="1">
      <c r="C331" s="184"/>
      <c r="D331" s="184"/>
      <c r="E331" s="184"/>
      <c r="F331" s="184"/>
      <c r="G331" s="184"/>
      <c r="H331" s="184"/>
      <c r="I331" s="184"/>
      <c r="J331" s="184"/>
      <c r="K331" s="184"/>
      <c r="L331" s="184"/>
      <c r="M331" s="184"/>
      <c r="N331" s="184"/>
      <c r="O331" s="184"/>
      <c r="AB331" s="185"/>
      <c r="AC331" s="185"/>
      <c r="AD331" s="185"/>
      <c r="AE331" s="185"/>
    </row>
    <row r="332" ht="15.75" customHeight="1">
      <c r="C332" s="184"/>
      <c r="D332" s="184"/>
      <c r="E332" s="184"/>
      <c r="F332" s="184"/>
      <c r="G332" s="184"/>
      <c r="H332" s="184"/>
      <c r="I332" s="184"/>
      <c r="J332" s="184"/>
      <c r="K332" s="184"/>
      <c r="L332" s="184"/>
      <c r="M332" s="184"/>
      <c r="N332" s="184"/>
      <c r="O332" s="184"/>
      <c r="AB332" s="185"/>
      <c r="AC332" s="185"/>
      <c r="AD332" s="185"/>
      <c r="AE332" s="185"/>
    </row>
    <row r="333" ht="15.75" customHeight="1">
      <c r="C333" s="184"/>
      <c r="D333" s="184"/>
      <c r="E333" s="184"/>
      <c r="F333" s="184"/>
      <c r="G333" s="184"/>
      <c r="H333" s="184"/>
      <c r="I333" s="184"/>
      <c r="J333" s="184"/>
      <c r="K333" s="184"/>
      <c r="L333" s="184"/>
      <c r="M333" s="184"/>
      <c r="N333" s="184"/>
      <c r="O333" s="184"/>
      <c r="AB333" s="185"/>
      <c r="AC333" s="185"/>
      <c r="AD333" s="185"/>
      <c r="AE333" s="185"/>
    </row>
    <row r="334" ht="15.75" customHeight="1">
      <c r="C334" s="184"/>
      <c r="D334" s="184"/>
      <c r="E334" s="184"/>
      <c r="F334" s="184"/>
      <c r="G334" s="184"/>
      <c r="H334" s="184"/>
      <c r="I334" s="184"/>
      <c r="J334" s="184"/>
      <c r="K334" s="184"/>
      <c r="L334" s="184"/>
      <c r="M334" s="184"/>
      <c r="N334" s="184"/>
      <c r="O334" s="184"/>
      <c r="AB334" s="185"/>
      <c r="AC334" s="185"/>
      <c r="AD334" s="185"/>
      <c r="AE334" s="185"/>
    </row>
    <row r="335" ht="15.75" customHeight="1">
      <c r="C335" s="184"/>
      <c r="D335" s="184"/>
      <c r="E335" s="184"/>
      <c r="F335" s="184"/>
      <c r="G335" s="184"/>
      <c r="H335" s="184"/>
      <c r="I335" s="184"/>
      <c r="J335" s="184"/>
      <c r="K335" s="184"/>
      <c r="L335" s="184"/>
      <c r="M335" s="184"/>
      <c r="N335" s="184"/>
      <c r="O335" s="184"/>
      <c r="AB335" s="185"/>
      <c r="AC335" s="185"/>
      <c r="AD335" s="185"/>
      <c r="AE335" s="185"/>
    </row>
    <row r="336" ht="15.75" customHeight="1">
      <c r="C336" s="184"/>
      <c r="D336" s="184"/>
      <c r="E336" s="184"/>
      <c r="F336" s="184"/>
      <c r="G336" s="184"/>
      <c r="H336" s="184"/>
      <c r="I336" s="184"/>
      <c r="J336" s="184"/>
      <c r="K336" s="184"/>
      <c r="L336" s="184"/>
      <c r="M336" s="184"/>
      <c r="N336" s="184"/>
      <c r="O336" s="184"/>
      <c r="AB336" s="185"/>
      <c r="AC336" s="185"/>
      <c r="AD336" s="185"/>
      <c r="AE336" s="185"/>
    </row>
    <row r="337" ht="15.75" customHeight="1">
      <c r="C337" s="184"/>
      <c r="D337" s="184"/>
      <c r="E337" s="184"/>
      <c r="F337" s="184"/>
      <c r="G337" s="184"/>
      <c r="H337" s="184"/>
      <c r="I337" s="184"/>
      <c r="J337" s="184"/>
      <c r="K337" s="184"/>
      <c r="L337" s="184"/>
      <c r="M337" s="184"/>
      <c r="N337" s="184"/>
      <c r="O337" s="184"/>
      <c r="AB337" s="185"/>
      <c r="AC337" s="185"/>
      <c r="AD337" s="185"/>
      <c r="AE337" s="185"/>
    </row>
    <row r="338" ht="15.75" customHeight="1">
      <c r="C338" s="184"/>
      <c r="D338" s="184"/>
      <c r="E338" s="184"/>
      <c r="F338" s="184"/>
      <c r="G338" s="184"/>
      <c r="H338" s="184"/>
      <c r="I338" s="184"/>
      <c r="J338" s="184"/>
      <c r="K338" s="184"/>
      <c r="L338" s="184"/>
      <c r="M338" s="184"/>
      <c r="N338" s="184"/>
      <c r="O338" s="184"/>
      <c r="AB338" s="185"/>
      <c r="AC338" s="185"/>
      <c r="AD338" s="185"/>
      <c r="AE338" s="185"/>
    </row>
    <row r="339" ht="15.75" customHeight="1">
      <c r="C339" s="184"/>
      <c r="D339" s="184"/>
      <c r="E339" s="184"/>
      <c r="F339" s="184"/>
      <c r="G339" s="184"/>
      <c r="H339" s="184"/>
      <c r="I339" s="184"/>
      <c r="J339" s="184"/>
      <c r="K339" s="184"/>
      <c r="L339" s="184"/>
      <c r="M339" s="184"/>
      <c r="N339" s="184"/>
      <c r="O339" s="184"/>
      <c r="AB339" s="185"/>
      <c r="AC339" s="185"/>
      <c r="AD339" s="185"/>
      <c r="AE339" s="185"/>
    </row>
    <row r="340" ht="15.75" customHeight="1">
      <c r="C340" s="184"/>
      <c r="D340" s="184"/>
      <c r="E340" s="184"/>
      <c r="F340" s="184"/>
      <c r="G340" s="184"/>
      <c r="H340" s="184"/>
      <c r="I340" s="184"/>
      <c r="J340" s="184"/>
      <c r="K340" s="184"/>
      <c r="L340" s="184"/>
      <c r="M340" s="184"/>
      <c r="N340" s="184"/>
      <c r="O340" s="184"/>
      <c r="AB340" s="185"/>
      <c r="AC340" s="185"/>
      <c r="AD340" s="185"/>
      <c r="AE340" s="185"/>
    </row>
    <row r="341" ht="15.75" customHeight="1">
      <c r="C341" s="184"/>
      <c r="D341" s="184"/>
      <c r="E341" s="184"/>
      <c r="F341" s="184"/>
      <c r="G341" s="184"/>
      <c r="H341" s="184"/>
      <c r="I341" s="184"/>
      <c r="J341" s="184"/>
      <c r="K341" s="184"/>
      <c r="L341" s="184"/>
      <c r="M341" s="184"/>
      <c r="N341" s="184"/>
      <c r="O341" s="184"/>
      <c r="AB341" s="185"/>
      <c r="AC341" s="185"/>
      <c r="AD341" s="185"/>
      <c r="AE341" s="185"/>
    </row>
    <row r="342" ht="15.75" customHeight="1">
      <c r="C342" s="184"/>
      <c r="D342" s="184"/>
      <c r="E342" s="184"/>
      <c r="F342" s="184"/>
      <c r="G342" s="184"/>
      <c r="H342" s="184"/>
      <c r="I342" s="184"/>
      <c r="J342" s="184"/>
      <c r="K342" s="184"/>
      <c r="L342" s="184"/>
      <c r="M342" s="184"/>
      <c r="N342" s="184"/>
      <c r="O342" s="184"/>
      <c r="AB342" s="185"/>
      <c r="AC342" s="185"/>
      <c r="AD342" s="185"/>
      <c r="AE342" s="185"/>
    </row>
    <row r="343" ht="15.75" customHeight="1">
      <c r="C343" s="184"/>
      <c r="D343" s="184"/>
      <c r="E343" s="184"/>
      <c r="F343" s="184"/>
      <c r="G343" s="184"/>
      <c r="H343" s="184"/>
      <c r="I343" s="184"/>
      <c r="J343" s="184"/>
      <c r="K343" s="184"/>
      <c r="L343" s="184"/>
      <c r="M343" s="184"/>
      <c r="N343" s="184"/>
      <c r="O343" s="184"/>
      <c r="AB343" s="185"/>
      <c r="AC343" s="185"/>
      <c r="AD343" s="185"/>
      <c r="AE343" s="185"/>
    </row>
    <row r="344" ht="15.75" customHeight="1">
      <c r="C344" s="184"/>
      <c r="D344" s="184"/>
      <c r="E344" s="184"/>
      <c r="F344" s="184"/>
      <c r="G344" s="184"/>
      <c r="H344" s="184"/>
      <c r="I344" s="184"/>
      <c r="J344" s="184"/>
      <c r="K344" s="184"/>
      <c r="L344" s="184"/>
      <c r="M344" s="184"/>
      <c r="N344" s="184"/>
      <c r="O344" s="184"/>
      <c r="AB344" s="185"/>
      <c r="AC344" s="185"/>
      <c r="AD344" s="185"/>
      <c r="AE344" s="185"/>
    </row>
    <row r="345" ht="15.75" customHeight="1">
      <c r="C345" s="184"/>
      <c r="D345" s="184"/>
      <c r="E345" s="184"/>
      <c r="F345" s="184"/>
      <c r="G345" s="184"/>
      <c r="H345" s="184"/>
      <c r="I345" s="184"/>
      <c r="J345" s="184"/>
      <c r="K345" s="184"/>
      <c r="L345" s="184"/>
      <c r="M345" s="184"/>
      <c r="N345" s="184"/>
      <c r="O345" s="184"/>
      <c r="AB345" s="185"/>
      <c r="AC345" s="185"/>
      <c r="AD345" s="185"/>
      <c r="AE345" s="185"/>
    </row>
    <row r="346" ht="15.75" customHeight="1">
      <c r="C346" s="184"/>
      <c r="D346" s="184"/>
      <c r="E346" s="184"/>
      <c r="F346" s="184"/>
      <c r="G346" s="184"/>
      <c r="H346" s="184"/>
      <c r="I346" s="184"/>
      <c r="J346" s="184"/>
      <c r="K346" s="184"/>
      <c r="L346" s="184"/>
      <c r="M346" s="184"/>
      <c r="N346" s="184"/>
      <c r="O346" s="184"/>
      <c r="AB346" s="185"/>
      <c r="AC346" s="185"/>
      <c r="AD346" s="185"/>
      <c r="AE346" s="185"/>
    </row>
    <row r="347" ht="15.75" customHeight="1">
      <c r="C347" s="184"/>
      <c r="D347" s="184"/>
      <c r="E347" s="184"/>
      <c r="F347" s="184"/>
      <c r="G347" s="184"/>
      <c r="H347" s="184"/>
      <c r="I347" s="184"/>
      <c r="J347" s="184"/>
      <c r="K347" s="184"/>
      <c r="L347" s="184"/>
      <c r="M347" s="184"/>
      <c r="N347" s="184"/>
      <c r="O347" s="184"/>
      <c r="AB347" s="185"/>
      <c r="AC347" s="185"/>
      <c r="AD347" s="185"/>
      <c r="AE347" s="185"/>
    </row>
    <row r="348" ht="15.75" customHeight="1">
      <c r="C348" s="184"/>
      <c r="D348" s="184"/>
      <c r="E348" s="184"/>
      <c r="F348" s="184"/>
      <c r="G348" s="184"/>
      <c r="H348" s="184"/>
      <c r="I348" s="184"/>
      <c r="J348" s="184"/>
      <c r="K348" s="184"/>
      <c r="L348" s="184"/>
      <c r="M348" s="184"/>
      <c r="N348" s="184"/>
      <c r="O348" s="184"/>
      <c r="AB348" s="185"/>
      <c r="AC348" s="185"/>
      <c r="AD348" s="185"/>
      <c r="AE348" s="185"/>
    </row>
    <row r="349" ht="15.75" customHeight="1">
      <c r="C349" s="184"/>
      <c r="D349" s="184"/>
      <c r="E349" s="184"/>
      <c r="F349" s="184"/>
      <c r="G349" s="184"/>
      <c r="H349" s="184"/>
      <c r="I349" s="184"/>
      <c r="J349" s="184"/>
      <c r="K349" s="184"/>
      <c r="L349" s="184"/>
      <c r="M349" s="184"/>
      <c r="N349" s="184"/>
      <c r="O349" s="184"/>
      <c r="AB349" s="185"/>
      <c r="AC349" s="185"/>
      <c r="AD349" s="185"/>
      <c r="AE349" s="185"/>
    </row>
    <row r="350" ht="15.75" customHeight="1">
      <c r="C350" s="184"/>
      <c r="D350" s="184"/>
      <c r="E350" s="184"/>
      <c r="F350" s="184"/>
      <c r="G350" s="184"/>
      <c r="H350" s="184"/>
      <c r="I350" s="184"/>
      <c r="J350" s="184"/>
      <c r="K350" s="184"/>
      <c r="L350" s="184"/>
      <c r="M350" s="184"/>
      <c r="N350" s="184"/>
      <c r="O350" s="184"/>
      <c r="AB350" s="185"/>
      <c r="AC350" s="185"/>
      <c r="AD350" s="185"/>
      <c r="AE350" s="185"/>
    </row>
    <row r="351" ht="15.75" customHeight="1">
      <c r="C351" s="184"/>
      <c r="D351" s="184"/>
      <c r="E351" s="184"/>
      <c r="F351" s="184"/>
      <c r="G351" s="184"/>
      <c r="H351" s="184"/>
      <c r="I351" s="184"/>
      <c r="J351" s="184"/>
      <c r="K351" s="184"/>
      <c r="L351" s="184"/>
      <c r="M351" s="184"/>
      <c r="N351" s="184"/>
      <c r="O351" s="184"/>
      <c r="AB351" s="185"/>
      <c r="AC351" s="185"/>
      <c r="AD351" s="185"/>
      <c r="AE351" s="185"/>
    </row>
    <row r="352" ht="15.75" customHeight="1">
      <c r="C352" s="184"/>
      <c r="D352" s="184"/>
      <c r="E352" s="184"/>
      <c r="F352" s="184"/>
      <c r="G352" s="184"/>
      <c r="H352" s="184"/>
      <c r="I352" s="184"/>
      <c r="J352" s="184"/>
      <c r="K352" s="184"/>
      <c r="L352" s="184"/>
      <c r="M352" s="184"/>
      <c r="N352" s="184"/>
      <c r="O352" s="184"/>
      <c r="AB352" s="185"/>
      <c r="AC352" s="185"/>
      <c r="AD352" s="185"/>
      <c r="AE352" s="185"/>
    </row>
    <row r="353" ht="15.75" customHeight="1">
      <c r="C353" s="184"/>
      <c r="D353" s="184"/>
      <c r="E353" s="184"/>
      <c r="F353" s="184"/>
      <c r="G353" s="184"/>
      <c r="H353" s="184"/>
      <c r="I353" s="184"/>
      <c r="J353" s="184"/>
      <c r="K353" s="184"/>
      <c r="L353" s="184"/>
      <c r="M353" s="184"/>
      <c r="N353" s="184"/>
      <c r="O353" s="184"/>
      <c r="AB353" s="185"/>
      <c r="AC353" s="185"/>
      <c r="AD353" s="185"/>
      <c r="AE353" s="185"/>
    </row>
    <row r="354" ht="15.75" customHeight="1">
      <c r="C354" s="184"/>
      <c r="D354" s="184"/>
      <c r="E354" s="184"/>
      <c r="F354" s="184"/>
      <c r="G354" s="184"/>
      <c r="H354" s="184"/>
      <c r="I354" s="184"/>
      <c r="J354" s="184"/>
      <c r="K354" s="184"/>
      <c r="L354" s="184"/>
      <c r="M354" s="184"/>
      <c r="N354" s="184"/>
      <c r="O354" s="184"/>
      <c r="AB354" s="185"/>
      <c r="AC354" s="185"/>
      <c r="AD354" s="185"/>
      <c r="AE354" s="185"/>
    </row>
    <row r="355" ht="15.75" customHeight="1">
      <c r="C355" s="184"/>
      <c r="D355" s="184"/>
      <c r="E355" s="184"/>
      <c r="F355" s="184"/>
      <c r="G355" s="184"/>
      <c r="H355" s="184"/>
      <c r="I355" s="184"/>
      <c r="J355" s="184"/>
      <c r="K355" s="184"/>
      <c r="L355" s="184"/>
      <c r="M355" s="184"/>
      <c r="N355" s="184"/>
      <c r="O355" s="184"/>
      <c r="AB355" s="185"/>
      <c r="AC355" s="185"/>
      <c r="AD355" s="185"/>
      <c r="AE355" s="185"/>
    </row>
    <row r="356" ht="15.75" customHeight="1">
      <c r="C356" s="184"/>
      <c r="D356" s="184"/>
      <c r="E356" s="184"/>
      <c r="F356" s="184"/>
      <c r="G356" s="184"/>
      <c r="H356" s="184"/>
      <c r="I356" s="184"/>
      <c r="J356" s="184"/>
      <c r="K356" s="184"/>
      <c r="L356" s="184"/>
      <c r="M356" s="184"/>
      <c r="N356" s="184"/>
      <c r="O356" s="184"/>
      <c r="AB356" s="185"/>
      <c r="AC356" s="185"/>
      <c r="AD356" s="185"/>
      <c r="AE356" s="185"/>
    </row>
    <row r="357" ht="15.75" customHeight="1">
      <c r="C357" s="184"/>
      <c r="D357" s="184"/>
      <c r="E357" s="184"/>
      <c r="F357" s="184"/>
      <c r="G357" s="184"/>
      <c r="H357" s="184"/>
      <c r="I357" s="184"/>
      <c r="J357" s="184"/>
      <c r="K357" s="184"/>
      <c r="L357" s="184"/>
      <c r="M357" s="184"/>
      <c r="N357" s="184"/>
      <c r="O357" s="184"/>
      <c r="AB357" s="185"/>
      <c r="AC357" s="185"/>
      <c r="AD357" s="185"/>
      <c r="AE357" s="185"/>
    </row>
    <row r="358" ht="15.75" customHeight="1">
      <c r="C358" s="184"/>
      <c r="D358" s="184"/>
      <c r="E358" s="184"/>
      <c r="F358" s="184"/>
      <c r="G358" s="184"/>
      <c r="H358" s="184"/>
      <c r="I358" s="184"/>
      <c r="J358" s="184"/>
      <c r="K358" s="184"/>
      <c r="L358" s="184"/>
      <c r="M358" s="184"/>
      <c r="N358" s="184"/>
      <c r="O358" s="184"/>
      <c r="AB358" s="185"/>
      <c r="AC358" s="185"/>
      <c r="AD358" s="185"/>
      <c r="AE358" s="185"/>
    </row>
    <row r="359" ht="15.75" customHeight="1">
      <c r="C359" s="184"/>
      <c r="D359" s="184"/>
      <c r="E359" s="184"/>
      <c r="F359" s="184"/>
      <c r="G359" s="184"/>
      <c r="H359" s="184"/>
      <c r="I359" s="184"/>
      <c r="J359" s="184"/>
      <c r="K359" s="184"/>
      <c r="L359" s="184"/>
      <c r="M359" s="184"/>
      <c r="N359" s="184"/>
      <c r="O359" s="184"/>
      <c r="AB359" s="185"/>
      <c r="AC359" s="185"/>
      <c r="AD359" s="185"/>
      <c r="AE359" s="185"/>
    </row>
    <row r="360" ht="15.75" customHeight="1">
      <c r="C360" s="184"/>
      <c r="D360" s="184"/>
      <c r="E360" s="184"/>
      <c r="F360" s="184"/>
      <c r="G360" s="184"/>
      <c r="H360" s="184"/>
      <c r="I360" s="184"/>
      <c r="J360" s="184"/>
      <c r="K360" s="184"/>
      <c r="L360" s="184"/>
      <c r="M360" s="184"/>
      <c r="N360" s="184"/>
      <c r="O360" s="184"/>
      <c r="AB360" s="185"/>
      <c r="AC360" s="185"/>
      <c r="AD360" s="185"/>
      <c r="AE360" s="185"/>
    </row>
    <row r="361" ht="15.75" customHeight="1">
      <c r="C361" s="184"/>
      <c r="D361" s="184"/>
      <c r="E361" s="184"/>
      <c r="F361" s="184"/>
      <c r="G361" s="184"/>
      <c r="H361" s="184"/>
      <c r="I361" s="184"/>
      <c r="J361" s="184"/>
      <c r="K361" s="184"/>
      <c r="L361" s="184"/>
      <c r="M361" s="184"/>
      <c r="N361" s="184"/>
      <c r="O361" s="184"/>
      <c r="AB361" s="185"/>
      <c r="AC361" s="185"/>
      <c r="AD361" s="185"/>
      <c r="AE361" s="185"/>
    </row>
    <row r="362" ht="15.75" customHeight="1">
      <c r="C362" s="184"/>
      <c r="D362" s="184"/>
      <c r="E362" s="184"/>
      <c r="F362" s="184"/>
      <c r="G362" s="184"/>
      <c r="H362" s="184"/>
      <c r="I362" s="184"/>
      <c r="J362" s="184"/>
      <c r="K362" s="184"/>
      <c r="L362" s="184"/>
      <c r="M362" s="184"/>
      <c r="N362" s="184"/>
      <c r="O362" s="184"/>
      <c r="AB362" s="185"/>
      <c r="AC362" s="185"/>
      <c r="AD362" s="185"/>
      <c r="AE362" s="185"/>
    </row>
    <row r="363" ht="15.75" customHeight="1">
      <c r="C363" s="184"/>
      <c r="D363" s="184"/>
      <c r="E363" s="184"/>
      <c r="F363" s="184"/>
      <c r="G363" s="184"/>
      <c r="H363" s="184"/>
      <c r="I363" s="184"/>
      <c r="J363" s="184"/>
      <c r="K363" s="184"/>
      <c r="L363" s="184"/>
      <c r="M363" s="184"/>
      <c r="N363" s="184"/>
      <c r="O363" s="184"/>
      <c r="AB363" s="185"/>
      <c r="AC363" s="185"/>
      <c r="AD363" s="185"/>
      <c r="AE363" s="185"/>
    </row>
    <row r="364" ht="15.75" customHeight="1">
      <c r="C364" s="184"/>
      <c r="D364" s="184"/>
      <c r="E364" s="184"/>
      <c r="F364" s="184"/>
      <c r="G364" s="184"/>
      <c r="H364" s="184"/>
      <c r="I364" s="184"/>
      <c r="J364" s="184"/>
      <c r="K364" s="184"/>
      <c r="L364" s="184"/>
      <c r="M364" s="184"/>
      <c r="N364" s="184"/>
      <c r="O364" s="184"/>
      <c r="AB364" s="185"/>
      <c r="AC364" s="185"/>
      <c r="AD364" s="185"/>
      <c r="AE364" s="185"/>
    </row>
    <row r="365" ht="15.75" customHeight="1">
      <c r="C365" s="184"/>
      <c r="D365" s="184"/>
      <c r="E365" s="184"/>
      <c r="F365" s="184"/>
      <c r="G365" s="184"/>
      <c r="H365" s="184"/>
      <c r="I365" s="184"/>
      <c r="J365" s="184"/>
      <c r="K365" s="184"/>
      <c r="L365" s="184"/>
      <c r="M365" s="184"/>
      <c r="N365" s="184"/>
      <c r="O365" s="184"/>
      <c r="AB365" s="185"/>
      <c r="AC365" s="185"/>
      <c r="AD365" s="185"/>
      <c r="AE365" s="185"/>
    </row>
    <row r="366" ht="15.75" customHeight="1">
      <c r="C366" s="184"/>
      <c r="D366" s="184"/>
      <c r="E366" s="184"/>
      <c r="F366" s="184"/>
      <c r="G366" s="184"/>
      <c r="H366" s="184"/>
      <c r="I366" s="184"/>
      <c r="J366" s="184"/>
      <c r="K366" s="184"/>
      <c r="L366" s="184"/>
      <c r="M366" s="184"/>
      <c r="N366" s="184"/>
      <c r="O366" s="184"/>
      <c r="AB366" s="185"/>
      <c r="AC366" s="185"/>
      <c r="AD366" s="185"/>
      <c r="AE366" s="185"/>
    </row>
    <row r="367" ht="15.75" customHeight="1">
      <c r="C367" s="184"/>
      <c r="D367" s="184"/>
      <c r="E367" s="184"/>
      <c r="F367" s="184"/>
      <c r="G367" s="184"/>
      <c r="H367" s="184"/>
      <c r="I367" s="184"/>
      <c r="J367" s="184"/>
      <c r="K367" s="184"/>
      <c r="L367" s="184"/>
      <c r="M367" s="184"/>
      <c r="N367" s="184"/>
      <c r="O367" s="184"/>
      <c r="AB367" s="185"/>
      <c r="AC367" s="185"/>
      <c r="AD367" s="185"/>
      <c r="AE367" s="185"/>
    </row>
    <row r="368" ht="15.75" customHeight="1">
      <c r="C368" s="184"/>
      <c r="D368" s="184"/>
      <c r="E368" s="184"/>
      <c r="F368" s="184"/>
      <c r="G368" s="184"/>
      <c r="H368" s="184"/>
      <c r="I368" s="184"/>
      <c r="J368" s="184"/>
      <c r="K368" s="184"/>
      <c r="L368" s="184"/>
      <c r="M368" s="184"/>
      <c r="N368" s="184"/>
      <c r="O368" s="184"/>
      <c r="AB368" s="185"/>
      <c r="AC368" s="185"/>
      <c r="AD368" s="185"/>
      <c r="AE368" s="185"/>
    </row>
    <row r="369" ht="15.75" customHeight="1">
      <c r="C369" s="184"/>
      <c r="D369" s="184"/>
      <c r="E369" s="184"/>
      <c r="F369" s="184"/>
      <c r="G369" s="184"/>
      <c r="H369" s="184"/>
      <c r="I369" s="184"/>
      <c r="J369" s="184"/>
      <c r="K369" s="184"/>
      <c r="L369" s="184"/>
      <c r="M369" s="184"/>
      <c r="N369" s="184"/>
      <c r="O369" s="184"/>
      <c r="AB369" s="185"/>
      <c r="AC369" s="185"/>
      <c r="AD369" s="185"/>
      <c r="AE369" s="185"/>
    </row>
    <row r="370" ht="15.75" customHeight="1">
      <c r="C370" s="184"/>
      <c r="D370" s="184"/>
      <c r="E370" s="184"/>
      <c r="F370" s="184"/>
      <c r="G370" s="184"/>
      <c r="H370" s="184"/>
      <c r="I370" s="184"/>
      <c r="J370" s="184"/>
      <c r="K370" s="184"/>
      <c r="L370" s="184"/>
      <c r="M370" s="184"/>
      <c r="N370" s="184"/>
      <c r="O370" s="184"/>
      <c r="AB370" s="185"/>
      <c r="AC370" s="185"/>
      <c r="AD370" s="185"/>
      <c r="AE370" s="185"/>
    </row>
    <row r="371" ht="15.75" customHeight="1">
      <c r="C371" s="184"/>
      <c r="D371" s="184"/>
      <c r="E371" s="184"/>
      <c r="F371" s="184"/>
      <c r="G371" s="184"/>
      <c r="H371" s="184"/>
      <c r="I371" s="184"/>
      <c r="J371" s="184"/>
      <c r="K371" s="184"/>
      <c r="L371" s="184"/>
      <c r="M371" s="184"/>
      <c r="N371" s="184"/>
      <c r="O371" s="184"/>
      <c r="AB371" s="185"/>
      <c r="AC371" s="185"/>
      <c r="AD371" s="185"/>
      <c r="AE371" s="185"/>
    </row>
    <row r="372" ht="15.75" customHeight="1">
      <c r="C372" s="184"/>
      <c r="D372" s="184"/>
      <c r="E372" s="184"/>
      <c r="F372" s="184"/>
      <c r="G372" s="184"/>
      <c r="H372" s="184"/>
      <c r="I372" s="184"/>
      <c r="J372" s="184"/>
      <c r="K372" s="184"/>
      <c r="L372" s="184"/>
      <c r="M372" s="184"/>
      <c r="N372" s="184"/>
      <c r="O372" s="184"/>
      <c r="AB372" s="185"/>
      <c r="AC372" s="185"/>
      <c r="AD372" s="185"/>
      <c r="AE372" s="185"/>
    </row>
    <row r="373" ht="15.75" customHeight="1">
      <c r="C373" s="184"/>
      <c r="D373" s="184"/>
      <c r="E373" s="184"/>
      <c r="F373" s="184"/>
      <c r="G373" s="184"/>
      <c r="H373" s="184"/>
      <c r="I373" s="184"/>
      <c r="J373" s="184"/>
      <c r="K373" s="184"/>
      <c r="L373" s="184"/>
      <c r="M373" s="184"/>
      <c r="N373" s="184"/>
      <c r="O373" s="184"/>
      <c r="AB373" s="185"/>
      <c r="AC373" s="185"/>
      <c r="AD373" s="185"/>
      <c r="AE373" s="185"/>
    </row>
    <row r="374" ht="15.75" customHeight="1">
      <c r="C374" s="184"/>
      <c r="D374" s="184"/>
      <c r="E374" s="184"/>
      <c r="F374" s="184"/>
      <c r="G374" s="184"/>
      <c r="H374" s="184"/>
      <c r="I374" s="184"/>
      <c r="J374" s="184"/>
      <c r="K374" s="184"/>
      <c r="L374" s="184"/>
      <c r="M374" s="184"/>
      <c r="N374" s="184"/>
      <c r="O374" s="184"/>
      <c r="AB374" s="185"/>
      <c r="AC374" s="185"/>
      <c r="AD374" s="185"/>
      <c r="AE374" s="185"/>
    </row>
    <row r="375" ht="15.75" customHeight="1">
      <c r="C375" s="184"/>
      <c r="D375" s="184"/>
      <c r="E375" s="184"/>
      <c r="F375" s="184"/>
      <c r="G375" s="184"/>
      <c r="H375" s="184"/>
      <c r="I375" s="184"/>
      <c r="J375" s="184"/>
      <c r="K375" s="184"/>
      <c r="L375" s="184"/>
      <c r="M375" s="184"/>
      <c r="N375" s="184"/>
      <c r="O375" s="184"/>
      <c r="AB375" s="185"/>
      <c r="AC375" s="185"/>
      <c r="AD375" s="185"/>
      <c r="AE375" s="185"/>
    </row>
    <row r="376" ht="15.75" customHeight="1">
      <c r="C376" s="184"/>
      <c r="D376" s="184"/>
      <c r="E376" s="184"/>
      <c r="F376" s="184"/>
      <c r="G376" s="184"/>
      <c r="H376" s="184"/>
      <c r="I376" s="184"/>
      <c r="J376" s="184"/>
      <c r="K376" s="184"/>
      <c r="L376" s="184"/>
      <c r="M376" s="184"/>
      <c r="N376" s="184"/>
      <c r="O376" s="184"/>
      <c r="AB376" s="185"/>
      <c r="AC376" s="185"/>
      <c r="AD376" s="185"/>
      <c r="AE376" s="185"/>
    </row>
    <row r="377" ht="15.75" customHeight="1">
      <c r="C377" s="184"/>
      <c r="D377" s="184"/>
      <c r="E377" s="184"/>
      <c r="F377" s="184"/>
      <c r="G377" s="184"/>
      <c r="H377" s="184"/>
      <c r="I377" s="184"/>
      <c r="J377" s="184"/>
      <c r="K377" s="184"/>
      <c r="L377" s="184"/>
      <c r="M377" s="184"/>
      <c r="N377" s="184"/>
      <c r="O377" s="184"/>
      <c r="AB377" s="185"/>
      <c r="AC377" s="185"/>
      <c r="AD377" s="185"/>
      <c r="AE377" s="185"/>
    </row>
    <row r="378" ht="15.75" customHeight="1">
      <c r="C378" s="184"/>
      <c r="D378" s="184"/>
      <c r="E378" s="184"/>
      <c r="F378" s="184"/>
      <c r="G378" s="184"/>
      <c r="H378" s="184"/>
      <c r="I378" s="184"/>
      <c r="J378" s="184"/>
      <c r="K378" s="184"/>
      <c r="L378" s="184"/>
      <c r="M378" s="184"/>
      <c r="N378" s="184"/>
      <c r="O378" s="184"/>
      <c r="AB378" s="185"/>
      <c r="AC378" s="185"/>
      <c r="AD378" s="185"/>
      <c r="AE378" s="185"/>
    </row>
    <row r="379" ht="15.75" customHeight="1">
      <c r="C379" s="184"/>
      <c r="D379" s="184"/>
      <c r="E379" s="184"/>
      <c r="F379" s="184"/>
      <c r="G379" s="184"/>
      <c r="H379" s="184"/>
      <c r="I379" s="184"/>
      <c r="J379" s="184"/>
      <c r="K379" s="184"/>
      <c r="L379" s="184"/>
      <c r="M379" s="184"/>
      <c r="N379" s="184"/>
      <c r="O379" s="184"/>
      <c r="AB379" s="185"/>
      <c r="AC379" s="185"/>
      <c r="AD379" s="185"/>
      <c r="AE379" s="185"/>
    </row>
    <row r="380" ht="15.75" customHeight="1">
      <c r="C380" s="184"/>
      <c r="D380" s="184"/>
      <c r="E380" s="184"/>
      <c r="F380" s="184"/>
      <c r="G380" s="184"/>
      <c r="H380" s="184"/>
      <c r="I380" s="184"/>
      <c r="J380" s="184"/>
      <c r="K380" s="184"/>
      <c r="L380" s="184"/>
      <c r="M380" s="184"/>
      <c r="N380" s="184"/>
      <c r="O380" s="184"/>
      <c r="AB380" s="185"/>
      <c r="AC380" s="185"/>
      <c r="AD380" s="185"/>
      <c r="AE380" s="185"/>
    </row>
    <row r="381" ht="15.75" customHeight="1">
      <c r="C381" s="184"/>
      <c r="D381" s="184"/>
      <c r="E381" s="184"/>
      <c r="F381" s="184"/>
      <c r="G381" s="184"/>
      <c r="H381" s="184"/>
      <c r="I381" s="184"/>
      <c r="J381" s="184"/>
      <c r="K381" s="184"/>
      <c r="L381" s="184"/>
      <c r="M381" s="184"/>
      <c r="N381" s="184"/>
      <c r="O381" s="184"/>
      <c r="AB381" s="185"/>
      <c r="AC381" s="185"/>
      <c r="AD381" s="185"/>
      <c r="AE381" s="185"/>
    </row>
    <row r="382" ht="15.75" customHeight="1">
      <c r="C382" s="184"/>
      <c r="D382" s="184"/>
      <c r="E382" s="184"/>
      <c r="F382" s="184"/>
      <c r="G382" s="184"/>
      <c r="H382" s="184"/>
      <c r="I382" s="184"/>
      <c r="J382" s="184"/>
      <c r="K382" s="184"/>
      <c r="L382" s="184"/>
      <c r="M382" s="184"/>
      <c r="N382" s="184"/>
      <c r="O382" s="184"/>
      <c r="AB382" s="185"/>
      <c r="AC382" s="185"/>
      <c r="AD382" s="185"/>
      <c r="AE382" s="185"/>
    </row>
    <row r="383" ht="15.75" customHeight="1">
      <c r="C383" s="184"/>
      <c r="D383" s="184"/>
      <c r="E383" s="184"/>
      <c r="F383" s="184"/>
      <c r="G383" s="184"/>
      <c r="H383" s="184"/>
      <c r="I383" s="184"/>
      <c r="J383" s="184"/>
      <c r="K383" s="184"/>
      <c r="L383" s="184"/>
      <c r="M383" s="184"/>
      <c r="N383" s="184"/>
      <c r="O383" s="184"/>
      <c r="AB383" s="185"/>
      <c r="AC383" s="185"/>
      <c r="AD383" s="185"/>
      <c r="AE383" s="185"/>
    </row>
    <row r="384" ht="15.75" customHeight="1">
      <c r="C384" s="184"/>
      <c r="D384" s="184"/>
      <c r="E384" s="184"/>
      <c r="F384" s="184"/>
      <c r="G384" s="184"/>
      <c r="H384" s="184"/>
      <c r="I384" s="184"/>
      <c r="J384" s="184"/>
      <c r="K384" s="184"/>
      <c r="L384" s="184"/>
      <c r="M384" s="184"/>
      <c r="N384" s="184"/>
      <c r="O384" s="184"/>
      <c r="AB384" s="185"/>
      <c r="AC384" s="185"/>
      <c r="AD384" s="185"/>
      <c r="AE384" s="185"/>
    </row>
    <row r="385" ht="15.75" customHeight="1">
      <c r="C385" s="184"/>
      <c r="D385" s="184"/>
      <c r="E385" s="184"/>
      <c r="F385" s="184"/>
      <c r="G385" s="184"/>
      <c r="H385" s="184"/>
      <c r="I385" s="184"/>
      <c r="J385" s="184"/>
      <c r="K385" s="184"/>
      <c r="L385" s="184"/>
      <c r="M385" s="184"/>
      <c r="N385" s="184"/>
      <c r="O385" s="184"/>
      <c r="AB385" s="185"/>
      <c r="AC385" s="185"/>
      <c r="AD385" s="185"/>
      <c r="AE385" s="185"/>
    </row>
    <row r="386" ht="15.75" customHeight="1">
      <c r="C386" s="184"/>
      <c r="D386" s="184"/>
      <c r="E386" s="184"/>
      <c r="F386" s="184"/>
      <c r="G386" s="184"/>
      <c r="H386" s="184"/>
      <c r="I386" s="184"/>
      <c r="J386" s="184"/>
      <c r="K386" s="184"/>
      <c r="L386" s="184"/>
      <c r="M386" s="184"/>
      <c r="N386" s="184"/>
      <c r="O386" s="184"/>
      <c r="AB386" s="185"/>
      <c r="AC386" s="185"/>
      <c r="AD386" s="185"/>
      <c r="AE386" s="185"/>
    </row>
    <row r="387" ht="15.75" customHeight="1">
      <c r="C387" s="184"/>
      <c r="D387" s="184"/>
      <c r="E387" s="184"/>
      <c r="F387" s="184"/>
      <c r="G387" s="184"/>
      <c r="H387" s="184"/>
      <c r="I387" s="184"/>
      <c r="J387" s="184"/>
      <c r="K387" s="184"/>
      <c r="L387" s="184"/>
      <c r="M387" s="184"/>
      <c r="N387" s="184"/>
      <c r="O387" s="184"/>
      <c r="AB387" s="185"/>
      <c r="AC387" s="185"/>
      <c r="AD387" s="185"/>
      <c r="AE387" s="185"/>
    </row>
    <row r="388" ht="15.75" customHeight="1">
      <c r="C388" s="184"/>
      <c r="D388" s="184"/>
      <c r="E388" s="184"/>
      <c r="F388" s="184"/>
      <c r="G388" s="184"/>
      <c r="H388" s="184"/>
      <c r="I388" s="184"/>
      <c r="J388" s="184"/>
      <c r="K388" s="184"/>
      <c r="L388" s="184"/>
      <c r="M388" s="184"/>
      <c r="N388" s="184"/>
      <c r="O388" s="184"/>
      <c r="AB388" s="185"/>
      <c r="AC388" s="185"/>
      <c r="AD388" s="185"/>
      <c r="AE388" s="185"/>
    </row>
    <row r="389" ht="15.75" customHeight="1">
      <c r="C389" s="184"/>
      <c r="D389" s="184"/>
      <c r="E389" s="184"/>
      <c r="F389" s="184"/>
      <c r="G389" s="184"/>
      <c r="H389" s="184"/>
      <c r="I389" s="184"/>
      <c r="J389" s="184"/>
      <c r="K389" s="184"/>
      <c r="L389" s="184"/>
      <c r="M389" s="184"/>
      <c r="N389" s="184"/>
      <c r="O389" s="184"/>
      <c r="AB389" s="185"/>
      <c r="AC389" s="185"/>
      <c r="AD389" s="185"/>
      <c r="AE389" s="185"/>
    </row>
    <row r="390" ht="15.75" customHeight="1">
      <c r="C390" s="184"/>
      <c r="D390" s="184"/>
      <c r="E390" s="184"/>
      <c r="F390" s="184"/>
      <c r="G390" s="184"/>
      <c r="H390" s="184"/>
      <c r="I390" s="184"/>
      <c r="J390" s="184"/>
      <c r="K390" s="184"/>
      <c r="L390" s="184"/>
      <c r="M390" s="184"/>
      <c r="N390" s="184"/>
      <c r="O390" s="184"/>
      <c r="AB390" s="185"/>
      <c r="AC390" s="185"/>
      <c r="AD390" s="185"/>
      <c r="AE390" s="185"/>
    </row>
    <row r="391" ht="15.75" customHeight="1">
      <c r="C391" s="184"/>
      <c r="D391" s="184"/>
      <c r="E391" s="184"/>
      <c r="F391" s="184"/>
      <c r="G391" s="184"/>
      <c r="H391" s="184"/>
      <c r="I391" s="184"/>
      <c r="J391" s="184"/>
      <c r="K391" s="184"/>
      <c r="L391" s="184"/>
      <c r="M391" s="184"/>
      <c r="N391" s="184"/>
      <c r="O391" s="184"/>
      <c r="AB391" s="185"/>
      <c r="AC391" s="185"/>
      <c r="AD391" s="185"/>
      <c r="AE391" s="185"/>
    </row>
    <row r="392" ht="15.75" customHeight="1">
      <c r="C392" s="184"/>
      <c r="D392" s="184"/>
      <c r="E392" s="184"/>
      <c r="F392" s="184"/>
      <c r="G392" s="184"/>
      <c r="H392" s="184"/>
      <c r="I392" s="184"/>
      <c r="J392" s="184"/>
      <c r="K392" s="184"/>
      <c r="L392" s="184"/>
      <c r="M392" s="184"/>
      <c r="N392" s="184"/>
      <c r="O392" s="184"/>
      <c r="AB392" s="185"/>
      <c r="AC392" s="185"/>
      <c r="AD392" s="185"/>
      <c r="AE392" s="185"/>
    </row>
    <row r="393" ht="15.75" customHeight="1">
      <c r="C393" s="184"/>
      <c r="D393" s="184"/>
      <c r="E393" s="184"/>
      <c r="F393" s="184"/>
      <c r="G393" s="184"/>
      <c r="H393" s="184"/>
      <c r="I393" s="184"/>
      <c r="J393" s="184"/>
      <c r="K393" s="184"/>
      <c r="L393" s="184"/>
      <c r="M393" s="184"/>
      <c r="N393" s="184"/>
      <c r="O393" s="184"/>
      <c r="AB393" s="185"/>
      <c r="AC393" s="185"/>
      <c r="AD393" s="185"/>
      <c r="AE393" s="185"/>
    </row>
    <row r="394" ht="15.75" customHeight="1">
      <c r="C394" s="184"/>
      <c r="D394" s="184"/>
      <c r="E394" s="184"/>
      <c r="F394" s="184"/>
      <c r="G394" s="184"/>
      <c r="H394" s="184"/>
      <c r="I394" s="184"/>
      <c r="J394" s="184"/>
      <c r="K394" s="184"/>
      <c r="L394" s="184"/>
      <c r="M394" s="184"/>
      <c r="N394" s="184"/>
      <c r="O394" s="184"/>
      <c r="AB394" s="185"/>
      <c r="AC394" s="185"/>
      <c r="AD394" s="185"/>
      <c r="AE394" s="185"/>
    </row>
    <row r="395" ht="15.75" customHeight="1">
      <c r="C395" s="184"/>
      <c r="D395" s="184"/>
      <c r="E395" s="184"/>
      <c r="F395" s="184"/>
      <c r="G395" s="184"/>
      <c r="H395" s="184"/>
      <c r="I395" s="184"/>
      <c r="J395" s="184"/>
      <c r="K395" s="184"/>
      <c r="L395" s="184"/>
      <c r="M395" s="184"/>
      <c r="N395" s="184"/>
      <c r="O395" s="184"/>
      <c r="AB395" s="185"/>
      <c r="AC395" s="185"/>
      <c r="AD395" s="185"/>
      <c r="AE395" s="185"/>
    </row>
    <row r="396" ht="15.75" customHeight="1">
      <c r="C396" s="184"/>
      <c r="D396" s="184"/>
      <c r="E396" s="184"/>
      <c r="F396" s="184"/>
      <c r="G396" s="184"/>
      <c r="H396" s="184"/>
      <c r="I396" s="184"/>
      <c r="J396" s="184"/>
      <c r="K396" s="184"/>
      <c r="L396" s="184"/>
      <c r="M396" s="184"/>
      <c r="N396" s="184"/>
      <c r="O396" s="184"/>
      <c r="AB396" s="185"/>
      <c r="AC396" s="185"/>
      <c r="AD396" s="185"/>
      <c r="AE396" s="185"/>
    </row>
    <row r="397" ht="15.75" customHeight="1">
      <c r="C397" s="184"/>
      <c r="D397" s="184"/>
      <c r="E397" s="184"/>
      <c r="F397" s="184"/>
      <c r="G397" s="184"/>
      <c r="H397" s="184"/>
      <c r="I397" s="184"/>
      <c r="J397" s="184"/>
      <c r="K397" s="184"/>
      <c r="L397" s="184"/>
      <c r="M397" s="184"/>
      <c r="N397" s="184"/>
      <c r="O397" s="184"/>
      <c r="AB397" s="185"/>
      <c r="AC397" s="185"/>
      <c r="AD397" s="185"/>
      <c r="AE397" s="185"/>
    </row>
    <row r="398" ht="15.75" customHeight="1">
      <c r="C398" s="184"/>
      <c r="D398" s="184"/>
      <c r="E398" s="184"/>
      <c r="F398" s="184"/>
      <c r="G398" s="184"/>
      <c r="H398" s="184"/>
      <c r="I398" s="184"/>
      <c r="J398" s="184"/>
      <c r="K398" s="184"/>
      <c r="L398" s="184"/>
      <c r="M398" s="184"/>
      <c r="N398" s="184"/>
      <c r="O398" s="184"/>
      <c r="AB398" s="185"/>
      <c r="AC398" s="185"/>
      <c r="AD398" s="185"/>
      <c r="AE398" s="185"/>
    </row>
    <row r="399" ht="15.75" customHeight="1">
      <c r="C399" s="184"/>
      <c r="D399" s="184"/>
      <c r="E399" s="184"/>
      <c r="F399" s="184"/>
      <c r="G399" s="184"/>
      <c r="H399" s="184"/>
      <c r="I399" s="184"/>
      <c r="J399" s="184"/>
      <c r="K399" s="184"/>
      <c r="L399" s="184"/>
      <c r="M399" s="184"/>
      <c r="N399" s="184"/>
      <c r="O399" s="184"/>
      <c r="AB399" s="185"/>
      <c r="AC399" s="185"/>
      <c r="AD399" s="185"/>
      <c r="AE399" s="185"/>
    </row>
    <row r="400" ht="15.75" customHeight="1">
      <c r="C400" s="184"/>
      <c r="D400" s="184"/>
      <c r="E400" s="184"/>
      <c r="F400" s="184"/>
      <c r="G400" s="184"/>
      <c r="H400" s="184"/>
      <c r="I400" s="184"/>
      <c r="J400" s="184"/>
      <c r="K400" s="184"/>
      <c r="L400" s="184"/>
      <c r="M400" s="184"/>
      <c r="N400" s="184"/>
      <c r="O400" s="184"/>
      <c r="AB400" s="185"/>
      <c r="AC400" s="185"/>
      <c r="AD400" s="185"/>
      <c r="AE400" s="185"/>
    </row>
    <row r="401" ht="15.75" customHeight="1">
      <c r="C401" s="184"/>
      <c r="D401" s="184"/>
      <c r="E401" s="184"/>
      <c r="F401" s="184"/>
      <c r="G401" s="184"/>
      <c r="H401" s="184"/>
      <c r="I401" s="184"/>
      <c r="J401" s="184"/>
      <c r="K401" s="184"/>
      <c r="L401" s="184"/>
      <c r="M401" s="184"/>
      <c r="N401" s="184"/>
      <c r="O401" s="184"/>
      <c r="AB401" s="185"/>
      <c r="AC401" s="185"/>
      <c r="AD401" s="185"/>
      <c r="AE401" s="185"/>
    </row>
    <row r="402" ht="15.75" customHeight="1">
      <c r="C402" s="184"/>
      <c r="D402" s="184"/>
      <c r="E402" s="184"/>
      <c r="F402" s="184"/>
      <c r="G402" s="184"/>
      <c r="H402" s="184"/>
      <c r="I402" s="184"/>
      <c r="J402" s="184"/>
      <c r="K402" s="184"/>
      <c r="L402" s="184"/>
      <c r="M402" s="184"/>
      <c r="N402" s="184"/>
      <c r="O402" s="184"/>
      <c r="AB402" s="185"/>
      <c r="AC402" s="185"/>
      <c r="AD402" s="185"/>
      <c r="AE402" s="185"/>
    </row>
    <row r="403" ht="15.75" customHeight="1">
      <c r="C403" s="184"/>
      <c r="D403" s="184"/>
      <c r="E403" s="184"/>
      <c r="F403" s="184"/>
      <c r="G403" s="184"/>
      <c r="H403" s="184"/>
      <c r="I403" s="184"/>
      <c r="J403" s="184"/>
      <c r="K403" s="184"/>
      <c r="L403" s="184"/>
      <c r="M403" s="184"/>
      <c r="N403" s="184"/>
      <c r="O403" s="184"/>
      <c r="AB403" s="185"/>
      <c r="AC403" s="185"/>
      <c r="AD403" s="185"/>
      <c r="AE403" s="185"/>
    </row>
    <row r="404" ht="15.75" customHeight="1">
      <c r="C404" s="184"/>
      <c r="D404" s="184"/>
      <c r="E404" s="184"/>
      <c r="F404" s="184"/>
      <c r="G404" s="184"/>
      <c r="H404" s="184"/>
      <c r="I404" s="184"/>
      <c r="J404" s="184"/>
      <c r="K404" s="184"/>
      <c r="L404" s="184"/>
      <c r="M404" s="184"/>
      <c r="N404" s="184"/>
      <c r="O404" s="184"/>
      <c r="AB404" s="185"/>
      <c r="AC404" s="185"/>
      <c r="AD404" s="185"/>
      <c r="AE404" s="185"/>
    </row>
    <row r="405" ht="15.75" customHeight="1">
      <c r="C405" s="184"/>
      <c r="D405" s="184"/>
      <c r="E405" s="184"/>
      <c r="F405" s="184"/>
      <c r="G405" s="184"/>
      <c r="H405" s="184"/>
      <c r="I405" s="184"/>
      <c r="J405" s="184"/>
      <c r="K405" s="184"/>
      <c r="L405" s="184"/>
      <c r="M405" s="184"/>
      <c r="N405" s="184"/>
      <c r="O405" s="184"/>
      <c r="AB405" s="185"/>
      <c r="AC405" s="185"/>
      <c r="AD405" s="185"/>
      <c r="AE405" s="185"/>
    </row>
    <row r="406" ht="15.75" customHeight="1">
      <c r="C406" s="184"/>
      <c r="D406" s="184"/>
      <c r="E406" s="184"/>
      <c r="F406" s="184"/>
      <c r="G406" s="184"/>
      <c r="H406" s="184"/>
      <c r="I406" s="184"/>
      <c r="J406" s="184"/>
      <c r="K406" s="184"/>
      <c r="L406" s="184"/>
      <c r="M406" s="184"/>
      <c r="N406" s="184"/>
      <c r="O406" s="184"/>
      <c r="AB406" s="185"/>
      <c r="AC406" s="185"/>
      <c r="AD406" s="185"/>
      <c r="AE406" s="185"/>
    </row>
    <row r="407" ht="15.75" customHeight="1">
      <c r="C407" s="184"/>
      <c r="D407" s="184"/>
      <c r="E407" s="184"/>
      <c r="F407" s="184"/>
      <c r="G407" s="184"/>
      <c r="H407" s="184"/>
      <c r="I407" s="184"/>
      <c r="J407" s="184"/>
      <c r="K407" s="184"/>
      <c r="L407" s="184"/>
      <c r="M407" s="184"/>
      <c r="N407" s="184"/>
      <c r="O407" s="184"/>
      <c r="AB407" s="185"/>
      <c r="AC407" s="185"/>
      <c r="AD407" s="185"/>
      <c r="AE407" s="185"/>
    </row>
    <row r="408" ht="15.75" customHeight="1">
      <c r="C408" s="184"/>
      <c r="D408" s="184"/>
      <c r="E408" s="184"/>
      <c r="F408" s="184"/>
      <c r="G408" s="184"/>
      <c r="H408" s="184"/>
      <c r="I408" s="184"/>
      <c r="J408" s="184"/>
      <c r="K408" s="184"/>
      <c r="L408" s="184"/>
      <c r="M408" s="184"/>
      <c r="N408" s="184"/>
      <c r="O408" s="184"/>
      <c r="AB408" s="185"/>
      <c r="AC408" s="185"/>
      <c r="AD408" s="185"/>
      <c r="AE408" s="185"/>
    </row>
    <row r="409" ht="15.75" customHeight="1">
      <c r="C409" s="184"/>
      <c r="D409" s="184"/>
      <c r="E409" s="184"/>
      <c r="F409" s="184"/>
      <c r="G409" s="184"/>
      <c r="H409" s="184"/>
      <c r="I409" s="184"/>
      <c r="J409" s="184"/>
      <c r="K409" s="184"/>
      <c r="L409" s="184"/>
      <c r="M409" s="184"/>
      <c r="N409" s="184"/>
      <c r="O409" s="184"/>
      <c r="AB409" s="185"/>
      <c r="AC409" s="185"/>
      <c r="AD409" s="185"/>
      <c r="AE409" s="185"/>
    </row>
    <row r="410" ht="15.75" customHeight="1">
      <c r="C410" s="184"/>
      <c r="D410" s="184"/>
      <c r="E410" s="184"/>
      <c r="F410" s="184"/>
      <c r="G410" s="184"/>
      <c r="H410" s="184"/>
      <c r="I410" s="184"/>
      <c r="J410" s="184"/>
      <c r="K410" s="184"/>
      <c r="L410" s="184"/>
      <c r="M410" s="184"/>
      <c r="N410" s="184"/>
      <c r="O410" s="184"/>
      <c r="AB410" s="185"/>
      <c r="AC410" s="185"/>
      <c r="AD410" s="185"/>
      <c r="AE410" s="185"/>
    </row>
    <row r="411" ht="15.75" customHeight="1">
      <c r="C411" s="184"/>
      <c r="D411" s="184"/>
      <c r="E411" s="184"/>
      <c r="F411" s="184"/>
      <c r="G411" s="184"/>
      <c r="H411" s="184"/>
      <c r="I411" s="184"/>
      <c r="J411" s="184"/>
      <c r="K411" s="184"/>
      <c r="L411" s="184"/>
      <c r="M411" s="184"/>
      <c r="N411" s="184"/>
      <c r="O411" s="184"/>
      <c r="AB411" s="185"/>
      <c r="AC411" s="185"/>
      <c r="AD411" s="185"/>
      <c r="AE411" s="185"/>
    </row>
    <row r="412" ht="15.75" customHeight="1">
      <c r="C412" s="184"/>
      <c r="D412" s="184"/>
      <c r="E412" s="184"/>
      <c r="F412" s="184"/>
      <c r="G412" s="184"/>
      <c r="H412" s="184"/>
      <c r="I412" s="184"/>
      <c r="J412" s="184"/>
      <c r="K412" s="184"/>
      <c r="L412" s="184"/>
      <c r="M412" s="184"/>
      <c r="N412" s="184"/>
      <c r="O412" s="184"/>
      <c r="AB412" s="185"/>
      <c r="AC412" s="185"/>
      <c r="AD412" s="185"/>
      <c r="AE412" s="185"/>
    </row>
    <row r="413" ht="15.75" customHeight="1">
      <c r="C413" s="184"/>
      <c r="D413" s="184"/>
      <c r="E413" s="184"/>
      <c r="F413" s="184"/>
      <c r="G413" s="184"/>
      <c r="H413" s="184"/>
      <c r="I413" s="184"/>
      <c r="J413" s="184"/>
      <c r="K413" s="184"/>
      <c r="L413" s="184"/>
      <c r="M413" s="184"/>
      <c r="N413" s="184"/>
      <c r="O413" s="184"/>
      <c r="AB413" s="185"/>
      <c r="AC413" s="185"/>
      <c r="AD413" s="185"/>
      <c r="AE413" s="185"/>
    </row>
    <row r="414" ht="15.75" customHeight="1">
      <c r="C414" s="184"/>
      <c r="D414" s="184"/>
      <c r="E414" s="184"/>
      <c r="F414" s="184"/>
      <c r="G414" s="184"/>
      <c r="H414" s="184"/>
      <c r="I414" s="184"/>
      <c r="J414" s="184"/>
      <c r="K414" s="184"/>
      <c r="L414" s="184"/>
      <c r="M414" s="184"/>
      <c r="N414" s="184"/>
      <c r="O414" s="184"/>
      <c r="AB414" s="185"/>
      <c r="AC414" s="185"/>
      <c r="AD414" s="185"/>
      <c r="AE414" s="185"/>
    </row>
    <row r="415" ht="15.75" customHeight="1">
      <c r="C415" s="184"/>
      <c r="D415" s="184"/>
      <c r="E415" s="184"/>
      <c r="F415" s="184"/>
      <c r="G415" s="184"/>
      <c r="H415" s="184"/>
      <c r="I415" s="184"/>
      <c r="J415" s="184"/>
      <c r="K415" s="184"/>
      <c r="L415" s="184"/>
      <c r="M415" s="184"/>
      <c r="N415" s="184"/>
      <c r="O415" s="184"/>
      <c r="AB415" s="185"/>
      <c r="AC415" s="185"/>
      <c r="AD415" s="185"/>
      <c r="AE415" s="185"/>
    </row>
    <row r="416" ht="15.75" customHeight="1">
      <c r="C416" s="184"/>
      <c r="D416" s="184"/>
      <c r="E416" s="184"/>
      <c r="F416" s="184"/>
      <c r="G416" s="184"/>
      <c r="H416" s="184"/>
      <c r="I416" s="184"/>
      <c r="J416" s="184"/>
      <c r="K416" s="184"/>
      <c r="L416" s="184"/>
      <c r="M416" s="184"/>
      <c r="N416" s="184"/>
      <c r="O416" s="184"/>
      <c r="AB416" s="185"/>
      <c r="AC416" s="185"/>
      <c r="AD416" s="185"/>
      <c r="AE416" s="185"/>
    </row>
    <row r="417" ht="15.75" customHeight="1">
      <c r="C417" s="184"/>
      <c r="D417" s="184"/>
      <c r="E417" s="184"/>
      <c r="F417" s="184"/>
      <c r="G417" s="184"/>
      <c r="H417" s="184"/>
      <c r="I417" s="184"/>
      <c r="J417" s="184"/>
      <c r="K417" s="184"/>
      <c r="L417" s="184"/>
      <c r="M417" s="184"/>
      <c r="N417" s="184"/>
      <c r="O417" s="184"/>
      <c r="AB417" s="185"/>
      <c r="AC417" s="185"/>
      <c r="AD417" s="185"/>
      <c r="AE417" s="185"/>
    </row>
    <row r="418" ht="15.75" customHeight="1">
      <c r="C418" s="184"/>
      <c r="D418" s="184"/>
      <c r="E418" s="184"/>
      <c r="F418" s="184"/>
      <c r="G418" s="184"/>
      <c r="H418" s="184"/>
      <c r="I418" s="184"/>
      <c r="J418" s="184"/>
      <c r="K418" s="184"/>
      <c r="L418" s="184"/>
      <c r="M418" s="184"/>
      <c r="N418" s="184"/>
      <c r="O418" s="184"/>
      <c r="AB418" s="185"/>
      <c r="AC418" s="185"/>
      <c r="AD418" s="185"/>
      <c r="AE418" s="185"/>
    </row>
    <row r="419" ht="15.75" customHeight="1">
      <c r="C419" s="184"/>
      <c r="D419" s="184"/>
      <c r="E419" s="184"/>
      <c r="F419" s="184"/>
      <c r="G419" s="184"/>
      <c r="H419" s="184"/>
      <c r="I419" s="184"/>
      <c r="J419" s="184"/>
      <c r="K419" s="184"/>
      <c r="L419" s="184"/>
      <c r="M419" s="184"/>
      <c r="N419" s="184"/>
      <c r="O419" s="184"/>
      <c r="AB419" s="185"/>
      <c r="AC419" s="185"/>
      <c r="AD419" s="185"/>
      <c r="AE419" s="185"/>
    </row>
    <row r="420" ht="15.75" customHeight="1">
      <c r="C420" s="184"/>
      <c r="D420" s="184"/>
      <c r="E420" s="184"/>
      <c r="F420" s="184"/>
      <c r="G420" s="184"/>
      <c r="H420" s="184"/>
      <c r="I420" s="184"/>
      <c r="J420" s="184"/>
      <c r="K420" s="184"/>
      <c r="L420" s="184"/>
      <c r="M420" s="184"/>
      <c r="N420" s="184"/>
      <c r="O420" s="184"/>
      <c r="AB420" s="185"/>
      <c r="AC420" s="185"/>
      <c r="AD420" s="185"/>
      <c r="AE420" s="185"/>
    </row>
    <row r="421" ht="15.75" customHeight="1">
      <c r="C421" s="184"/>
      <c r="D421" s="184"/>
      <c r="E421" s="184"/>
      <c r="F421" s="184"/>
      <c r="G421" s="184"/>
      <c r="H421" s="184"/>
      <c r="I421" s="184"/>
      <c r="J421" s="184"/>
      <c r="K421" s="184"/>
      <c r="L421" s="184"/>
      <c r="M421" s="184"/>
      <c r="N421" s="184"/>
      <c r="O421" s="184"/>
      <c r="AB421" s="185"/>
      <c r="AC421" s="185"/>
      <c r="AD421" s="185"/>
      <c r="AE421" s="185"/>
    </row>
    <row r="422" ht="15.75" customHeight="1">
      <c r="C422" s="184"/>
      <c r="D422" s="184"/>
      <c r="E422" s="184"/>
      <c r="F422" s="184"/>
      <c r="G422" s="184"/>
      <c r="H422" s="184"/>
      <c r="I422" s="184"/>
      <c r="J422" s="184"/>
      <c r="K422" s="184"/>
      <c r="L422" s="184"/>
      <c r="M422" s="184"/>
      <c r="N422" s="184"/>
      <c r="O422" s="184"/>
      <c r="AB422" s="185"/>
      <c r="AC422" s="185"/>
      <c r="AD422" s="185"/>
      <c r="AE422" s="185"/>
    </row>
    <row r="423" ht="15.75" customHeight="1">
      <c r="C423" s="184"/>
      <c r="D423" s="184"/>
      <c r="E423" s="184"/>
      <c r="F423" s="184"/>
      <c r="G423" s="184"/>
      <c r="H423" s="184"/>
      <c r="I423" s="184"/>
      <c r="J423" s="184"/>
      <c r="K423" s="184"/>
      <c r="L423" s="184"/>
      <c r="M423" s="184"/>
      <c r="N423" s="184"/>
      <c r="O423" s="184"/>
      <c r="AB423" s="185"/>
      <c r="AC423" s="185"/>
      <c r="AD423" s="185"/>
      <c r="AE423" s="185"/>
    </row>
    <row r="424" ht="15.75" customHeight="1">
      <c r="C424" s="184"/>
      <c r="D424" s="184"/>
      <c r="E424" s="184"/>
      <c r="F424" s="184"/>
      <c r="G424" s="184"/>
      <c r="H424" s="184"/>
      <c r="I424" s="184"/>
      <c r="J424" s="184"/>
      <c r="K424" s="184"/>
      <c r="L424" s="184"/>
      <c r="M424" s="184"/>
      <c r="N424" s="184"/>
      <c r="O424" s="184"/>
      <c r="AB424" s="185"/>
      <c r="AC424" s="185"/>
      <c r="AD424" s="185"/>
      <c r="AE424" s="185"/>
    </row>
    <row r="425" ht="15.75" customHeight="1">
      <c r="C425" s="184"/>
      <c r="D425" s="184"/>
      <c r="E425" s="184"/>
      <c r="F425" s="184"/>
      <c r="G425" s="184"/>
      <c r="H425" s="184"/>
      <c r="I425" s="184"/>
      <c r="J425" s="184"/>
      <c r="K425" s="184"/>
      <c r="L425" s="184"/>
      <c r="M425" s="184"/>
      <c r="N425" s="184"/>
      <c r="O425" s="184"/>
      <c r="AB425" s="185"/>
      <c r="AC425" s="185"/>
      <c r="AD425" s="185"/>
      <c r="AE425" s="185"/>
    </row>
    <row r="426" ht="15.75" customHeight="1">
      <c r="C426" s="184"/>
      <c r="D426" s="184"/>
      <c r="E426" s="184"/>
      <c r="F426" s="184"/>
      <c r="G426" s="184"/>
      <c r="H426" s="184"/>
      <c r="I426" s="184"/>
      <c r="J426" s="184"/>
      <c r="K426" s="184"/>
      <c r="L426" s="184"/>
      <c r="M426" s="184"/>
      <c r="N426" s="184"/>
      <c r="O426" s="184"/>
      <c r="AB426" s="185"/>
      <c r="AC426" s="185"/>
      <c r="AD426" s="185"/>
      <c r="AE426" s="185"/>
    </row>
    <row r="427" ht="15.75" customHeight="1">
      <c r="C427" s="184"/>
      <c r="D427" s="184"/>
      <c r="E427" s="184"/>
      <c r="F427" s="184"/>
      <c r="G427" s="184"/>
      <c r="H427" s="184"/>
      <c r="I427" s="184"/>
      <c r="J427" s="184"/>
      <c r="K427" s="184"/>
      <c r="L427" s="184"/>
      <c r="M427" s="184"/>
      <c r="N427" s="184"/>
      <c r="O427" s="184"/>
      <c r="AB427" s="185"/>
      <c r="AC427" s="185"/>
      <c r="AD427" s="185"/>
      <c r="AE427" s="185"/>
    </row>
    <row r="428" ht="15.75" customHeight="1">
      <c r="C428" s="184"/>
      <c r="D428" s="184"/>
      <c r="E428" s="184"/>
      <c r="F428" s="184"/>
      <c r="G428" s="184"/>
      <c r="H428" s="184"/>
      <c r="I428" s="184"/>
      <c r="J428" s="184"/>
      <c r="K428" s="184"/>
      <c r="L428" s="184"/>
      <c r="M428" s="184"/>
      <c r="N428" s="184"/>
      <c r="O428" s="184"/>
      <c r="AB428" s="185"/>
      <c r="AC428" s="185"/>
      <c r="AD428" s="185"/>
      <c r="AE428" s="185"/>
    </row>
    <row r="429" ht="15.75" customHeight="1">
      <c r="C429" s="184"/>
      <c r="D429" s="184"/>
      <c r="E429" s="184"/>
      <c r="F429" s="184"/>
      <c r="G429" s="184"/>
      <c r="H429" s="184"/>
      <c r="I429" s="184"/>
      <c r="J429" s="184"/>
      <c r="K429" s="184"/>
      <c r="L429" s="184"/>
      <c r="M429" s="184"/>
      <c r="N429" s="184"/>
      <c r="O429" s="184"/>
      <c r="AB429" s="185"/>
      <c r="AC429" s="185"/>
      <c r="AD429" s="185"/>
      <c r="AE429" s="185"/>
    </row>
    <row r="430" ht="15.75" customHeight="1">
      <c r="C430" s="184"/>
      <c r="D430" s="184"/>
      <c r="E430" s="184"/>
      <c r="F430" s="184"/>
      <c r="G430" s="184"/>
      <c r="H430" s="184"/>
      <c r="I430" s="184"/>
      <c r="J430" s="184"/>
      <c r="K430" s="184"/>
      <c r="L430" s="184"/>
      <c r="M430" s="184"/>
      <c r="N430" s="184"/>
      <c r="O430" s="184"/>
      <c r="AB430" s="185"/>
      <c r="AC430" s="185"/>
      <c r="AD430" s="185"/>
      <c r="AE430" s="185"/>
    </row>
    <row r="431" ht="15.75" customHeight="1">
      <c r="C431" s="184"/>
      <c r="D431" s="184"/>
      <c r="E431" s="184"/>
      <c r="F431" s="184"/>
      <c r="G431" s="184"/>
      <c r="H431" s="184"/>
      <c r="I431" s="184"/>
      <c r="J431" s="184"/>
      <c r="K431" s="184"/>
      <c r="L431" s="184"/>
      <c r="M431" s="184"/>
      <c r="N431" s="184"/>
      <c r="O431" s="184"/>
      <c r="AB431" s="185"/>
      <c r="AC431" s="185"/>
      <c r="AD431" s="185"/>
      <c r="AE431" s="185"/>
    </row>
    <row r="432" ht="15.75" customHeight="1">
      <c r="C432" s="184"/>
      <c r="D432" s="184"/>
      <c r="E432" s="184"/>
      <c r="F432" s="184"/>
      <c r="G432" s="184"/>
      <c r="H432" s="184"/>
      <c r="I432" s="184"/>
      <c r="J432" s="184"/>
      <c r="K432" s="184"/>
      <c r="L432" s="184"/>
      <c r="M432" s="184"/>
      <c r="N432" s="184"/>
      <c r="O432" s="184"/>
      <c r="AB432" s="185"/>
      <c r="AC432" s="185"/>
      <c r="AD432" s="185"/>
      <c r="AE432" s="185"/>
    </row>
    <row r="433" ht="15.75" customHeight="1">
      <c r="C433" s="184"/>
      <c r="D433" s="184"/>
      <c r="E433" s="184"/>
      <c r="F433" s="184"/>
      <c r="G433" s="184"/>
      <c r="H433" s="184"/>
      <c r="I433" s="184"/>
      <c r="J433" s="184"/>
      <c r="K433" s="184"/>
      <c r="L433" s="184"/>
      <c r="M433" s="184"/>
      <c r="N433" s="184"/>
      <c r="O433" s="184"/>
      <c r="AB433" s="185"/>
      <c r="AC433" s="185"/>
      <c r="AD433" s="185"/>
      <c r="AE433" s="185"/>
    </row>
    <row r="434" ht="15.75" customHeight="1">
      <c r="C434" s="184"/>
      <c r="D434" s="184"/>
      <c r="E434" s="184"/>
      <c r="F434" s="184"/>
      <c r="G434" s="184"/>
      <c r="H434" s="184"/>
      <c r="I434" s="184"/>
      <c r="J434" s="184"/>
      <c r="K434" s="184"/>
      <c r="L434" s="184"/>
      <c r="M434" s="184"/>
      <c r="N434" s="184"/>
      <c r="O434" s="184"/>
      <c r="AB434" s="185"/>
      <c r="AC434" s="185"/>
      <c r="AD434" s="185"/>
      <c r="AE434" s="185"/>
    </row>
    <row r="435" ht="15.75" customHeight="1">
      <c r="C435" s="184"/>
      <c r="D435" s="184"/>
      <c r="E435" s="184"/>
      <c r="F435" s="184"/>
      <c r="G435" s="184"/>
      <c r="H435" s="184"/>
      <c r="I435" s="184"/>
      <c r="J435" s="184"/>
      <c r="K435" s="184"/>
      <c r="L435" s="184"/>
      <c r="M435" s="184"/>
      <c r="N435" s="184"/>
      <c r="O435" s="184"/>
      <c r="AB435" s="185"/>
      <c r="AC435" s="185"/>
      <c r="AD435" s="185"/>
      <c r="AE435" s="185"/>
    </row>
    <row r="436" ht="15.75" customHeight="1">
      <c r="C436" s="184"/>
      <c r="D436" s="184"/>
      <c r="E436" s="184"/>
      <c r="F436" s="184"/>
      <c r="G436" s="184"/>
      <c r="H436" s="184"/>
      <c r="I436" s="184"/>
      <c r="J436" s="184"/>
      <c r="K436" s="184"/>
      <c r="L436" s="184"/>
      <c r="M436" s="184"/>
      <c r="N436" s="184"/>
      <c r="O436" s="184"/>
      <c r="AB436" s="185"/>
      <c r="AC436" s="185"/>
      <c r="AD436" s="185"/>
      <c r="AE436" s="185"/>
    </row>
    <row r="437" ht="15.75" customHeight="1">
      <c r="C437" s="184"/>
      <c r="D437" s="184"/>
      <c r="E437" s="184"/>
      <c r="F437" s="184"/>
      <c r="G437" s="184"/>
      <c r="H437" s="184"/>
      <c r="I437" s="184"/>
      <c r="J437" s="184"/>
      <c r="K437" s="184"/>
      <c r="L437" s="184"/>
      <c r="M437" s="184"/>
      <c r="N437" s="184"/>
      <c r="O437" s="184"/>
      <c r="AB437" s="185"/>
      <c r="AC437" s="185"/>
      <c r="AD437" s="185"/>
      <c r="AE437" s="185"/>
    </row>
    <row r="438" ht="15.75" customHeight="1">
      <c r="C438" s="184"/>
      <c r="D438" s="184"/>
      <c r="E438" s="184"/>
      <c r="F438" s="184"/>
      <c r="G438" s="184"/>
      <c r="H438" s="184"/>
      <c r="I438" s="184"/>
      <c r="J438" s="184"/>
      <c r="K438" s="184"/>
      <c r="L438" s="184"/>
      <c r="M438" s="184"/>
      <c r="N438" s="184"/>
      <c r="O438" s="184"/>
      <c r="AB438" s="185"/>
      <c r="AC438" s="185"/>
      <c r="AD438" s="185"/>
      <c r="AE438" s="185"/>
    </row>
    <row r="439" ht="15.75" customHeight="1">
      <c r="C439" s="184"/>
      <c r="D439" s="184"/>
      <c r="E439" s="184"/>
      <c r="F439" s="184"/>
      <c r="G439" s="184"/>
      <c r="H439" s="184"/>
      <c r="I439" s="184"/>
      <c r="J439" s="184"/>
      <c r="K439" s="184"/>
      <c r="L439" s="184"/>
      <c r="M439" s="184"/>
      <c r="N439" s="184"/>
      <c r="O439" s="184"/>
      <c r="AB439" s="185"/>
      <c r="AC439" s="185"/>
      <c r="AD439" s="185"/>
      <c r="AE439" s="185"/>
    </row>
    <row r="440" ht="15.75" customHeight="1">
      <c r="C440" s="184"/>
      <c r="D440" s="184"/>
      <c r="E440" s="184"/>
      <c r="F440" s="184"/>
      <c r="G440" s="184"/>
      <c r="H440" s="184"/>
      <c r="I440" s="184"/>
      <c r="J440" s="184"/>
      <c r="K440" s="184"/>
      <c r="L440" s="184"/>
      <c r="M440" s="184"/>
      <c r="N440" s="184"/>
      <c r="O440" s="184"/>
      <c r="AB440" s="185"/>
      <c r="AC440" s="185"/>
      <c r="AD440" s="185"/>
      <c r="AE440" s="185"/>
    </row>
    <row r="441" ht="15.75" customHeight="1">
      <c r="C441" s="184"/>
      <c r="D441" s="184"/>
      <c r="E441" s="184"/>
      <c r="F441" s="184"/>
      <c r="G441" s="184"/>
      <c r="H441" s="184"/>
      <c r="I441" s="184"/>
      <c r="J441" s="184"/>
      <c r="K441" s="184"/>
      <c r="L441" s="184"/>
      <c r="M441" s="184"/>
      <c r="N441" s="184"/>
      <c r="O441" s="184"/>
      <c r="AB441" s="185"/>
      <c r="AC441" s="185"/>
      <c r="AD441" s="185"/>
      <c r="AE441" s="185"/>
    </row>
    <row r="442" ht="15.75" customHeight="1">
      <c r="C442" s="184"/>
      <c r="D442" s="184"/>
      <c r="E442" s="184"/>
      <c r="F442" s="184"/>
      <c r="G442" s="184"/>
      <c r="H442" s="184"/>
      <c r="I442" s="184"/>
      <c r="J442" s="184"/>
      <c r="K442" s="184"/>
      <c r="L442" s="184"/>
      <c r="M442" s="184"/>
      <c r="N442" s="184"/>
      <c r="O442" s="184"/>
      <c r="AB442" s="185"/>
      <c r="AC442" s="185"/>
      <c r="AD442" s="185"/>
      <c r="AE442" s="185"/>
    </row>
    <row r="443" ht="15.75" customHeight="1">
      <c r="C443" s="184"/>
      <c r="D443" s="184"/>
      <c r="E443" s="184"/>
      <c r="F443" s="184"/>
      <c r="G443" s="184"/>
      <c r="H443" s="184"/>
      <c r="I443" s="184"/>
      <c r="J443" s="184"/>
      <c r="K443" s="184"/>
      <c r="L443" s="184"/>
      <c r="M443" s="184"/>
      <c r="N443" s="184"/>
      <c r="O443" s="184"/>
      <c r="AB443" s="185"/>
      <c r="AC443" s="185"/>
      <c r="AD443" s="185"/>
      <c r="AE443" s="185"/>
    </row>
    <row r="444" ht="15.75" customHeight="1">
      <c r="C444" s="184"/>
      <c r="D444" s="184"/>
      <c r="E444" s="184"/>
      <c r="F444" s="184"/>
      <c r="G444" s="184"/>
      <c r="H444" s="184"/>
      <c r="I444" s="184"/>
      <c r="J444" s="184"/>
      <c r="K444" s="184"/>
      <c r="L444" s="184"/>
      <c r="M444" s="184"/>
      <c r="N444" s="184"/>
      <c r="O444" s="184"/>
      <c r="AB444" s="185"/>
      <c r="AC444" s="185"/>
      <c r="AD444" s="185"/>
      <c r="AE444" s="185"/>
    </row>
    <row r="445" ht="15.75" customHeight="1">
      <c r="C445" s="184"/>
      <c r="D445" s="184"/>
      <c r="E445" s="184"/>
      <c r="F445" s="184"/>
      <c r="G445" s="184"/>
      <c r="H445" s="184"/>
      <c r="I445" s="184"/>
      <c r="J445" s="184"/>
      <c r="K445" s="184"/>
      <c r="L445" s="184"/>
      <c r="M445" s="184"/>
      <c r="N445" s="184"/>
      <c r="O445" s="184"/>
      <c r="AB445" s="185"/>
      <c r="AC445" s="185"/>
      <c r="AD445" s="185"/>
      <c r="AE445" s="185"/>
    </row>
    <row r="446" ht="15.75" customHeight="1">
      <c r="C446" s="184"/>
      <c r="D446" s="184"/>
      <c r="E446" s="184"/>
      <c r="F446" s="184"/>
      <c r="G446" s="184"/>
      <c r="H446" s="184"/>
      <c r="I446" s="184"/>
      <c r="J446" s="184"/>
      <c r="K446" s="184"/>
      <c r="L446" s="184"/>
      <c r="M446" s="184"/>
      <c r="N446" s="184"/>
      <c r="O446" s="184"/>
      <c r="AB446" s="185"/>
      <c r="AC446" s="185"/>
      <c r="AD446" s="185"/>
      <c r="AE446" s="185"/>
    </row>
    <row r="447" ht="15.75" customHeight="1">
      <c r="C447" s="184"/>
      <c r="D447" s="184"/>
      <c r="E447" s="184"/>
      <c r="F447" s="184"/>
      <c r="G447" s="184"/>
      <c r="H447" s="184"/>
      <c r="I447" s="184"/>
      <c r="J447" s="184"/>
      <c r="K447" s="184"/>
      <c r="L447" s="184"/>
      <c r="M447" s="184"/>
      <c r="N447" s="184"/>
      <c r="O447" s="184"/>
      <c r="AB447" s="185"/>
      <c r="AC447" s="185"/>
      <c r="AD447" s="185"/>
      <c r="AE447" s="185"/>
    </row>
    <row r="448" ht="15.75" customHeight="1">
      <c r="C448" s="184"/>
      <c r="D448" s="184"/>
      <c r="E448" s="184"/>
      <c r="F448" s="184"/>
      <c r="G448" s="184"/>
      <c r="H448" s="184"/>
      <c r="I448" s="184"/>
      <c r="J448" s="184"/>
      <c r="K448" s="184"/>
      <c r="L448" s="184"/>
      <c r="M448" s="184"/>
      <c r="N448" s="184"/>
      <c r="O448" s="184"/>
      <c r="AB448" s="185"/>
      <c r="AC448" s="185"/>
      <c r="AD448" s="185"/>
      <c r="AE448" s="185"/>
    </row>
    <row r="449" ht="15.75" customHeight="1">
      <c r="C449" s="184"/>
      <c r="D449" s="184"/>
      <c r="E449" s="184"/>
      <c r="F449" s="184"/>
      <c r="G449" s="184"/>
      <c r="H449" s="184"/>
      <c r="I449" s="184"/>
      <c r="J449" s="184"/>
      <c r="K449" s="184"/>
      <c r="L449" s="184"/>
      <c r="M449" s="184"/>
      <c r="N449" s="184"/>
      <c r="O449" s="184"/>
      <c r="AB449" s="185"/>
      <c r="AC449" s="185"/>
      <c r="AD449" s="185"/>
      <c r="AE449" s="185"/>
    </row>
    <row r="450" ht="15.75" customHeight="1">
      <c r="C450" s="184"/>
      <c r="D450" s="184"/>
      <c r="E450" s="184"/>
      <c r="F450" s="184"/>
      <c r="G450" s="184"/>
      <c r="H450" s="184"/>
      <c r="I450" s="184"/>
      <c r="J450" s="184"/>
      <c r="K450" s="184"/>
      <c r="L450" s="184"/>
      <c r="M450" s="184"/>
      <c r="N450" s="184"/>
      <c r="O450" s="184"/>
      <c r="AB450" s="185"/>
      <c r="AC450" s="185"/>
      <c r="AD450" s="185"/>
      <c r="AE450" s="185"/>
    </row>
    <row r="451" ht="15.75" customHeight="1">
      <c r="C451" s="184"/>
      <c r="D451" s="184"/>
      <c r="E451" s="184"/>
      <c r="F451" s="184"/>
      <c r="G451" s="184"/>
      <c r="H451" s="184"/>
      <c r="I451" s="184"/>
      <c r="J451" s="184"/>
      <c r="K451" s="184"/>
      <c r="L451" s="184"/>
      <c r="M451" s="184"/>
      <c r="N451" s="184"/>
      <c r="O451" s="184"/>
      <c r="AB451" s="185"/>
      <c r="AC451" s="185"/>
      <c r="AD451" s="185"/>
      <c r="AE451" s="185"/>
    </row>
    <row r="452" ht="15.75" customHeight="1">
      <c r="C452" s="184"/>
      <c r="D452" s="184"/>
      <c r="E452" s="184"/>
      <c r="F452" s="184"/>
      <c r="G452" s="184"/>
      <c r="H452" s="184"/>
      <c r="I452" s="184"/>
      <c r="J452" s="184"/>
      <c r="K452" s="184"/>
      <c r="L452" s="184"/>
      <c r="M452" s="184"/>
      <c r="N452" s="184"/>
      <c r="O452" s="184"/>
      <c r="AB452" s="185"/>
      <c r="AC452" s="185"/>
      <c r="AD452" s="185"/>
      <c r="AE452" s="185"/>
    </row>
    <row r="453" ht="15.75" customHeight="1">
      <c r="C453" s="184"/>
      <c r="D453" s="184"/>
      <c r="E453" s="184"/>
      <c r="F453" s="184"/>
      <c r="G453" s="184"/>
      <c r="H453" s="184"/>
      <c r="I453" s="184"/>
      <c r="J453" s="184"/>
      <c r="K453" s="184"/>
      <c r="L453" s="184"/>
      <c r="M453" s="184"/>
      <c r="N453" s="184"/>
      <c r="O453" s="184"/>
      <c r="AB453" s="185"/>
      <c r="AC453" s="185"/>
      <c r="AD453" s="185"/>
      <c r="AE453" s="185"/>
    </row>
    <row r="454" ht="15.75" customHeight="1">
      <c r="C454" s="184"/>
      <c r="D454" s="184"/>
      <c r="E454" s="184"/>
      <c r="F454" s="184"/>
      <c r="G454" s="184"/>
      <c r="H454" s="184"/>
      <c r="I454" s="184"/>
      <c r="J454" s="184"/>
      <c r="K454" s="184"/>
      <c r="L454" s="184"/>
      <c r="M454" s="184"/>
      <c r="N454" s="184"/>
      <c r="O454" s="184"/>
      <c r="AB454" s="185"/>
      <c r="AC454" s="185"/>
      <c r="AD454" s="185"/>
      <c r="AE454" s="185"/>
    </row>
    <row r="455" ht="15.75" customHeight="1">
      <c r="C455" s="184"/>
      <c r="D455" s="184"/>
      <c r="E455" s="184"/>
      <c r="F455" s="184"/>
      <c r="G455" s="184"/>
      <c r="H455" s="184"/>
      <c r="I455" s="184"/>
      <c r="J455" s="184"/>
      <c r="K455" s="184"/>
      <c r="L455" s="184"/>
      <c r="M455" s="184"/>
      <c r="N455" s="184"/>
      <c r="O455" s="184"/>
      <c r="AB455" s="185"/>
      <c r="AC455" s="185"/>
      <c r="AD455" s="185"/>
      <c r="AE455" s="185"/>
    </row>
    <row r="456" ht="15.75" customHeight="1">
      <c r="C456" s="184"/>
      <c r="D456" s="184"/>
      <c r="E456" s="184"/>
      <c r="F456" s="184"/>
      <c r="G456" s="184"/>
      <c r="H456" s="184"/>
      <c r="I456" s="184"/>
      <c r="J456" s="184"/>
      <c r="K456" s="184"/>
      <c r="L456" s="184"/>
      <c r="M456" s="184"/>
      <c r="N456" s="184"/>
      <c r="O456" s="184"/>
      <c r="AB456" s="185"/>
      <c r="AC456" s="185"/>
      <c r="AD456" s="185"/>
      <c r="AE456" s="185"/>
    </row>
    <row r="457" ht="15.75" customHeight="1">
      <c r="C457" s="184"/>
      <c r="D457" s="184"/>
      <c r="E457" s="184"/>
      <c r="F457" s="184"/>
      <c r="G457" s="184"/>
      <c r="H457" s="184"/>
      <c r="I457" s="184"/>
      <c r="J457" s="184"/>
      <c r="K457" s="184"/>
      <c r="L457" s="184"/>
      <c r="M457" s="184"/>
      <c r="N457" s="184"/>
      <c r="O457" s="184"/>
      <c r="AB457" s="185"/>
      <c r="AC457" s="185"/>
      <c r="AD457" s="185"/>
      <c r="AE457" s="185"/>
    </row>
    <row r="458" ht="15.75" customHeight="1">
      <c r="C458" s="184"/>
      <c r="D458" s="184"/>
      <c r="E458" s="184"/>
      <c r="F458" s="184"/>
      <c r="G458" s="184"/>
      <c r="H458" s="184"/>
      <c r="I458" s="184"/>
      <c r="J458" s="184"/>
      <c r="K458" s="184"/>
      <c r="L458" s="184"/>
      <c r="M458" s="184"/>
      <c r="N458" s="184"/>
      <c r="O458" s="184"/>
      <c r="AB458" s="185"/>
      <c r="AC458" s="185"/>
      <c r="AD458" s="185"/>
      <c r="AE458" s="185"/>
    </row>
    <row r="459" ht="15.75" customHeight="1">
      <c r="C459" s="184"/>
      <c r="D459" s="184"/>
      <c r="E459" s="184"/>
      <c r="F459" s="184"/>
      <c r="G459" s="184"/>
      <c r="H459" s="184"/>
      <c r="I459" s="184"/>
      <c r="J459" s="184"/>
      <c r="K459" s="184"/>
      <c r="L459" s="184"/>
      <c r="M459" s="184"/>
      <c r="N459" s="184"/>
      <c r="O459" s="184"/>
      <c r="AB459" s="185"/>
      <c r="AC459" s="185"/>
      <c r="AD459" s="185"/>
      <c r="AE459" s="185"/>
    </row>
    <row r="460" ht="15.75" customHeight="1">
      <c r="C460" s="184"/>
      <c r="D460" s="184"/>
      <c r="E460" s="184"/>
      <c r="F460" s="184"/>
      <c r="G460" s="184"/>
      <c r="H460" s="184"/>
      <c r="I460" s="184"/>
      <c r="J460" s="184"/>
      <c r="K460" s="184"/>
      <c r="L460" s="184"/>
      <c r="M460" s="184"/>
      <c r="N460" s="184"/>
      <c r="O460" s="184"/>
      <c r="AB460" s="185"/>
      <c r="AC460" s="185"/>
      <c r="AD460" s="185"/>
      <c r="AE460" s="185"/>
    </row>
    <row r="461" ht="15.75" customHeight="1">
      <c r="C461" s="184"/>
      <c r="D461" s="184"/>
      <c r="E461" s="184"/>
      <c r="F461" s="184"/>
      <c r="G461" s="184"/>
      <c r="H461" s="184"/>
      <c r="I461" s="184"/>
      <c r="J461" s="184"/>
      <c r="K461" s="184"/>
      <c r="L461" s="184"/>
      <c r="M461" s="184"/>
      <c r="N461" s="184"/>
      <c r="O461" s="184"/>
      <c r="AB461" s="185"/>
      <c r="AC461" s="185"/>
      <c r="AD461" s="185"/>
      <c r="AE461" s="185"/>
    </row>
    <row r="462" ht="15.75" customHeight="1">
      <c r="C462" s="184"/>
      <c r="D462" s="184"/>
      <c r="E462" s="184"/>
      <c r="F462" s="184"/>
      <c r="G462" s="184"/>
      <c r="H462" s="184"/>
      <c r="I462" s="184"/>
      <c r="J462" s="184"/>
      <c r="K462" s="184"/>
      <c r="L462" s="184"/>
      <c r="M462" s="184"/>
      <c r="N462" s="184"/>
      <c r="O462" s="184"/>
      <c r="AB462" s="185"/>
      <c r="AC462" s="185"/>
      <c r="AD462" s="185"/>
      <c r="AE462" s="185"/>
    </row>
    <row r="463" ht="15.75" customHeight="1">
      <c r="C463" s="184"/>
      <c r="D463" s="184"/>
      <c r="E463" s="184"/>
      <c r="F463" s="184"/>
      <c r="G463" s="184"/>
      <c r="H463" s="184"/>
      <c r="I463" s="184"/>
      <c r="J463" s="184"/>
      <c r="K463" s="184"/>
      <c r="L463" s="184"/>
      <c r="M463" s="184"/>
      <c r="N463" s="184"/>
      <c r="O463" s="184"/>
      <c r="AB463" s="185"/>
      <c r="AC463" s="185"/>
      <c r="AD463" s="185"/>
      <c r="AE463" s="185"/>
    </row>
    <row r="464" ht="15.75" customHeight="1">
      <c r="C464" s="184"/>
      <c r="D464" s="184"/>
      <c r="E464" s="184"/>
      <c r="F464" s="184"/>
      <c r="G464" s="184"/>
      <c r="H464" s="184"/>
      <c r="I464" s="184"/>
      <c r="J464" s="184"/>
      <c r="K464" s="184"/>
      <c r="L464" s="184"/>
      <c r="M464" s="184"/>
      <c r="N464" s="184"/>
      <c r="O464" s="184"/>
      <c r="AB464" s="185"/>
      <c r="AC464" s="185"/>
      <c r="AD464" s="185"/>
      <c r="AE464" s="185"/>
    </row>
    <row r="465" ht="15.75" customHeight="1">
      <c r="C465" s="184"/>
      <c r="D465" s="184"/>
      <c r="E465" s="184"/>
      <c r="F465" s="184"/>
      <c r="G465" s="184"/>
      <c r="H465" s="184"/>
      <c r="I465" s="184"/>
      <c r="J465" s="184"/>
      <c r="K465" s="184"/>
      <c r="L465" s="184"/>
      <c r="M465" s="184"/>
      <c r="N465" s="184"/>
      <c r="O465" s="184"/>
      <c r="AB465" s="185"/>
      <c r="AC465" s="185"/>
      <c r="AD465" s="185"/>
      <c r="AE465" s="185"/>
    </row>
    <row r="466" ht="15.75" customHeight="1">
      <c r="C466" s="184"/>
      <c r="D466" s="184"/>
      <c r="E466" s="184"/>
      <c r="F466" s="184"/>
      <c r="G466" s="184"/>
      <c r="H466" s="184"/>
      <c r="I466" s="184"/>
      <c r="J466" s="184"/>
      <c r="K466" s="184"/>
      <c r="L466" s="184"/>
      <c r="M466" s="184"/>
      <c r="N466" s="184"/>
      <c r="O466" s="184"/>
      <c r="AB466" s="185"/>
      <c r="AC466" s="185"/>
      <c r="AD466" s="185"/>
      <c r="AE466" s="185"/>
    </row>
    <row r="467" ht="15.75" customHeight="1">
      <c r="C467" s="184"/>
      <c r="D467" s="184"/>
      <c r="E467" s="184"/>
      <c r="F467" s="184"/>
      <c r="G467" s="184"/>
      <c r="H467" s="184"/>
      <c r="I467" s="184"/>
      <c r="J467" s="184"/>
      <c r="K467" s="184"/>
      <c r="L467" s="184"/>
      <c r="M467" s="184"/>
      <c r="N467" s="184"/>
      <c r="O467" s="184"/>
      <c r="AB467" s="185"/>
      <c r="AC467" s="185"/>
      <c r="AD467" s="185"/>
      <c r="AE467" s="185"/>
    </row>
    <row r="468" ht="15.75" customHeight="1">
      <c r="C468" s="184"/>
      <c r="D468" s="184"/>
      <c r="E468" s="184"/>
      <c r="F468" s="184"/>
      <c r="G468" s="184"/>
      <c r="H468" s="184"/>
      <c r="I468" s="184"/>
      <c r="J468" s="184"/>
      <c r="K468" s="184"/>
      <c r="L468" s="184"/>
      <c r="M468" s="184"/>
      <c r="N468" s="184"/>
      <c r="O468" s="184"/>
      <c r="AB468" s="185"/>
      <c r="AC468" s="185"/>
      <c r="AD468" s="185"/>
      <c r="AE468" s="185"/>
    </row>
    <row r="469" ht="15.75" customHeight="1">
      <c r="C469" s="184"/>
      <c r="D469" s="184"/>
      <c r="E469" s="184"/>
      <c r="F469" s="184"/>
      <c r="G469" s="184"/>
      <c r="H469" s="184"/>
      <c r="I469" s="184"/>
      <c r="J469" s="184"/>
      <c r="K469" s="184"/>
      <c r="L469" s="184"/>
      <c r="M469" s="184"/>
      <c r="N469" s="184"/>
      <c r="O469" s="184"/>
      <c r="AB469" s="185"/>
      <c r="AC469" s="185"/>
      <c r="AD469" s="185"/>
      <c r="AE469" s="185"/>
    </row>
    <row r="470" ht="15.75" customHeight="1">
      <c r="C470" s="184"/>
      <c r="D470" s="184"/>
      <c r="E470" s="184"/>
      <c r="F470" s="184"/>
      <c r="G470" s="184"/>
      <c r="H470" s="184"/>
      <c r="I470" s="184"/>
      <c r="J470" s="184"/>
      <c r="K470" s="184"/>
      <c r="L470" s="184"/>
      <c r="M470" s="184"/>
      <c r="N470" s="184"/>
      <c r="O470" s="184"/>
      <c r="AB470" s="185"/>
      <c r="AC470" s="185"/>
      <c r="AD470" s="185"/>
      <c r="AE470" s="185"/>
    </row>
    <row r="471" ht="15.75" customHeight="1">
      <c r="C471" s="184"/>
      <c r="D471" s="184"/>
      <c r="E471" s="184"/>
      <c r="F471" s="184"/>
      <c r="G471" s="184"/>
      <c r="H471" s="184"/>
      <c r="I471" s="184"/>
      <c r="J471" s="184"/>
      <c r="K471" s="184"/>
      <c r="L471" s="184"/>
      <c r="M471" s="184"/>
      <c r="N471" s="184"/>
      <c r="O471" s="184"/>
      <c r="AB471" s="185"/>
      <c r="AC471" s="185"/>
      <c r="AD471" s="185"/>
      <c r="AE471" s="185"/>
    </row>
    <row r="472" ht="15.75" customHeight="1">
      <c r="C472" s="184"/>
      <c r="D472" s="184"/>
      <c r="E472" s="184"/>
      <c r="F472" s="184"/>
      <c r="G472" s="184"/>
      <c r="H472" s="184"/>
      <c r="I472" s="184"/>
      <c r="J472" s="184"/>
      <c r="K472" s="184"/>
      <c r="L472" s="184"/>
      <c r="M472" s="184"/>
      <c r="N472" s="184"/>
      <c r="O472" s="184"/>
      <c r="AB472" s="185"/>
      <c r="AC472" s="185"/>
      <c r="AD472" s="185"/>
      <c r="AE472" s="185"/>
    </row>
    <row r="473" ht="15.75" customHeight="1">
      <c r="C473" s="184"/>
      <c r="D473" s="184"/>
      <c r="E473" s="184"/>
      <c r="F473" s="184"/>
      <c r="G473" s="184"/>
      <c r="H473" s="184"/>
      <c r="I473" s="184"/>
      <c r="J473" s="184"/>
      <c r="K473" s="184"/>
      <c r="L473" s="184"/>
      <c r="M473" s="184"/>
      <c r="N473" s="184"/>
      <c r="O473" s="184"/>
      <c r="AB473" s="185"/>
      <c r="AC473" s="185"/>
      <c r="AD473" s="185"/>
      <c r="AE473" s="185"/>
    </row>
    <row r="474" ht="15.75" customHeight="1">
      <c r="C474" s="184"/>
      <c r="D474" s="184"/>
      <c r="E474" s="184"/>
      <c r="F474" s="184"/>
      <c r="G474" s="184"/>
      <c r="H474" s="184"/>
      <c r="I474" s="184"/>
      <c r="J474" s="184"/>
      <c r="K474" s="184"/>
      <c r="L474" s="184"/>
      <c r="M474" s="184"/>
      <c r="N474" s="184"/>
      <c r="O474" s="184"/>
      <c r="AB474" s="185"/>
      <c r="AC474" s="185"/>
      <c r="AD474" s="185"/>
      <c r="AE474" s="185"/>
    </row>
    <row r="475" ht="15.75" customHeight="1">
      <c r="C475" s="184"/>
      <c r="D475" s="184"/>
      <c r="E475" s="184"/>
      <c r="F475" s="184"/>
      <c r="G475" s="184"/>
      <c r="H475" s="184"/>
      <c r="I475" s="184"/>
      <c r="J475" s="184"/>
      <c r="K475" s="184"/>
      <c r="L475" s="184"/>
      <c r="M475" s="184"/>
      <c r="N475" s="184"/>
      <c r="O475" s="184"/>
      <c r="AB475" s="185"/>
      <c r="AC475" s="185"/>
      <c r="AD475" s="185"/>
      <c r="AE475" s="185"/>
    </row>
    <row r="476" ht="15.75" customHeight="1">
      <c r="C476" s="184"/>
      <c r="D476" s="184"/>
      <c r="E476" s="184"/>
      <c r="F476" s="184"/>
      <c r="G476" s="184"/>
      <c r="H476" s="184"/>
      <c r="I476" s="184"/>
      <c r="J476" s="184"/>
      <c r="K476" s="184"/>
      <c r="L476" s="184"/>
      <c r="M476" s="184"/>
      <c r="N476" s="184"/>
      <c r="O476" s="184"/>
      <c r="AB476" s="185"/>
      <c r="AC476" s="185"/>
      <c r="AD476" s="185"/>
      <c r="AE476" s="185"/>
    </row>
    <row r="477" ht="15.75" customHeight="1">
      <c r="C477" s="184"/>
      <c r="D477" s="184"/>
      <c r="E477" s="184"/>
      <c r="F477" s="184"/>
      <c r="G477" s="184"/>
      <c r="H477" s="184"/>
      <c r="I477" s="184"/>
      <c r="J477" s="184"/>
      <c r="K477" s="184"/>
      <c r="L477" s="184"/>
      <c r="M477" s="184"/>
      <c r="N477" s="184"/>
      <c r="O477" s="184"/>
      <c r="AB477" s="185"/>
      <c r="AC477" s="185"/>
      <c r="AD477" s="185"/>
      <c r="AE477" s="185"/>
    </row>
    <row r="478" ht="15.75" customHeight="1">
      <c r="C478" s="184"/>
      <c r="D478" s="184"/>
      <c r="E478" s="184"/>
      <c r="F478" s="184"/>
      <c r="G478" s="184"/>
      <c r="H478" s="184"/>
      <c r="I478" s="184"/>
      <c r="J478" s="184"/>
      <c r="K478" s="184"/>
      <c r="L478" s="184"/>
      <c r="M478" s="184"/>
      <c r="N478" s="184"/>
      <c r="O478" s="184"/>
      <c r="AB478" s="185"/>
      <c r="AC478" s="185"/>
      <c r="AD478" s="185"/>
      <c r="AE478" s="185"/>
    </row>
    <row r="479" ht="15.75" customHeight="1">
      <c r="C479" s="184"/>
      <c r="D479" s="184"/>
      <c r="E479" s="184"/>
      <c r="F479" s="184"/>
      <c r="G479" s="184"/>
      <c r="H479" s="184"/>
      <c r="I479" s="184"/>
      <c r="J479" s="184"/>
      <c r="K479" s="184"/>
      <c r="L479" s="184"/>
      <c r="M479" s="184"/>
      <c r="N479" s="184"/>
      <c r="O479" s="184"/>
      <c r="AB479" s="185"/>
      <c r="AC479" s="185"/>
      <c r="AD479" s="185"/>
      <c r="AE479" s="185"/>
    </row>
    <row r="480" ht="15.75" customHeight="1">
      <c r="C480" s="184"/>
      <c r="D480" s="184"/>
      <c r="E480" s="184"/>
      <c r="F480" s="184"/>
      <c r="G480" s="184"/>
      <c r="H480" s="184"/>
      <c r="I480" s="184"/>
      <c r="J480" s="184"/>
      <c r="K480" s="184"/>
      <c r="L480" s="184"/>
      <c r="M480" s="184"/>
      <c r="N480" s="184"/>
      <c r="O480" s="184"/>
      <c r="AB480" s="185"/>
      <c r="AC480" s="185"/>
      <c r="AD480" s="185"/>
      <c r="AE480" s="185"/>
    </row>
    <row r="481" ht="15.75" customHeight="1">
      <c r="C481" s="184"/>
      <c r="D481" s="184"/>
      <c r="E481" s="184"/>
      <c r="F481" s="184"/>
      <c r="G481" s="184"/>
      <c r="H481" s="184"/>
      <c r="I481" s="184"/>
      <c r="J481" s="184"/>
      <c r="K481" s="184"/>
      <c r="L481" s="184"/>
      <c r="M481" s="184"/>
      <c r="N481" s="184"/>
      <c r="O481" s="184"/>
      <c r="AB481" s="185"/>
      <c r="AC481" s="185"/>
      <c r="AD481" s="185"/>
      <c r="AE481" s="185"/>
    </row>
    <row r="482" ht="15.75" customHeight="1">
      <c r="C482" s="184"/>
      <c r="D482" s="184"/>
      <c r="E482" s="184"/>
      <c r="F482" s="184"/>
      <c r="G482" s="184"/>
      <c r="H482" s="184"/>
      <c r="I482" s="184"/>
      <c r="J482" s="184"/>
      <c r="K482" s="184"/>
      <c r="L482" s="184"/>
      <c r="M482" s="184"/>
      <c r="N482" s="184"/>
      <c r="O482" s="184"/>
      <c r="AB482" s="185"/>
      <c r="AC482" s="185"/>
      <c r="AD482" s="185"/>
      <c r="AE482" s="185"/>
    </row>
    <row r="483" ht="15.75" customHeight="1">
      <c r="C483" s="184"/>
      <c r="D483" s="184"/>
      <c r="E483" s="184"/>
      <c r="F483" s="184"/>
      <c r="G483" s="184"/>
      <c r="H483" s="184"/>
      <c r="I483" s="184"/>
      <c r="J483" s="184"/>
      <c r="K483" s="184"/>
      <c r="L483" s="184"/>
      <c r="M483" s="184"/>
      <c r="N483" s="184"/>
      <c r="O483" s="184"/>
      <c r="AB483" s="185"/>
      <c r="AC483" s="185"/>
      <c r="AD483" s="185"/>
      <c r="AE483" s="185"/>
    </row>
    <row r="484" ht="15.75" customHeight="1">
      <c r="C484" s="184"/>
      <c r="D484" s="184"/>
      <c r="E484" s="184"/>
      <c r="F484" s="184"/>
      <c r="G484" s="184"/>
      <c r="H484" s="184"/>
      <c r="I484" s="184"/>
      <c r="J484" s="184"/>
      <c r="K484" s="184"/>
      <c r="L484" s="184"/>
      <c r="M484" s="184"/>
      <c r="N484" s="184"/>
      <c r="O484" s="184"/>
      <c r="AB484" s="185"/>
      <c r="AC484" s="185"/>
      <c r="AD484" s="185"/>
      <c r="AE484" s="185"/>
    </row>
    <row r="485" ht="15.75" customHeight="1">
      <c r="C485" s="184"/>
      <c r="D485" s="184"/>
      <c r="E485" s="184"/>
      <c r="F485" s="184"/>
      <c r="G485" s="184"/>
      <c r="H485" s="184"/>
      <c r="I485" s="184"/>
      <c r="J485" s="184"/>
      <c r="K485" s="184"/>
      <c r="L485" s="184"/>
      <c r="M485" s="184"/>
      <c r="N485" s="184"/>
      <c r="O485" s="184"/>
      <c r="AB485" s="185"/>
      <c r="AC485" s="185"/>
      <c r="AD485" s="185"/>
      <c r="AE485" s="185"/>
    </row>
    <row r="486" ht="15.75" customHeight="1">
      <c r="C486" s="184"/>
      <c r="D486" s="184"/>
      <c r="E486" s="184"/>
      <c r="F486" s="184"/>
      <c r="G486" s="184"/>
      <c r="H486" s="184"/>
      <c r="I486" s="184"/>
      <c r="J486" s="184"/>
      <c r="K486" s="184"/>
      <c r="L486" s="184"/>
      <c r="M486" s="184"/>
      <c r="N486" s="184"/>
      <c r="O486" s="184"/>
      <c r="AB486" s="185"/>
      <c r="AC486" s="185"/>
      <c r="AD486" s="185"/>
      <c r="AE486" s="185"/>
    </row>
    <row r="487" ht="15.75" customHeight="1">
      <c r="C487" s="184"/>
      <c r="D487" s="184"/>
      <c r="E487" s="184"/>
      <c r="F487" s="184"/>
      <c r="G487" s="184"/>
      <c r="H487" s="184"/>
      <c r="I487" s="184"/>
      <c r="J487" s="184"/>
      <c r="K487" s="184"/>
      <c r="L487" s="184"/>
      <c r="M487" s="184"/>
      <c r="N487" s="184"/>
      <c r="O487" s="184"/>
      <c r="AB487" s="185"/>
      <c r="AC487" s="185"/>
      <c r="AD487" s="185"/>
      <c r="AE487" s="185"/>
    </row>
    <row r="488" ht="15.75" customHeight="1">
      <c r="C488" s="184"/>
      <c r="D488" s="184"/>
      <c r="E488" s="184"/>
      <c r="F488" s="184"/>
      <c r="G488" s="184"/>
      <c r="H488" s="184"/>
      <c r="I488" s="184"/>
      <c r="J488" s="184"/>
      <c r="K488" s="184"/>
      <c r="L488" s="184"/>
      <c r="M488" s="184"/>
      <c r="N488" s="184"/>
      <c r="O488" s="184"/>
      <c r="AB488" s="185"/>
      <c r="AC488" s="185"/>
      <c r="AD488" s="185"/>
      <c r="AE488" s="185"/>
    </row>
    <row r="489" ht="15.75" customHeight="1">
      <c r="C489" s="184"/>
      <c r="D489" s="184"/>
      <c r="E489" s="184"/>
      <c r="F489" s="184"/>
      <c r="G489" s="184"/>
      <c r="H489" s="184"/>
      <c r="I489" s="184"/>
      <c r="J489" s="184"/>
      <c r="K489" s="184"/>
      <c r="L489" s="184"/>
      <c r="M489" s="184"/>
      <c r="N489" s="184"/>
      <c r="O489" s="184"/>
      <c r="AB489" s="185"/>
      <c r="AC489" s="185"/>
      <c r="AD489" s="185"/>
      <c r="AE489" s="185"/>
    </row>
    <row r="490" ht="15.75" customHeight="1">
      <c r="C490" s="184"/>
      <c r="D490" s="184"/>
      <c r="E490" s="184"/>
      <c r="F490" s="184"/>
      <c r="G490" s="184"/>
      <c r="H490" s="184"/>
      <c r="I490" s="184"/>
      <c r="J490" s="184"/>
      <c r="K490" s="184"/>
      <c r="L490" s="184"/>
      <c r="M490" s="184"/>
      <c r="N490" s="184"/>
      <c r="O490" s="184"/>
      <c r="AB490" s="185"/>
      <c r="AC490" s="185"/>
      <c r="AD490" s="185"/>
      <c r="AE490" s="185"/>
    </row>
    <row r="491" ht="15.75" customHeight="1">
      <c r="C491" s="184"/>
      <c r="D491" s="184"/>
      <c r="E491" s="184"/>
      <c r="F491" s="184"/>
      <c r="G491" s="184"/>
      <c r="H491" s="184"/>
      <c r="I491" s="184"/>
      <c r="J491" s="184"/>
      <c r="K491" s="184"/>
      <c r="L491" s="184"/>
      <c r="M491" s="184"/>
      <c r="N491" s="184"/>
      <c r="O491" s="184"/>
      <c r="AB491" s="185"/>
      <c r="AC491" s="185"/>
      <c r="AD491" s="185"/>
      <c r="AE491" s="185"/>
    </row>
    <row r="492" ht="15.75" customHeight="1">
      <c r="C492" s="184"/>
      <c r="D492" s="184"/>
      <c r="E492" s="184"/>
      <c r="F492" s="184"/>
      <c r="G492" s="184"/>
      <c r="H492" s="184"/>
      <c r="I492" s="184"/>
      <c r="J492" s="184"/>
      <c r="K492" s="184"/>
      <c r="L492" s="184"/>
      <c r="M492" s="184"/>
      <c r="N492" s="184"/>
      <c r="O492" s="184"/>
      <c r="AB492" s="185"/>
      <c r="AC492" s="185"/>
      <c r="AD492" s="185"/>
      <c r="AE492" s="185"/>
    </row>
    <row r="493" ht="15.75" customHeight="1">
      <c r="C493" s="184"/>
      <c r="D493" s="184"/>
      <c r="E493" s="184"/>
      <c r="F493" s="184"/>
      <c r="G493" s="184"/>
      <c r="H493" s="184"/>
      <c r="I493" s="184"/>
      <c r="J493" s="184"/>
      <c r="K493" s="184"/>
      <c r="L493" s="184"/>
      <c r="M493" s="184"/>
      <c r="N493" s="184"/>
      <c r="O493" s="184"/>
      <c r="AB493" s="185"/>
      <c r="AC493" s="185"/>
      <c r="AD493" s="185"/>
      <c r="AE493" s="185"/>
    </row>
    <row r="494" ht="15.75" customHeight="1">
      <c r="C494" s="184"/>
      <c r="D494" s="184"/>
      <c r="E494" s="184"/>
      <c r="F494" s="184"/>
      <c r="G494" s="184"/>
      <c r="H494" s="184"/>
      <c r="I494" s="184"/>
      <c r="J494" s="184"/>
      <c r="K494" s="184"/>
      <c r="L494" s="184"/>
      <c r="M494" s="184"/>
      <c r="N494" s="184"/>
      <c r="O494" s="184"/>
      <c r="AB494" s="185"/>
      <c r="AC494" s="185"/>
      <c r="AD494" s="185"/>
      <c r="AE494" s="185"/>
    </row>
    <row r="495" ht="15.75" customHeight="1">
      <c r="C495" s="184"/>
      <c r="D495" s="184"/>
      <c r="E495" s="184"/>
      <c r="F495" s="184"/>
      <c r="G495" s="184"/>
      <c r="H495" s="184"/>
      <c r="I495" s="184"/>
      <c r="J495" s="184"/>
      <c r="K495" s="184"/>
      <c r="L495" s="184"/>
      <c r="M495" s="184"/>
      <c r="N495" s="184"/>
      <c r="O495" s="184"/>
      <c r="AB495" s="185"/>
      <c r="AC495" s="185"/>
      <c r="AD495" s="185"/>
      <c r="AE495" s="185"/>
    </row>
    <row r="496" ht="15.75" customHeight="1">
      <c r="C496" s="184"/>
      <c r="D496" s="184"/>
      <c r="E496" s="184"/>
      <c r="F496" s="184"/>
      <c r="G496" s="184"/>
      <c r="H496" s="184"/>
      <c r="I496" s="184"/>
      <c r="J496" s="184"/>
      <c r="K496" s="184"/>
      <c r="L496" s="184"/>
      <c r="M496" s="184"/>
      <c r="N496" s="184"/>
      <c r="O496" s="184"/>
      <c r="AB496" s="185"/>
      <c r="AC496" s="185"/>
      <c r="AD496" s="185"/>
      <c r="AE496" s="185"/>
    </row>
    <row r="497" ht="15.75" customHeight="1">
      <c r="C497" s="184"/>
      <c r="D497" s="184"/>
      <c r="E497" s="184"/>
      <c r="F497" s="184"/>
      <c r="G497" s="184"/>
      <c r="H497" s="184"/>
      <c r="I497" s="184"/>
      <c r="J497" s="184"/>
      <c r="K497" s="184"/>
      <c r="L497" s="184"/>
      <c r="M497" s="184"/>
      <c r="N497" s="184"/>
      <c r="O497" s="184"/>
      <c r="AB497" s="185"/>
      <c r="AC497" s="185"/>
      <c r="AD497" s="185"/>
      <c r="AE497" s="185"/>
    </row>
    <row r="498" ht="15.75" customHeight="1">
      <c r="C498" s="184"/>
      <c r="D498" s="184"/>
      <c r="E498" s="184"/>
      <c r="F498" s="184"/>
      <c r="G498" s="184"/>
      <c r="H498" s="184"/>
      <c r="I498" s="184"/>
      <c r="J498" s="184"/>
      <c r="K498" s="184"/>
      <c r="L498" s="184"/>
      <c r="M498" s="184"/>
      <c r="N498" s="184"/>
      <c r="O498" s="184"/>
      <c r="AB498" s="185"/>
      <c r="AC498" s="185"/>
      <c r="AD498" s="185"/>
      <c r="AE498" s="185"/>
    </row>
    <row r="499" ht="15.75" customHeight="1">
      <c r="C499" s="184"/>
      <c r="D499" s="184"/>
      <c r="E499" s="184"/>
      <c r="F499" s="184"/>
      <c r="G499" s="184"/>
      <c r="H499" s="184"/>
      <c r="I499" s="184"/>
      <c r="J499" s="184"/>
      <c r="K499" s="184"/>
      <c r="L499" s="184"/>
      <c r="M499" s="184"/>
      <c r="N499" s="184"/>
      <c r="O499" s="184"/>
      <c r="AB499" s="185"/>
      <c r="AC499" s="185"/>
      <c r="AD499" s="185"/>
      <c r="AE499" s="185"/>
    </row>
    <row r="500" ht="15.75" customHeight="1">
      <c r="C500" s="184"/>
      <c r="D500" s="184"/>
      <c r="E500" s="184"/>
      <c r="F500" s="184"/>
      <c r="G500" s="184"/>
      <c r="H500" s="184"/>
      <c r="I500" s="184"/>
      <c r="J500" s="184"/>
      <c r="K500" s="184"/>
      <c r="L500" s="184"/>
      <c r="M500" s="184"/>
      <c r="N500" s="184"/>
      <c r="O500" s="184"/>
      <c r="AB500" s="185"/>
      <c r="AC500" s="185"/>
      <c r="AD500" s="185"/>
      <c r="AE500" s="185"/>
    </row>
    <row r="501" ht="15.75" customHeight="1">
      <c r="C501" s="184"/>
      <c r="D501" s="184"/>
      <c r="E501" s="184"/>
      <c r="F501" s="184"/>
      <c r="G501" s="184"/>
      <c r="H501" s="184"/>
      <c r="I501" s="184"/>
      <c r="J501" s="184"/>
      <c r="K501" s="184"/>
      <c r="L501" s="184"/>
      <c r="M501" s="184"/>
      <c r="N501" s="184"/>
      <c r="O501" s="184"/>
      <c r="AB501" s="185"/>
      <c r="AC501" s="185"/>
      <c r="AD501" s="185"/>
      <c r="AE501" s="185"/>
    </row>
    <row r="502" ht="15.75" customHeight="1">
      <c r="C502" s="184"/>
      <c r="D502" s="184"/>
      <c r="E502" s="184"/>
      <c r="F502" s="184"/>
      <c r="G502" s="184"/>
      <c r="H502" s="184"/>
      <c r="I502" s="184"/>
      <c r="J502" s="184"/>
      <c r="K502" s="184"/>
      <c r="L502" s="184"/>
      <c r="M502" s="184"/>
      <c r="N502" s="184"/>
      <c r="O502" s="184"/>
      <c r="AB502" s="185"/>
      <c r="AC502" s="185"/>
      <c r="AD502" s="185"/>
      <c r="AE502" s="185"/>
    </row>
    <row r="503" ht="15.75" customHeight="1">
      <c r="C503" s="184"/>
      <c r="D503" s="184"/>
      <c r="E503" s="184"/>
      <c r="F503" s="184"/>
      <c r="G503" s="184"/>
      <c r="H503" s="184"/>
      <c r="I503" s="184"/>
      <c r="J503" s="184"/>
      <c r="K503" s="184"/>
      <c r="L503" s="184"/>
      <c r="M503" s="184"/>
      <c r="N503" s="184"/>
      <c r="O503" s="184"/>
      <c r="AB503" s="185"/>
      <c r="AC503" s="185"/>
      <c r="AD503" s="185"/>
      <c r="AE503" s="185"/>
    </row>
    <row r="504" ht="15.75" customHeight="1">
      <c r="C504" s="184"/>
      <c r="D504" s="184"/>
      <c r="E504" s="184"/>
      <c r="F504" s="184"/>
      <c r="G504" s="184"/>
      <c r="H504" s="184"/>
      <c r="I504" s="184"/>
      <c r="J504" s="184"/>
      <c r="K504" s="184"/>
      <c r="L504" s="184"/>
      <c r="M504" s="184"/>
      <c r="N504" s="184"/>
      <c r="O504" s="184"/>
      <c r="AB504" s="185"/>
      <c r="AC504" s="185"/>
      <c r="AD504" s="185"/>
      <c r="AE504" s="185"/>
    </row>
    <row r="505" ht="15.75" customHeight="1">
      <c r="C505" s="184"/>
      <c r="D505" s="184"/>
      <c r="E505" s="184"/>
      <c r="F505" s="184"/>
      <c r="G505" s="184"/>
      <c r="H505" s="184"/>
      <c r="I505" s="184"/>
      <c r="J505" s="184"/>
      <c r="K505" s="184"/>
      <c r="L505" s="184"/>
      <c r="M505" s="184"/>
      <c r="N505" s="184"/>
      <c r="O505" s="184"/>
      <c r="AB505" s="185"/>
      <c r="AC505" s="185"/>
      <c r="AD505" s="185"/>
      <c r="AE505" s="185"/>
    </row>
    <row r="506" ht="15.75" customHeight="1">
      <c r="C506" s="184"/>
      <c r="D506" s="184"/>
      <c r="E506" s="184"/>
      <c r="F506" s="184"/>
      <c r="G506" s="184"/>
      <c r="H506" s="184"/>
      <c r="I506" s="184"/>
      <c r="J506" s="184"/>
      <c r="K506" s="184"/>
      <c r="L506" s="184"/>
      <c r="M506" s="184"/>
      <c r="N506" s="184"/>
      <c r="O506" s="184"/>
      <c r="AB506" s="185"/>
      <c r="AC506" s="185"/>
      <c r="AD506" s="185"/>
      <c r="AE506" s="185"/>
    </row>
    <row r="507" ht="15.75" customHeight="1">
      <c r="C507" s="184"/>
      <c r="D507" s="184"/>
      <c r="E507" s="184"/>
      <c r="F507" s="184"/>
      <c r="G507" s="184"/>
      <c r="H507" s="184"/>
      <c r="I507" s="184"/>
      <c r="J507" s="184"/>
      <c r="K507" s="184"/>
      <c r="L507" s="184"/>
      <c r="M507" s="184"/>
      <c r="N507" s="184"/>
      <c r="O507" s="184"/>
      <c r="AB507" s="185"/>
      <c r="AC507" s="185"/>
      <c r="AD507" s="185"/>
      <c r="AE507" s="185"/>
    </row>
    <row r="508" ht="15.75" customHeight="1">
      <c r="C508" s="184"/>
      <c r="D508" s="184"/>
      <c r="E508" s="184"/>
      <c r="F508" s="184"/>
      <c r="G508" s="184"/>
      <c r="H508" s="184"/>
      <c r="I508" s="184"/>
      <c r="J508" s="184"/>
      <c r="K508" s="184"/>
      <c r="L508" s="184"/>
      <c r="M508" s="184"/>
      <c r="N508" s="184"/>
      <c r="O508" s="184"/>
      <c r="AB508" s="185"/>
      <c r="AC508" s="185"/>
      <c r="AD508" s="185"/>
      <c r="AE508" s="185"/>
    </row>
    <row r="509" ht="15.75" customHeight="1">
      <c r="C509" s="184"/>
      <c r="D509" s="184"/>
      <c r="E509" s="184"/>
      <c r="F509" s="184"/>
      <c r="G509" s="184"/>
      <c r="H509" s="184"/>
      <c r="I509" s="184"/>
      <c r="J509" s="184"/>
      <c r="K509" s="184"/>
      <c r="L509" s="184"/>
      <c r="M509" s="184"/>
      <c r="N509" s="184"/>
      <c r="O509" s="184"/>
      <c r="AB509" s="185"/>
      <c r="AC509" s="185"/>
      <c r="AD509" s="185"/>
      <c r="AE509" s="185"/>
    </row>
    <row r="510" ht="15.75" customHeight="1">
      <c r="C510" s="184"/>
      <c r="D510" s="184"/>
      <c r="E510" s="184"/>
      <c r="F510" s="184"/>
      <c r="G510" s="184"/>
      <c r="H510" s="184"/>
      <c r="I510" s="184"/>
      <c r="J510" s="184"/>
      <c r="K510" s="184"/>
      <c r="L510" s="184"/>
      <c r="M510" s="184"/>
      <c r="N510" s="184"/>
      <c r="O510" s="184"/>
      <c r="AB510" s="185"/>
      <c r="AC510" s="185"/>
      <c r="AD510" s="185"/>
      <c r="AE510" s="185"/>
    </row>
    <row r="511" ht="15.75" customHeight="1">
      <c r="C511" s="184"/>
      <c r="D511" s="184"/>
      <c r="E511" s="184"/>
      <c r="F511" s="184"/>
      <c r="G511" s="184"/>
      <c r="H511" s="184"/>
      <c r="I511" s="184"/>
      <c r="J511" s="184"/>
      <c r="K511" s="184"/>
      <c r="L511" s="184"/>
      <c r="M511" s="184"/>
      <c r="N511" s="184"/>
      <c r="O511" s="184"/>
      <c r="AB511" s="185"/>
      <c r="AC511" s="185"/>
      <c r="AD511" s="185"/>
      <c r="AE511" s="185"/>
    </row>
    <row r="512" ht="15.75" customHeight="1">
      <c r="C512" s="184"/>
      <c r="D512" s="184"/>
      <c r="E512" s="184"/>
      <c r="F512" s="184"/>
      <c r="G512" s="184"/>
      <c r="H512" s="184"/>
      <c r="I512" s="184"/>
      <c r="J512" s="184"/>
      <c r="K512" s="184"/>
      <c r="L512" s="184"/>
      <c r="M512" s="184"/>
      <c r="N512" s="184"/>
      <c r="O512" s="184"/>
      <c r="AB512" s="185"/>
      <c r="AC512" s="185"/>
      <c r="AD512" s="185"/>
      <c r="AE512" s="185"/>
    </row>
    <row r="513" ht="15.75" customHeight="1">
      <c r="C513" s="184"/>
      <c r="D513" s="184"/>
      <c r="E513" s="184"/>
      <c r="F513" s="184"/>
      <c r="G513" s="184"/>
      <c r="H513" s="184"/>
      <c r="I513" s="184"/>
      <c r="J513" s="184"/>
      <c r="K513" s="184"/>
      <c r="L513" s="184"/>
      <c r="M513" s="184"/>
      <c r="N513" s="184"/>
      <c r="O513" s="184"/>
      <c r="AB513" s="185"/>
      <c r="AC513" s="185"/>
      <c r="AD513" s="185"/>
      <c r="AE513" s="185"/>
    </row>
    <row r="514" ht="15.75" customHeight="1">
      <c r="C514" s="184"/>
      <c r="D514" s="184"/>
      <c r="E514" s="184"/>
      <c r="F514" s="184"/>
      <c r="G514" s="184"/>
      <c r="H514" s="184"/>
      <c r="I514" s="184"/>
      <c r="J514" s="184"/>
      <c r="K514" s="184"/>
      <c r="L514" s="184"/>
      <c r="M514" s="184"/>
      <c r="N514" s="184"/>
      <c r="O514" s="184"/>
      <c r="AB514" s="185"/>
      <c r="AC514" s="185"/>
      <c r="AD514" s="185"/>
      <c r="AE514" s="185"/>
    </row>
    <row r="515" ht="15.75" customHeight="1">
      <c r="C515" s="184"/>
      <c r="D515" s="184"/>
      <c r="E515" s="184"/>
      <c r="F515" s="184"/>
      <c r="G515" s="184"/>
      <c r="H515" s="184"/>
      <c r="I515" s="184"/>
      <c r="J515" s="184"/>
      <c r="K515" s="184"/>
      <c r="L515" s="184"/>
      <c r="M515" s="184"/>
      <c r="N515" s="184"/>
      <c r="O515" s="184"/>
      <c r="AB515" s="185"/>
      <c r="AC515" s="185"/>
      <c r="AD515" s="185"/>
      <c r="AE515" s="185"/>
    </row>
    <row r="516" ht="15.75" customHeight="1">
      <c r="C516" s="184"/>
      <c r="D516" s="184"/>
      <c r="E516" s="184"/>
      <c r="F516" s="184"/>
      <c r="G516" s="184"/>
      <c r="H516" s="184"/>
      <c r="I516" s="184"/>
      <c r="J516" s="184"/>
      <c r="K516" s="184"/>
      <c r="L516" s="184"/>
      <c r="M516" s="184"/>
      <c r="N516" s="184"/>
      <c r="O516" s="184"/>
      <c r="AB516" s="185"/>
      <c r="AC516" s="185"/>
      <c r="AD516" s="185"/>
      <c r="AE516" s="185"/>
    </row>
    <row r="517" ht="15.75" customHeight="1">
      <c r="C517" s="184"/>
      <c r="D517" s="184"/>
      <c r="E517" s="184"/>
      <c r="F517" s="184"/>
      <c r="G517" s="184"/>
      <c r="H517" s="184"/>
      <c r="I517" s="184"/>
      <c r="J517" s="184"/>
      <c r="K517" s="184"/>
      <c r="L517" s="184"/>
      <c r="M517" s="184"/>
      <c r="N517" s="184"/>
      <c r="O517" s="184"/>
      <c r="AB517" s="185"/>
      <c r="AC517" s="185"/>
      <c r="AD517" s="185"/>
      <c r="AE517" s="185"/>
    </row>
    <row r="518" ht="15.75" customHeight="1">
      <c r="C518" s="184"/>
      <c r="D518" s="184"/>
      <c r="E518" s="184"/>
      <c r="F518" s="184"/>
      <c r="G518" s="184"/>
      <c r="H518" s="184"/>
      <c r="I518" s="184"/>
      <c r="J518" s="184"/>
      <c r="K518" s="184"/>
      <c r="L518" s="184"/>
      <c r="M518" s="184"/>
      <c r="N518" s="184"/>
      <c r="O518" s="184"/>
      <c r="AB518" s="185"/>
      <c r="AC518" s="185"/>
      <c r="AD518" s="185"/>
      <c r="AE518" s="185"/>
    </row>
    <row r="519" ht="15.75" customHeight="1">
      <c r="C519" s="184"/>
      <c r="D519" s="184"/>
      <c r="E519" s="184"/>
      <c r="F519" s="184"/>
      <c r="G519" s="184"/>
      <c r="H519" s="184"/>
      <c r="I519" s="184"/>
      <c r="J519" s="184"/>
      <c r="K519" s="184"/>
      <c r="L519" s="184"/>
      <c r="M519" s="184"/>
      <c r="N519" s="184"/>
      <c r="O519" s="184"/>
      <c r="AB519" s="185"/>
      <c r="AC519" s="185"/>
      <c r="AD519" s="185"/>
      <c r="AE519" s="185"/>
    </row>
    <row r="520" ht="15.75" customHeight="1">
      <c r="C520" s="184"/>
      <c r="D520" s="184"/>
      <c r="E520" s="184"/>
      <c r="F520" s="184"/>
      <c r="G520" s="184"/>
      <c r="H520" s="184"/>
      <c r="I520" s="184"/>
      <c r="J520" s="184"/>
      <c r="K520" s="184"/>
      <c r="L520" s="184"/>
      <c r="M520" s="184"/>
      <c r="N520" s="184"/>
      <c r="O520" s="184"/>
      <c r="AB520" s="185"/>
      <c r="AC520" s="185"/>
      <c r="AD520" s="185"/>
      <c r="AE520" s="185"/>
    </row>
    <row r="521" ht="15.75" customHeight="1">
      <c r="C521" s="184"/>
      <c r="D521" s="184"/>
      <c r="E521" s="184"/>
      <c r="F521" s="184"/>
      <c r="G521" s="184"/>
      <c r="H521" s="184"/>
      <c r="I521" s="184"/>
      <c r="J521" s="184"/>
      <c r="K521" s="184"/>
      <c r="L521" s="184"/>
      <c r="M521" s="184"/>
      <c r="N521" s="184"/>
      <c r="O521" s="184"/>
      <c r="AB521" s="185"/>
      <c r="AC521" s="185"/>
      <c r="AD521" s="185"/>
      <c r="AE521" s="185"/>
    </row>
    <row r="522" ht="15.75" customHeight="1">
      <c r="C522" s="184"/>
      <c r="D522" s="184"/>
      <c r="E522" s="184"/>
      <c r="F522" s="184"/>
      <c r="G522" s="184"/>
      <c r="H522" s="184"/>
      <c r="I522" s="184"/>
      <c r="J522" s="184"/>
      <c r="K522" s="184"/>
      <c r="L522" s="184"/>
      <c r="M522" s="184"/>
      <c r="N522" s="184"/>
      <c r="O522" s="184"/>
      <c r="AB522" s="185"/>
      <c r="AC522" s="185"/>
      <c r="AD522" s="185"/>
      <c r="AE522" s="185"/>
    </row>
    <row r="523" ht="15.75" customHeight="1">
      <c r="C523" s="184"/>
      <c r="D523" s="184"/>
      <c r="E523" s="184"/>
      <c r="F523" s="184"/>
      <c r="G523" s="184"/>
      <c r="H523" s="184"/>
      <c r="I523" s="184"/>
      <c r="J523" s="184"/>
      <c r="K523" s="184"/>
      <c r="L523" s="184"/>
      <c r="M523" s="184"/>
      <c r="N523" s="184"/>
      <c r="O523" s="184"/>
      <c r="AB523" s="185"/>
      <c r="AC523" s="185"/>
      <c r="AD523" s="185"/>
      <c r="AE523" s="185"/>
    </row>
    <row r="524" ht="15.75" customHeight="1">
      <c r="C524" s="184"/>
      <c r="D524" s="184"/>
      <c r="E524" s="184"/>
      <c r="F524" s="184"/>
      <c r="G524" s="184"/>
      <c r="H524" s="184"/>
      <c r="I524" s="184"/>
      <c r="J524" s="184"/>
      <c r="K524" s="184"/>
      <c r="L524" s="184"/>
      <c r="M524" s="184"/>
      <c r="N524" s="184"/>
      <c r="O524" s="184"/>
      <c r="AB524" s="185"/>
      <c r="AC524" s="185"/>
      <c r="AD524" s="185"/>
      <c r="AE524" s="185"/>
    </row>
    <row r="525" ht="15.75" customHeight="1">
      <c r="C525" s="184"/>
      <c r="D525" s="184"/>
      <c r="E525" s="184"/>
      <c r="F525" s="184"/>
      <c r="G525" s="184"/>
      <c r="H525" s="184"/>
      <c r="I525" s="184"/>
      <c r="J525" s="184"/>
      <c r="K525" s="184"/>
      <c r="L525" s="184"/>
      <c r="M525" s="184"/>
      <c r="N525" s="184"/>
      <c r="O525" s="184"/>
      <c r="AB525" s="185"/>
      <c r="AC525" s="185"/>
      <c r="AD525" s="185"/>
      <c r="AE525" s="185"/>
    </row>
    <row r="526" ht="15.75" customHeight="1">
      <c r="C526" s="184"/>
      <c r="D526" s="184"/>
      <c r="E526" s="184"/>
      <c r="F526" s="184"/>
      <c r="G526" s="184"/>
      <c r="H526" s="184"/>
      <c r="I526" s="184"/>
      <c r="J526" s="184"/>
      <c r="K526" s="184"/>
      <c r="L526" s="184"/>
      <c r="M526" s="184"/>
      <c r="N526" s="184"/>
      <c r="O526" s="184"/>
      <c r="AB526" s="185"/>
      <c r="AC526" s="185"/>
      <c r="AD526" s="185"/>
      <c r="AE526" s="185"/>
    </row>
    <row r="527" ht="15.75" customHeight="1">
      <c r="C527" s="184"/>
      <c r="D527" s="184"/>
      <c r="E527" s="184"/>
      <c r="F527" s="184"/>
      <c r="G527" s="184"/>
      <c r="H527" s="184"/>
      <c r="I527" s="184"/>
      <c r="J527" s="184"/>
      <c r="K527" s="184"/>
      <c r="L527" s="184"/>
      <c r="M527" s="184"/>
      <c r="N527" s="184"/>
      <c r="O527" s="184"/>
      <c r="AB527" s="185"/>
      <c r="AC527" s="185"/>
      <c r="AD527" s="185"/>
      <c r="AE527" s="185"/>
    </row>
    <row r="528" ht="15.75" customHeight="1">
      <c r="C528" s="184"/>
      <c r="D528" s="184"/>
      <c r="E528" s="184"/>
      <c r="F528" s="184"/>
      <c r="G528" s="184"/>
      <c r="H528" s="184"/>
      <c r="I528" s="184"/>
      <c r="J528" s="184"/>
      <c r="K528" s="184"/>
      <c r="L528" s="184"/>
      <c r="M528" s="184"/>
      <c r="N528" s="184"/>
      <c r="O528" s="184"/>
      <c r="AB528" s="185"/>
      <c r="AC528" s="185"/>
      <c r="AD528" s="185"/>
      <c r="AE528" s="185"/>
    </row>
    <row r="529" ht="15.75" customHeight="1">
      <c r="C529" s="184"/>
      <c r="D529" s="184"/>
      <c r="E529" s="184"/>
      <c r="F529" s="184"/>
      <c r="G529" s="184"/>
      <c r="H529" s="184"/>
      <c r="I529" s="184"/>
      <c r="J529" s="184"/>
      <c r="K529" s="184"/>
      <c r="L529" s="184"/>
      <c r="M529" s="184"/>
      <c r="N529" s="184"/>
      <c r="O529" s="184"/>
      <c r="AB529" s="185"/>
      <c r="AC529" s="185"/>
      <c r="AD529" s="185"/>
      <c r="AE529" s="185"/>
    </row>
    <row r="530" ht="15.75" customHeight="1">
      <c r="C530" s="184"/>
      <c r="D530" s="184"/>
      <c r="E530" s="184"/>
      <c r="F530" s="184"/>
      <c r="G530" s="184"/>
      <c r="H530" s="184"/>
      <c r="I530" s="184"/>
      <c r="J530" s="184"/>
      <c r="K530" s="184"/>
      <c r="L530" s="184"/>
      <c r="M530" s="184"/>
      <c r="N530" s="184"/>
      <c r="O530" s="184"/>
      <c r="AB530" s="185"/>
      <c r="AC530" s="185"/>
      <c r="AD530" s="185"/>
      <c r="AE530" s="185"/>
    </row>
    <row r="531" ht="15.75" customHeight="1">
      <c r="C531" s="184"/>
      <c r="D531" s="184"/>
      <c r="E531" s="184"/>
      <c r="F531" s="184"/>
      <c r="G531" s="184"/>
      <c r="H531" s="184"/>
      <c r="I531" s="184"/>
      <c r="J531" s="184"/>
      <c r="K531" s="184"/>
      <c r="L531" s="184"/>
      <c r="M531" s="184"/>
      <c r="N531" s="184"/>
      <c r="O531" s="184"/>
      <c r="AB531" s="185"/>
      <c r="AC531" s="185"/>
      <c r="AD531" s="185"/>
      <c r="AE531" s="185"/>
    </row>
    <row r="532" ht="15.75" customHeight="1">
      <c r="C532" s="184"/>
      <c r="D532" s="184"/>
      <c r="E532" s="184"/>
      <c r="F532" s="184"/>
      <c r="G532" s="184"/>
      <c r="H532" s="184"/>
      <c r="I532" s="184"/>
      <c r="J532" s="184"/>
      <c r="K532" s="184"/>
      <c r="L532" s="184"/>
      <c r="M532" s="184"/>
      <c r="N532" s="184"/>
      <c r="O532" s="184"/>
      <c r="AB532" s="185"/>
      <c r="AC532" s="185"/>
      <c r="AD532" s="185"/>
      <c r="AE532" s="185"/>
    </row>
    <row r="533" ht="15.75" customHeight="1">
      <c r="C533" s="184"/>
      <c r="D533" s="184"/>
      <c r="E533" s="184"/>
      <c r="F533" s="184"/>
      <c r="G533" s="184"/>
      <c r="H533" s="184"/>
      <c r="I533" s="184"/>
      <c r="J533" s="184"/>
      <c r="K533" s="184"/>
      <c r="L533" s="184"/>
      <c r="M533" s="184"/>
      <c r="N533" s="184"/>
      <c r="O533" s="184"/>
      <c r="AB533" s="185"/>
      <c r="AC533" s="185"/>
      <c r="AD533" s="185"/>
      <c r="AE533" s="185"/>
    </row>
    <row r="534" ht="15.75" customHeight="1">
      <c r="C534" s="184"/>
      <c r="D534" s="184"/>
      <c r="E534" s="184"/>
      <c r="F534" s="184"/>
      <c r="G534" s="184"/>
      <c r="H534" s="184"/>
      <c r="I534" s="184"/>
      <c r="J534" s="184"/>
      <c r="K534" s="184"/>
      <c r="L534" s="184"/>
      <c r="M534" s="184"/>
      <c r="N534" s="184"/>
      <c r="O534" s="184"/>
      <c r="AB534" s="185"/>
      <c r="AC534" s="185"/>
      <c r="AD534" s="185"/>
      <c r="AE534" s="185"/>
    </row>
    <row r="535" ht="15.75" customHeight="1">
      <c r="C535" s="184"/>
      <c r="D535" s="184"/>
      <c r="E535" s="184"/>
      <c r="F535" s="184"/>
      <c r="G535" s="184"/>
      <c r="H535" s="184"/>
      <c r="I535" s="184"/>
      <c r="J535" s="184"/>
      <c r="K535" s="184"/>
      <c r="L535" s="184"/>
      <c r="M535" s="184"/>
      <c r="N535" s="184"/>
      <c r="O535" s="184"/>
      <c r="AB535" s="185"/>
      <c r="AC535" s="185"/>
      <c r="AD535" s="185"/>
      <c r="AE535" s="185"/>
    </row>
    <row r="536" ht="15.75" customHeight="1">
      <c r="C536" s="184"/>
      <c r="D536" s="184"/>
      <c r="E536" s="184"/>
      <c r="F536" s="184"/>
      <c r="G536" s="184"/>
      <c r="H536" s="184"/>
      <c r="I536" s="184"/>
      <c r="J536" s="184"/>
      <c r="K536" s="184"/>
      <c r="L536" s="184"/>
      <c r="M536" s="184"/>
      <c r="N536" s="184"/>
      <c r="O536" s="184"/>
      <c r="AB536" s="185"/>
      <c r="AC536" s="185"/>
      <c r="AD536" s="185"/>
      <c r="AE536" s="185"/>
    </row>
    <row r="537" ht="15.75" customHeight="1">
      <c r="C537" s="184"/>
      <c r="D537" s="184"/>
      <c r="E537" s="184"/>
      <c r="F537" s="184"/>
      <c r="G537" s="184"/>
      <c r="H537" s="184"/>
      <c r="I537" s="184"/>
      <c r="J537" s="184"/>
      <c r="K537" s="184"/>
      <c r="L537" s="184"/>
      <c r="M537" s="184"/>
      <c r="N537" s="184"/>
      <c r="O537" s="184"/>
      <c r="AB537" s="185"/>
      <c r="AC537" s="185"/>
      <c r="AD537" s="185"/>
      <c r="AE537" s="185"/>
    </row>
    <row r="538" ht="15.75" customHeight="1">
      <c r="C538" s="184"/>
      <c r="D538" s="184"/>
      <c r="E538" s="184"/>
      <c r="F538" s="184"/>
      <c r="G538" s="184"/>
      <c r="H538" s="184"/>
      <c r="I538" s="184"/>
      <c r="J538" s="184"/>
      <c r="K538" s="184"/>
      <c r="L538" s="184"/>
      <c r="M538" s="184"/>
      <c r="N538" s="184"/>
      <c r="O538" s="184"/>
      <c r="AB538" s="185"/>
      <c r="AC538" s="185"/>
      <c r="AD538" s="185"/>
      <c r="AE538" s="185"/>
    </row>
    <row r="539" ht="15.75" customHeight="1">
      <c r="C539" s="184"/>
      <c r="D539" s="184"/>
      <c r="E539" s="184"/>
      <c r="F539" s="184"/>
      <c r="G539" s="184"/>
      <c r="H539" s="184"/>
      <c r="I539" s="184"/>
      <c r="J539" s="184"/>
      <c r="K539" s="184"/>
      <c r="L539" s="184"/>
      <c r="M539" s="184"/>
      <c r="N539" s="184"/>
      <c r="O539" s="184"/>
      <c r="AB539" s="185"/>
      <c r="AC539" s="185"/>
      <c r="AD539" s="185"/>
      <c r="AE539" s="185"/>
    </row>
    <row r="540" ht="15.75" customHeight="1">
      <c r="C540" s="184"/>
      <c r="D540" s="184"/>
      <c r="E540" s="184"/>
      <c r="F540" s="184"/>
      <c r="G540" s="184"/>
      <c r="H540" s="184"/>
      <c r="I540" s="184"/>
      <c r="J540" s="184"/>
      <c r="K540" s="184"/>
      <c r="L540" s="184"/>
      <c r="M540" s="184"/>
      <c r="N540" s="184"/>
      <c r="O540" s="184"/>
      <c r="AB540" s="185"/>
      <c r="AC540" s="185"/>
      <c r="AD540" s="185"/>
      <c r="AE540" s="185"/>
    </row>
    <row r="541" ht="15.75" customHeight="1">
      <c r="C541" s="184"/>
      <c r="D541" s="184"/>
      <c r="E541" s="184"/>
      <c r="F541" s="184"/>
      <c r="G541" s="184"/>
      <c r="H541" s="184"/>
      <c r="I541" s="184"/>
      <c r="J541" s="184"/>
      <c r="K541" s="184"/>
      <c r="L541" s="184"/>
      <c r="M541" s="184"/>
      <c r="N541" s="184"/>
      <c r="O541" s="184"/>
      <c r="AB541" s="185"/>
      <c r="AC541" s="185"/>
      <c r="AD541" s="185"/>
      <c r="AE541" s="185"/>
    </row>
    <row r="542" ht="15.75" customHeight="1">
      <c r="C542" s="184"/>
      <c r="D542" s="184"/>
      <c r="E542" s="184"/>
      <c r="F542" s="184"/>
      <c r="G542" s="184"/>
      <c r="H542" s="184"/>
      <c r="I542" s="184"/>
      <c r="J542" s="184"/>
      <c r="K542" s="184"/>
      <c r="L542" s="184"/>
      <c r="M542" s="184"/>
      <c r="N542" s="184"/>
      <c r="O542" s="184"/>
      <c r="AB542" s="185"/>
      <c r="AC542" s="185"/>
      <c r="AD542" s="185"/>
      <c r="AE542" s="185"/>
    </row>
    <row r="543" ht="15.75" customHeight="1">
      <c r="C543" s="184"/>
      <c r="D543" s="184"/>
      <c r="E543" s="184"/>
      <c r="F543" s="184"/>
      <c r="G543" s="184"/>
      <c r="H543" s="184"/>
      <c r="I543" s="184"/>
      <c r="J543" s="184"/>
      <c r="K543" s="184"/>
      <c r="L543" s="184"/>
      <c r="M543" s="184"/>
      <c r="N543" s="184"/>
      <c r="O543" s="184"/>
      <c r="AB543" s="185"/>
      <c r="AC543" s="185"/>
      <c r="AD543" s="185"/>
      <c r="AE543" s="185"/>
    </row>
    <row r="544" ht="15.75" customHeight="1">
      <c r="C544" s="184"/>
      <c r="D544" s="184"/>
      <c r="E544" s="184"/>
      <c r="F544" s="184"/>
      <c r="G544" s="184"/>
      <c r="H544" s="184"/>
      <c r="I544" s="184"/>
      <c r="J544" s="184"/>
      <c r="K544" s="184"/>
      <c r="L544" s="184"/>
      <c r="M544" s="184"/>
      <c r="N544" s="184"/>
      <c r="O544" s="184"/>
      <c r="AB544" s="185"/>
      <c r="AC544" s="185"/>
      <c r="AD544" s="185"/>
      <c r="AE544" s="185"/>
    </row>
    <row r="545" ht="15.75" customHeight="1">
      <c r="C545" s="184"/>
      <c r="D545" s="184"/>
      <c r="E545" s="184"/>
      <c r="F545" s="184"/>
      <c r="G545" s="184"/>
      <c r="H545" s="184"/>
      <c r="I545" s="184"/>
      <c r="J545" s="184"/>
      <c r="K545" s="184"/>
      <c r="L545" s="184"/>
      <c r="M545" s="184"/>
      <c r="N545" s="184"/>
      <c r="O545" s="184"/>
      <c r="AB545" s="185"/>
      <c r="AC545" s="185"/>
      <c r="AD545" s="185"/>
      <c r="AE545" s="185"/>
    </row>
    <row r="546" ht="15.75" customHeight="1">
      <c r="C546" s="184"/>
      <c r="D546" s="184"/>
      <c r="E546" s="184"/>
      <c r="F546" s="184"/>
      <c r="G546" s="184"/>
      <c r="H546" s="184"/>
      <c r="I546" s="184"/>
      <c r="J546" s="184"/>
      <c r="K546" s="184"/>
      <c r="L546" s="184"/>
      <c r="M546" s="184"/>
      <c r="N546" s="184"/>
      <c r="O546" s="184"/>
      <c r="AB546" s="185"/>
      <c r="AC546" s="185"/>
      <c r="AD546" s="185"/>
      <c r="AE546" s="185"/>
    </row>
    <row r="547" ht="15.75" customHeight="1">
      <c r="C547" s="184"/>
      <c r="D547" s="184"/>
      <c r="E547" s="184"/>
      <c r="F547" s="184"/>
      <c r="G547" s="184"/>
      <c r="H547" s="184"/>
      <c r="I547" s="184"/>
      <c r="J547" s="184"/>
      <c r="K547" s="184"/>
      <c r="L547" s="184"/>
      <c r="M547" s="184"/>
      <c r="N547" s="184"/>
      <c r="O547" s="184"/>
      <c r="AB547" s="185"/>
      <c r="AC547" s="185"/>
      <c r="AD547" s="185"/>
      <c r="AE547" s="185"/>
    </row>
    <row r="548" ht="15.75" customHeight="1">
      <c r="C548" s="184"/>
      <c r="D548" s="184"/>
      <c r="E548" s="184"/>
      <c r="F548" s="184"/>
      <c r="G548" s="184"/>
      <c r="H548" s="184"/>
      <c r="I548" s="184"/>
      <c r="J548" s="184"/>
      <c r="K548" s="184"/>
      <c r="L548" s="184"/>
      <c r="M548" s="184"/>
      <c r="N548" s="184"/>
      <c r="O548" s="184"/>
      <c r="AB548" s="185"/>
      <c r="AC548" s="185"/>
      <c r="AD548" s="185"/>
      <c r="AE548" s="185"/>
    </row>
    <row r="549" ht="15.75" customHeight="1">
      <c r="C549" s="184"/>
      <c r="D549" s="184"/>
      <c r="E549" s="184"/>
      <c r="F549" s="184"/>
      <c r="G549" s="184"/>
      <c r="H549" s="184"/>
      <c r="I549" s="184"/>
      <c r="J549" s="184"/>
      <c r="K549" s="184"/>
      <c r="L549" s="184"/>
      <c r="M549" s="184"/>
      <c r="N549" s="184"/>
      <c r="O549" s="184"/>
      <c r="AB549" s="185"/>
      <c r="AC549" s="185"/>
      <c r="AD549" s="185"/>
      <c r="AE549" s="185"/>
    </row>
    <row r="550" ht="15.75" customHeight="1">
      <c r="C550" s="184"/>
      <c r="D550" s="184"/>
      <c r="E550" s="184"/>
      <c r="F550" s="184"/>
      <c r="G550" s="184"/>
      <c r="H550" s="184"/>
      <c r="I550" s="184"/>
      <c r="J550" s="184"/>
      <c r="K550" s="184"/>
      <c r="L550" s="184"/>
      <c r="M550" s="184"/>
      <c r="N550" s="184"/>
      <c r="O550" s="184"/>
      <c r="AB550" s="185"/>
      <c r="AC550" s="185"/>
      <c r="AD550" s="185"/>
      <c r="AE550" s="185"/>
    </row>
    <row r="551" ht="15.75" customHeight="1">
      <c r="C551" s="184"/>
      <c r="D551" s="184"/>
      <c r="E551" s="184"/>
      <c r="F551" s="184"/>
      <c r="G551" s="184"/>
      <c r="H551" s="184"/>
      <c r="I551" s="184"/>
      <c r="J551" s="184"/>
      <c r="K551" s="184"/>
      <c r="L551" s="184"/>
      <c r="M551" s="184"/>
      <c r="N551" s="184"/>
      <c r="O551" s="184"/>
      <c r="AB551" s="185"/>
      <c r="AC551" s="185"/>
      <c r="AD551" s="185"/>
      <c r="AE551" s="185"/>
    </row>
    <row r="552" ht="15.75" customHeight="1">
      <c r="C552" s="184"/>
      <c r="D552" s="184"/>
      <c r="E552" s="184"/>
      <c r="F552" s="184"/>
      <c r="G552" s="184"/>
      <c r="H552" s="184"/>
      <c r="I552" s="184"/>
      <c r="J552" s="184"/>
      <c r="K552" s="184"/>
      <c r="L552" s="184"/>
      <c r="M552" s="184"/>
      <c r="N552" s="184"/>
      <c r="O552" s="184"/>
      <c r="AB552" s="185"/>
      <c r="AC552" s="185"/>
      <c r="AD552" s="185"/>
      <c r="AE552" s="185"/>
    </row>
    <row r="553" ht="15.75" customHeight="1">
      <c r="C553" s="184"/>
      <c r="D553" s="184"/>
      <c r="E553" s="184"/>
      <c r="F553" s="184"/>
      <c r="G553" s="184"/>
      <c r="H553" s="184"/>
      <c r="I553" s="184"/>
      <c r="J553" s="184"/>
      <c r="K553" s="184"/>
      <c r="L553" s="184"/>
      <c r="M553" s="184"/>
      <c r="N553" s="184"/>
      <c r="O553" s="184"/>
      <c r="AB553" s="185"/>
      <c r="AC553" s="185"/>
      <c r="AD553" s="185"/>
      <c r="AE553" s="185"/>
    </row>
    <row r="554" ht="15.75" customHeight="1">
      <c r="C554" s="184"/>
      <c r="D554" s="184"/>
      <c r="E554" s="184"/>
      <c r="F554" s="184"/>
      <c r="G554" s="184"/>
      <c r="H554" s="184"/>
      <c r="I554" s="184"/>
      <c r="J554" s="184"/>
      <c r="K554" s="184"/>
      <c r="L554" s="184"/>
      <c r="M554" s="184"/>
      <c r="N554" s="184"/>
      <c r="O554" s="184"/>
      <c r="AB554" s="185"/>
      <c r="AC554" s="185"/>
      <c r="AD554" s="185"/>
      <c r="AE554" s="185"/>
    </row>
    <row r="555" ht="15.75" customHeight="1">
      <c r="C555" s="184"/>
      <c r="D555" s="184"/>
      <c r="E555" s="184"/>
      <c r="F555" s="184"/>
      <c r="G555" s="184"/>
      <c r="H555" s="184"/>
      <c r="I555" s="184"/>
      <c r="J555" s="184"/>
      <c r="K555" s="184"/>
      <c r="L555" s="184"/>
      <c r="M555" s="184"/>
      <c r="N555" s="184"/>
      <c r="O555" s="184"/>
      <c r="AB555" s="185"/>
      <c r="AC555" s="185"/>
      <c r="AD555" s="185"/>
      <c r="AE555" s="185"/>
    </row>
    <row r="556" ht="15.75" customHeight="1">
      <c r="C556" s="184"/>
      <c r="D556" s="184"/>
      <c r="E556" s="184"/>
      <c r="F556" s="184"/>
      <c r="G556" s="184"/>
      <c r="H556" s="184"/>
      <c r="I556" s="184"/>
      <c r="J556" s="184"/>
      <c r="K556" s="184"/>
      <c r="L556" s="184"/>
      <c r="M556" s="184"/>
      <c r="N556" s="184"/>
      <c r="O556" s="184"/>
      <c r="AB556" s="185"/>
      <c r="AC556" s="185"/>
      <c r="AD556" s="185"/>
      <c r="AE556" s="185"/>
    </row>
    <row r="557" ht="15.75" customHeight="1">
      <c r="C557" s="184"/>
      <c r="D557" s="184"/>
      <c r="E557" s="184"/>
      <c r="F557" s="184"/>
      <c r="G557" s="184"/>
      <c r="H557" s="184"/>
      <c r="I557" s="184"/>
      <c r="J557" s="184"/>
      <c r="K557" s="184"/>
      <c r="L557" s="184"/>
      <c r="M557" s="184"/>
      <c r="N557" s="184"/>
      <c r="O557" s="184"/>
      <c r="AB557" s="185"/>
      <c r="AC557" s="185"/>
      <c r="AD557" s="185"/>
      <c r="AE557" s="185"/>
    </row>
    <row r="558" ht="15.75" customHeight="1">
      <c r="C558" s="184"/>
      <c r="D558" s="184"/>
      <c r="E558" s="184"/>
      <c r="F558" s="184"/>
      <c r="G558" s="184"/>
      <c r="H558" s="184"/>
      <c r="I558" s="184"/>
      <c r="J558" s="184"/>
      <c r="K558" s="184"/>
      <c r="L558" s="184"/>
      <c r="M558" s="184"/>
      <c r="N558" s="184"/>
      <c r="O558" s="184"/>
      <c r="AB558" s="185"/>
      <c r="AC558" s="185"/>
      <c r="AD558" s="185"/>
      <c r="AE558" s="185"/>
    </row>
    <row r="559" ht="15.75" customHeight="1">
      <c r="C559" s="184"/>
      <c r="D559" s="184"/>
      <c r="E559" s="184"/>
      <c r="F559" s="184"/>
      <c r="G559" s="184"/>
      <c r="H559" s="184"/>
      <c r="I559" s="184"/>
      <c r="J559" s="184"/>
      <c r="K559" s="184"/>
      <c r="L559" s="184"/>
      <c r="M559" s="184"/>
      <c r="N559" s="184"/>
      <c r="O559" s="184"/>
      <c r="AB559" s="185"/>
      <c r="AC559" s="185"/>
      <c r="AD559" s="185"/>
      <c r="AE559" s="185"/>
    </row>
    <row r="560" ht="15.75" customHeight="1">
      <c r="C560" s="184"/>
      <c r="D560" s="184"/>
      <c r="E560" s="184"/>
      <c r="F560" s="184"/>
      <c r="G560" s="184"/>
      <c r="H560" s="184"/>
      <c r="I560" s="184"/>
      <c r="J560" s="184"/>
      <c r="K560" s="184"/>
      <c r="L560" s="184"/>
      <c r="M560" s="184"/>
      <c r="N560" s="184"/>
      <c r="O560" s="184"/>
      <c r="AB560" s="185"/>
      <c r="AC560" s="185"/>
      <c r="AD560" s="185"/>
      <c r="AE560" s="185"/>
    </row>
    <row r="561" ht="15.75" customHeight="1">
      <c r="C561" s="184"/>
      <c r="D561" s="184"/>
      <c r="E561" s="184"/>
      <c r="F561" s="184"/>
      <c r="G561" s="184"/>
      <c r="H561" s="184"/>
      <c r="I561" s="184"/>
      <c r="J561" s="184"/>
      <c r="K561" s="184"/>
      <c r="L561" s="184"/>
      <c r="M561" s="184"/>
      <c r="N561" s="184"/>
      <c r="O561" s="184"/>
      <c r="AB561" s="185"/>
      <c r="AC561" s="185"/>
      <c r="AD561" s="185"/>
      <c r="AE561" s="185"/>
    </row>
    <row r="562" ht="15.75" customHeight="1">
      <c r="C562" s="184"/>
      <c r="D562" s="184"/>
      <c r="E562" s="184"/>
      <c r="F562" s="184"/>
      <c r="G562" s="184"/>
      <c r="H562" s="184"/>
      <c r="I562" s="184"/>
      <c r="J562" s="184"/>
      <c r="K562" s="184"/>
      <c r="L562" s="184"/>
      <c r="M562" s="184"/>
      <c r="N562" s="184"/>
      <c r="O562" s="184"/>
      <c r="AB562" s="185"/>
      <c r="AC562" s="185"/>
      <c r="AD562" s="185"/>
      <c r="AE562" s="185"/>
    </row>
    <row r="563" ht="15.75" customHeight="1">
      <c r="C563" s="184"/>
      <c r="D563" s="184"/>
      <c r="E563" s="184"/>
      <c r="F563" s="184"/>
      <c r="G563" s="184"/>
      <c r="H563" s="184"/>
      <c r="I563" s="184"/>
      <c r="J563" s="184"/>
      <c r="K563" s="184"/>
      <c r="L563" s="184"/>
      <c r="M563" s="184"/>
      <c r="N563" s="184"/>
      <c r="O563" s="184"/>
      <c r="AB563" s="185"/>
      <c r="AC563" s="185"/>
      <c r="AD563" s="185"/>
      <c r="AE563" s="185"/>
    </row>
    <row r="564" ht="15.75" customHeight="1">
      <c r="C564" s="184"/>
      <c r="D564" s="184"/>
      <c r="E564" s="184"/>
      <c r="F564" s="184"/>
      <c r="G564" s="184"/>
      <c r="H564" s="184"/>
      <c r="I564" s="184"/>
      <c r="J564" s="184"/>
      <c r="K564" s="184"/>
      <c r="L564" s="184"/>
      <c r="M564" s="184"/>
      <c r="N564" s="184"/>
      <c r="O564" s="184"/>
      <c r="AB564" s="185"/>
      <c r="AC564" s="185"/>
      <c r="AD564" s="185"/>
      <c r="AE564" s="185"/>
    </row>
    <row r="565" ht="15.75" customHeight="1">
      <c r="C565" s="184"/>
      <c r="D565" s="184"/>
      <c r="E565" s="184"/>
      <c r="F565" s="184"/>
      <c r="G565" s="184"/>
      <c r="H565" s="184"/>
      <c r="I565" s="184"/>
      <c r="J565" s="184"/>
      <c r="K565" s="184"/>
      <c r="L565" s="184"/>
      <c r="M565" s="184"/>
      <c r="N565" s="184"/>
      <c r="O565" s="184"/>
      <c r="AB565" s="185"/>
      <c r="AC565" s="185"/>
      <c r="AD565" s="185"/>
      <c r="AE565" s="185"/>
    </row>
    <row r="566" ht="15.75" customHeight="1">
      <c r="C566" s="184"/>
      <c r="D566" s="184"/>
      <c r="E566" s="184"/>
      <c r="F566" s="184"/>
      <c r="G566" s="184"/>
      <c r="H566" s="184"/>
      <c r="I566" s="184"/>
      <c r="J566" s="184"/>
      <c r="K566" s="184"/>
      <c r="L566" s="184"/>
      <c r="M566" s="184"/>
      <c r="N566" s="184"/>
      <c r="O566" s="184"/>
      <c r="AB566" s="185"/>
      <c r="AC566" s="185"/>
      <c r="AD566" s="185"/>
      <c r="AE566" s="185"/>
    </row>
    <row r="567" ht="15.75" customHeight="1">
      <c r="C567" s="184"/>
      <c r="D567" s="184"/>
      <c r="E567" s="184"/>
      <c r="F567" s="184"/>
      <c r="G567" s="184"/>
      <c r="H567" s="184"/>
      <c r="I567" s="184"/>
      <c r="J567" s="184"/>
      <c r="K567" s="184"/>
      <c r="L567" s="184"/>
      <c r="M567" s="184"/>
      <c r="N567" s="184"/>
      <c r="O567" s="184"/>
      <c r="AB567" s="185"/>
      <c r="AC567" s="185"/>
      <c r="AD567" s="185"/>
      <c r="AE567" s="185"/>
    </row>
    <row r="568" ht="15.75" customHeight="1">
      <c r="C568" s="184"/>
      <c r="D568" s="184"/>
      <c r="E568" s="184"/>
      <c r="F568" s="184"/>
      <c r="G568" s="184"/>
      <c r="H568" s="184"/>
      <c r="I568" s="184"/>
      <c r="J568" s="184"/>
      <c r="K568" s="184"/>
      <c r="L568" s="184"/>
      <c r="M568" s="184"/>
      <c r="N568" s="184"/>
      <c r="O568" s="184"/>
      <c r="AB568" s="185"/>
      <c r="AC568" s="185"/>
      <c r="AD568" s="185"/>
      <c r="AE568" s="185"/>
    </row>
    <row r="569" ht="15.75" customHeight="1">
      <c r="C569" s="184"/>
      <c r="D569" s="184"/>
      <c r="E569" s="184"/>
      <c r="F569" s="184"/>
      <c r="G569" s="184"/>
      <c r="H569" s="184"/>
      <c r="I569" s="184"/>
      <c r="J569" s="184"/>
      <c r="K569" s="184"/>
      <c r="L569" s="184"/>
      <c r="M569" s="184"/>
      <c r="N569" s="184"/>
      <c r="O569" s="184"/>
      <c r="AB569" s="185"/>
      <c r="AC569" s="185"/>
      <c r="AD569" s="185"/>
      <c r="AE569" s="185"/>
    </row>
    <row r="570" ht="15.75" customHeight="1">
      <c r="C570" s="184"/>
      <c r="D570" s="184"/>
      <c r="E570" s="184"/>
      <c r="F570" s="184"/>
      <c r="G570" s="184"/>
      <c r="H570" s="184"/>
      <c r="I570" s="184"/>
      <c r="J570" s="184"/>
      <c r="K570" s="184"/>
      <c r="L570" s="184"/>
      <c r="M570" s="184"/>
      <c r="N570" s="184"/>
      <c r="O570" s="184"/>
      <c r="AB570" s="185"/>
      <c r="AC570" s="185"/>
      <c r="AD570" s="185"/>
      <c r="AE570" s="185"/>
    </row>
    <row r="571" ht="15.75" customHeight="1">
      <c r="C571" s="184"/>
      <c r="D571" s="184"/>
      <c r="E571" s="184"/>
      <c r="F571" s="184"/>
      <c r="G571" s="184"/>
      <c r="H571" s="184"/>
      <c r="I571" s="184"/>
      <c r="J571" s="184"/>
      <c r="K571" s="184"/>
      <c r="L571" s="184"/>
      <c r="M571" s="184"/>
      <c r="N571" s="184"/>
      <c r="O571" s="184"/>
      <c r="AB571" s="185"/>
      <c r="AC571" s="185"/>
      <c r="AD571" s="185"/>
      <c r="AE571" s="185"/>
    </row>
    <row r="572" ht="15.75" customHeight="1">
      <c r="C572" s="184"/>
      <c r="D572" s="184"/>
      <c r="E572" s="184"/>
      <c r="F572" s="184"/>
      <c r="G572" s="184"/>
      <c r="H572" s="184"/>
      <c r="I572" s="184"/>
      <c r="J572" s="184"/>
      <c r="K572" s="184"/>
      <c r="L572" s="184"/>
      <c r="M572" s="184"/>
      <c r="N572" s="184"/>
      <c r="O572" s="184"/>
      <c r="AB572" s="185"/>
      <c r="AC572" s="185"/>
      <c r="AD572" s="185"/>
      <c r="AE572" s="185"/>
    </row>
    <row r="573" ht="15.75" customHeight="1">
      <c r="C573" s="184"/>
      <c r="D573" s="184"/>
      <c r="E573" s="184"/>
      <c r="F573" s="184"/>
      <c r="G573" s="184"/>
      <c r="H573" s="184"/>
      <c r="I573" s="184"/>
      <c r="J573" s="184"/>
      <c r="K573" s="184"/>
      <c r="L573" s="184"/>
      <c r="M573" s="184"/>
      <c r="N573" s="184"/>
      <c r="O573" s="184"/>
      <c r="AB573" s="185"/>
      <c r="AC573" s="185"/>
      <c r="AD573" s="185"/>
      <c r="AE573" s="185"/>
    </row>
    <row r="574" ht="15.75" customHeight="1">
      <c r="C574" s="184"/>
      <c r="D574" s="184"/>
      <c r="E574" s="184"/>
      <c r="F574" s="184"/>
      <c r="G574" s="184"/>
      <c r="H574" s="184"/>
      <c r="I574" s="184"/>
      <c r="J574" s="184"/>
      <c r="K574" s="184"/>
      <c r="L574" s="184"/>
      <c r="M574" s="184"/>
      <c r="N574" s="184"/>
      <c r="O574" s="184"/>
      <c r="AB574" s="185"/>
      <c r="AC574" s="185"/>
      <c r="AD574" s="185"/>
      <c r="AE574" s="185"/>
    </row>
    <row r="575" ht="15.75" customHeight="1">
      <c r="C575" s="184"/>
      <c r="D575" s="184"/>
      <c r="E575" s="184"/>
      <c r="F575" s="184"/>
      <c r="G575" s="184"/>
      <c r="H575" s="184"/>
      <c r="I575" s="184"/>
      <c r="J575" s="184"/>
      <c r="K575" s="184"/>
      <c r="L575" s="184"/>
      <c r="M575" s="184"/>
      <c r="N575" s="184"/>
      <c r="O575" s="184"/>
      <c r="AB575" s="185"/>
      <c r="AC575" s="185"/>
      <c r="AD575" s="185"/>
      <c r="AE575" s="185"/>
    </row>
    <row r="576" ht="15.75" customHeight="1">
      <c r="C576" s="184"/>
      <c r="D576" s="184"/>
      <c r="E576" s="184"/>
      <c r="F576" s="184"/>
      <c r="G576" s="184"/>
      <c r="H576" s="184"/>
      <c r="I576" s="184"/>
      <c r="J576" s="184"/>
      <c r="K576" s="184"/>
      <c r="L576" s="184"/>
      <c r="M576" s="184"/>
      <c r="N576" s="184"/>
      <c r="O576" s="184"/>
      <c r="AB576" s="185"/>
      <c r="AC576" s="185"/>
      <c r="AD576" s="185"/>
      <c r="AE576" s="185"/>
    </row>
    <row r="577" ht="15.75" customHeight="1">
      <c r="C577" s="184"/>
      <c r="D577" s="184"/>
      <c r="E577" s="184"/>
      <c r="F577" s="184"/>
      <c r="G577" s="184"/>
      <c r="H577" s="184"/>
      <c r="I577" s="184"/>
      <c r="J577" s="184"/>
      <c r="K577" s="184"/>
      <c r="L577" s="184"/>
      <c r="M577" s="184"/>
      <c r="N577" s="184"/>
      <c r="O577" s="184"/>
      <c r="AB577" s="185"/>
      <c r="AC577" s="185"/>
      <c r="AD577" s="185"/>
      <c r="AE577" s="185"/>
    </row>
    <row r="578" ht="15.75" customHeight="1">
      <c r="C578" s="184"/>
      <c r="D578" s="184"/>
      <c r="E578" s="184"/>
      <c r="F578" s="184"/>
      <c r="G578" s="184"/>
      <c r="H578" s="184"/>
      <c r="I578" s="184"/>
      <c r="J578" s="184"/>
      <c r="K578" s="184"/>
      <c r="L578" s="184"/>
      <c r="M578" s="184"/>
      <c r="N578" s="184"/>
      <c r="O578" s="184"/>
      <c r="AB578" s="185"/>
      <c r="AC578" s="185"/>
      <c r="AD578" s="185"/>
      <c r="AE578" s="185"/>
    </row>
    <row r="579" ht="15.75" customHeight="1">
      <c r="C579" s="184"/>
      <c r="D579" s="184"/>
      <c r="E579" s="184"/>
      <c r="F579" s="184"/>
      <c r="G579" s="184"/>
      <c r="H579" s="184"/>
      <c r="I579" s="184"/>
      <c r="J579" s="184"/>
      <c r="K579" s="184"/>
      <c r="L579" s="184"/>
      <c r="M579" s="184"/>
      <c r="N579" s="184"/>
      <c r="O579" s="184"/>
      <c r="AB579" s="185"/>
      <c r="AC579" s="185"/>
      <c r="AD579" s="185"/>
      <c r="AE579" s="185"/>
    </row>
    <row r="580" ht="15.75" customHeight="1">
      <c r="C580" s="184"/>
      <c r="D580" s="184"/>
      <c r="E580" s="184"/>
      <c r="F580" s="184"/>
      <c r="G580" s="184"/>
      <c r="H580" s="184"/>
      <c r="I580" s="184"/>
      <c r="J580" s="184"/>
      <c r="K580" s="184"/>
      <c r="L580" s="184"/>
      <c r="M580" s="184"/>
      <c r="N580" s="184"/>
      <c r="O580" s="184"/>
      <c r="AB580" s="185"/>
      <c r="AC580" s="185"/>
      <c r="AD580" s="185"/>
      <c r="AE580" s="185"/>
    </row>
    <row r="581" ht="15.75" customHeight="1">
      <c r="C581" s="184"/>
      <c r="D581" s="184"/>
      <c r="E581" s="184"/>
      <c r="F581" s="184"/>
      <c r="G581" s="184"/>
      <c r="H581" s="184"/>
      <c r="I581" s="184"/>
      <c r="J581" s="184"/>
      <c r="K581" s="184"/>
      <c r="L581" s="184"/>
      <c r="M581" s="184"/>
      <c r="N581" s="184"/>
      <c r="O581" s="184"/>
      <c r="AB581" s="185"/>
      <c r="AC581" s="185"/>
      <c r="AD581" s="185"/>
      <c r="AE581" s="185"/>
    </row>
    <row r="582" ht="15.75" customHeight="1">
      <c r="C582" s="184"/>
      <c r="D582" s="184"/>
      <c r="E582" s="184"/>
      <c r="F582" s="184"/>
      <c r="G582" s="184"/>
      <c r="H582" s="184"/>
      <c r="I582" s="184"/>
      <c r="J582" s="184"/>
      <c r="K582" s="184"/>
      <c r="L582" s="184"/>
      <c r="M582" s="184"/>
      <c r="N582" s="184"/>
      <c r="O582" s="184"/>
      <c r="AB582" s="185"/>
      <c r="AC582" s="185"/>
      <c r="AD582" s="185"/>
      <c r="AE582" s="185"/>
    </row>
    <row r="583" ht="15.75" customHeight="1">
      <c r="C583" s="184"/>
      <c r="D583" s="184"/>
      <c r="E583" s="184"/>
      <c r="F583" s="184"/>
      <c r="G583" s="184"/>
      <c r="H583" s="184"/>
      <c r="I583" s="184"/>
      <c r="J583" s="184"/>
      <c r="K583" s="184"/>
      <c r="L583" s="184"/>
      <c r="M583" s="184"/>
      <c r="N583" s="184"/>
      <c r="O583" s="184"/>
      <c r="AB583" s="185"/>
      <c r="AC583" s="185"/>
      <c r="AD583" s="185"/>
      <c r="AE583" s="185"/>
    </row>
    <row r="584" ht="15.75" customHeight="1">
      <c r="C584" s="184"/>
      <c r="D584" s="184"/>
      <c r="E584" s="184"/>
      <c r="F584" s="184"/>
      <c r="G584" s="184"/>
      <c r="H584" s="184"/>
      <c r="I584" s="184"/>
      <c r="J584" s="184"/>
      <c r="K584" s="184"/>
      <c r="L584" s="184"/>
      <c r="M584" s="184"/>
      <c r="N584" s="184"/>
      <c r="O584" s="184"/>
      <c r="AB584" s="185"/>
      <c r="AC584" s="185"/>
      <c r="AD584" s="185"/>
      <c r="AE584" s="185"/>
    </row>
    <row r="585" ht="15.75" customHeight="1">
      <c r="C585" s="184"/>
      <c r="D585" s="184"/>
      <c r="E585" s="184"/>
      <c r="F585" s="184"/>
      <c r="G585" s="184"/>
      <c r="H585" s="184"/>
      <c r="I585" s="184"/>
      <c r="J585" s="184"/>
      <c r="K585" s="184"/>
      <c r="L585" s="184"/>
      <c r="M585" s="184"/>
      <c r="N585" s="184"/>
      <c r="O585" s="184"/>
      <c r="AB585" s="185"/>
      <c r="AC585" s="185"/>
      <c r="AD585" s="185"/>
      <c r="AE585" s="185"/>
    </row>
    <row r="586" ht="15.75" customHeight="1">
      <c r="C586" s="184"/>
      <c r="D586" s="184"/>
      <c r="E586" s="184"/>
      <c r="F586" s="184"/>
      <c r="G586" s="184"/>
      <c r="H586" s="184"/>
      <c r="I586" s="184"/>
      <c r="J586" s="184"/>
      <c r="K586" s="184"/>
      <c r="L586" s="184"/>
      <c r="M586" s="184"/>
      <c r="N586" s="184"/>
      <c r="O586" s="184"/>
      <c r="AB586" s="185"/>
      <c r="AC586" s="185"/>
      <c r="AD586" s="185"/>
      <c r="AE586" s="185"/>
    </row>
    <row r="587" ht="15.75" customHeight="1">
      <c r="C587" s="184"/>
      <c r="D587" s="184"/>
      <c r="E587" s="184"/>
      <c r="F587" s="184"/>
      <c r="G587" s="184"/>
      <c r="H587" s="184"/>
      <c r="I587" s="184"/>
      <c r="J587" s="184"/>
      <c r="K587" s="184"/>
      <c r="L587" s="184"/>
      <c r="M587" s="184"/>
      <c r="N587" s="184"/>
      <c r="O587" s="184"/>
      <c r="AB587" s="185"/>
      <c r="AC587" s="185"/>
      <c r="AD587" s="185"/>
      <c r="AE587" s="185"/>
    </row>
    <row r="588" ht="15.75" customHeight="1">
      <c r="C588" s="184"/>
      <c r="D588" s="184"/>
      <c r="E588" s="184"/>
      <c r="F588" s="184"/>
      <c r="G588" s="184"/>
      <c r="H588" s="184"/>
      <c r="I588" s="184"/>
      <c r="J588" s="184"/>
      <c r="K588" s="184"/>
      <c r="L588" s="184"/>
      <c r="M588" s="184"/>
      <c r="N588" s="184"/>
      <c r="O588" s="184"/>
      <c r="AB588" s="185"/>
      <c r="AC588" s="185"/>
      <c r="AD588" s="185"/>
      <c r="AE588" s="185"/>
    </row>
    <row r="589" ht="15.75" customHeight="1">
      <c r="C589" s="184"/>
      <c r="D589" s="184"/>
      <c r="E589" s="184"/>
      <c r="F589" s="184"/>
      <c r="G589" s="184"/>
      <c r="H589" s="184"/>
      <c r="I589" s="184"/>
      <c r="J589" s="184"/>
      <c r="K589" s="184"/>
      <c r="L589" s="184"/>
      <c r="M589" s="184"/>
      <c r="N589" s="184"/>
      <c r="O589" s="184"/>
      <c r="AB589" s="185"/>
      <c r="AC589" s="185"/>
      <c r="AD589" s="185"/>
      <c r="AE589" s="185"/>
    </row>
    <row r="590" ht="15.75" customHeight="1">
      <c r="C590" s="184"/>
      <c r="D590" s="184"/>
      <c r="E590" s="184"/>
      <c r="F590" s="184"/>
      <c r="G590" s="184"/>
      <c r="H590" s="184"/>
      <c r="I590" s="184"/>
      <c r="J590" s="184"/>
      <c r="K590" s="184"/>
      <c r="L590" s="184"/>
      <c r="M590" s="184"/>
      <c r="N590" s="184"/>
      <c r="O590" s="184"/>
      <c r="AB590" s="185"/>
      <c r="AC590" s="185"/>
      <c r="AD590" s="185"/>
      <c r="AE590" s="185"/>
    </row>
    <row r="591" ht="15.75" customHeight="1">
      <c r="C591" s="184"/>
      <c r="D591" s="184"/>
      <c r="E591" s="184"/>
      <c r="F591" s="184"/>
      <c r="G591" s="184"/>
      <c r="H591" s="184"/>
      <c r="I591" s="184"/>
      <c r="J591" s="184"/>
      <c r="K591" s="184"/>
      <c r="L591" s="184"/>
      <c r="M591" s="184"/>
      <c r="N591" s="184"/>
      <c r="O591" s="184"/>
      <c r="AB591" s="185"/>
      <c r="AC591" s="185"/>
      <c r="AD591" s="185"/>
      <c r="AE591" s="185"/>
    </row>
    <row r="592" ht="15.75" customHeight="1">
      <c r="C592" s="184"/>
      <c r="D592" s="184"/>
      <c r="E592" s="184"/>
      <c r="F592" s="184"/>
      <c r="G592" s="184"/>
      <c r="H592" s="184"/>
      <c r="I592" s="184"/>
      <c r="J592" s="184"/>
      <c r="K592" s="184"/>
      <c r="L592" s="184"/>
      <c r="M592" s="184"/>
      <c r="N592" s="184"/>
      <c r="O592" s="184"/>
      <c r="AB592" s="185"/>
      <c r="AC592" s="185"/>
      <c r="AD592" s="185"/>
      <c r="AE592" s="185"/>
    </row>
    <row r="593" ht="15.75" customHeight="1">
      <c r="C593" s="184"/>
      <c r="D593" s="184"/>
      <c r="E593" s="184"/>
      <c r="F593" s="184"/>
      <c r="G593" s="184"/>
      <c r="H593" s="184"/>
      <c r="I593" s="184"/>
      <c r="J593" s="184"/>
      <c r="K593" s="184"/>
      <c r="L593" s="184"/>
      <c r="M593" s="184"/>
      <c r="N593" s="184"/>
      <c r="O593" s="184"/>
      <c r="AB593" s="185"/>
      <c r="AC593" s="185"/>
      <c r="AD593" s="185"/>
      <c r="AE593" s="185"/>
    </row>
    <row r="594" ht="15.75" customHeight="1">
      <c r="C594" s="184"/>
      <c r="D594" s="184"/>
      <c r="E594" s="184"/>
      <c r="F594" s="184"/>
      <c r="G594" s="184"/>
      <c r="H594" s="184"/>
      <c r="I594" s="184"/>
      <c r="J594" s="184"/>
      <c r="K594" s="184"/>
      <c r="L594" s="184"/>
      <c r="M594" s="184"/>
      <c r="N594" s="184"/>
      <c r="O594" s="184"/>
      <c r="AB594" s="185"/>
      <c r="AC594" s="185"/>
      <c r="AD594" s="185"/>
      <c r="AE594" s="185"/>
    </row>
    <row r="595" ht="15.75" customHeight="1">
      <c r="C595" s="184"/>
      <c r="D595" s="184"/>
      <c r="E595" s="184"/>
      <c r="F595" s="184"/>
      <c r="G595" s="184"/>
      <c r="H595" s="184"/>
      <c r="I595" s="184"/>
      <c r="J595" s="184"/>
      <c r="K595" s="184"/>
      <c r="L595" s="184"/>
      <c r="M595" s="184"/>
      <c r="N595" s="184"/>
      <c r="O595" s="184"/>
      <c r="AB595" s="185"/>
      <c r="AC595" s="185"/>
      <c r="AD595" s="185"/>
      <c r="AE595" s="185"/>
    </row>
    <row r="596" ht="15.75" customHeight="1">
      <c r="C596" s="184"/>
      <c r="D596" s="184"/>
      <c r="E596" s="184"/>
      <c r="F596" s="184"/>
      <c r="G596" s="184"/>
      <c r="H596" s="184"/>
      <c r="I596" s="184"/>
      <c r="J596" s="184"/>
      <c r="K596" s="184"/>
      <c r="L596" s="184"/>
      <c r="M596" s="184"/>
      <c r="N596" s="184"/>
      <c r="O596" s="184"/>
      <c r="AB596" s="185"/>
      <c r="AC596" s="185"/>
      <c r="AD596" s="185"/>
      <c r="AE596" s="185"/>
    </row>
    <row r="597" ht="15.75" customHeight="1">
      <c r="C597" s="184"/>
      <c r="D597" s="184"/>
      <c r="E597" s="184"/>
      <c r="F597" s="184"/>
      <c r="G597" s="184"/>
      <c r="H597" s="184"/>
      <c r="I597" s="184"/>
      <c r="J597" s="184"/>
      <c r="K597" s="184"/>
      <c r="L597" s="184"/>
      <c r="M597" s="184"/>
      <c r="N597" s="184"/>
      <c r="O597" s="184"/>
      <c r="AB597" s="185"/>
      <c r="AC597" s="185"/>
      <c r="AD597" s="185"/>
      <c r="AE597" s="185"/>
    </row>
    <row r="598" ht="15.75" customHeight="1">
      <c r="C598" s="184"/>
      <c r="D598" s="184"/>
      <c r="E598" s="184"/>
      <c r="F598" s="184"/>
      <c r="G598" s="184"/>
      <c r="H598" s="184"/>
      <c r="I598" s="184"/>
      <c r="J598" s="184"/>
      <c r="K598" s="184"/>
      <c r="L598" s="184"/>
      <c r="M598" s="184"/>
      <c r="N598" s="184"/>
      <c r="O598" s="184"/>
      <c r="AB598" s="185"/>
      <c r="AC598" s="185"/>
      <c r="AD598" s="185"/>
      <c r="AE598" s="185"/>
    </row>
    <row r="599" ht="15.75" customHeight="1">
      <c r="C599" s="184"/>
      <c r="D599" s="184"/>
      <c r="E599" s="184"/>
      <c r="F599" s="184"/>
      <c r="G599" s="184"/>
      <c r="H599" s="184"/>
      <c r="I599" s="184"/>
      <c r="J599" s="184"/>
      <c r="K599" s="184"/>
      <c r="L599" s="184"/>
      <c r="M599" s="184"/>
      <c r="N599" s="184"/>
      <c r="O599" s="184"/>
      <c r="AB599" s="185"/>
      <c r="AC599" s="185"/>
      <c r="AD599" s="185"/>
      <c r="AE599" s="185"/>
    </row>
    <row r="600" ht="15.75" customHeight="1">
      <c r="C600" s="184"/>
      <c r="D600" s="184"/>
      <c r="E600" s="184"/>
      <c r="F600" s="184"/>
      <c r="G600" s="184"/>
      <c r="H600" s="184"/>
      <c r="I600" s="184"/>
      <c r="J600" s="184"/>
      <c r="K600" s="184"/>
      <c r="L600" s="184"/>
      <c r="M600" s="184"/>
      <c r="N600" s="184"/>
      <c r="O600" s="184"/>
      <c r="AB600" s="185"/>
      <c r="AC600" s="185"/>
      <c r="AD600" s="185"/>
      <c r="AE600" s="185"/>
    </row>
    <row r="601" ht="15.75" customHeight="1">
      <c r="C601" s="184"/>
      <c r="D601" s="184"/>
      <c r="E601" s="184"/>
      <c r="F601" s="184"/>
      <c r="G601" s="184"/>
      <c r="H601" s="184"/>
      <c r="I601" s="184"/>
      <c r="J601" s="184"/>
      <c r="K601" s="184"/>
      <c r="L601" s="184"/>
      <c r="M601" s="184"/>
      <c r="N601" s="184"/>
      <c r="O601" s="184"/>
      <c r="AB601" s="185"/>
      <c r="AC601" s="185"/>
      <c r="AD601" s="185"/>
      <c r="AE601" s="185"/>
    </row>
    <row r="602" ht="15.75" customHeight="1">
      <c r="C602" s="184"/>
      <c r="D602" s="184"/>
      <c r="E602" s="184"/>
      <c r="F602" s="184"/>
      <c r="G602" s="184"/>
      <c r="H602" s="184"/>
      <c r="I602" s="184"/>
      <c r="J602" s="184"/>
      <c r="K602" s="184"/>
      <c r="L602" s="184"/>
      <c r="M602" s="184"/>
      <c r="N602" s="184"/>
      <c r="O602" s="184"/>
      <c r="AB602" s="185"/>
      <c r="AC602" s="185"/>
      <c r="AD602" s="185"/>
      <c r="AE602" s="185"/>
    </row>
    <row r="603" ht="15.75" customHeight="1">
      <c r="C603" s="184"/>
      <c r="D603" s="184"/>
      <c r="E603" s="184"/>
      <c r="F603" s="184"/>
      <c r="G603" s="184"/>
      <c r="H603" s="184"/>
      <c r="I603" s="184"/>
      <c r="J603" s="184"/>
      <c r="K603" s="184"/>
      <c r="L603" s="184"/>
      <c r="M603" s="184"/>
      <c r="N603" s="184"/>
      <c r="O603" s="184"/>
      <c r="AB603" s="185"/>
      <c r="AC603" s="185"/>
      <c r="AD603" s="185"/>
      <c r="AE603" s="185"/>
    </row>
    <row r="604" ht="15.75" customHeight="1">
      <c r="C604" s="184"/>
      <c r="D604" s="184"/>
      <c r="E604" s="184"/>
      <c r="F604" s="184"/>
      <c r="G604" s="184"/>
      <c r="H604" s="184"/>
      <c r="I604" s="184"/>
      <c r="J604" s="184"/>
      <c r="K604" s="184"/>
      <c r="L604" s="184"/>
      <c r="M604" s="184"/>
      <c r="N604" s="184"/>
      <c r="O604" s="184"/>
      <c r="AB604" s="185"/>
      <c r="AC604" s="185"/>
      <c r="AD604" s="185"/>
      <c r="AE604" s="185"/>
    </row>
    <row r="605" ht="15.75" customHeight="1">
      <c r="C605" s="184"/>
      <c r="D605" s="184"/>
      <c r="E605" s="184"/>
      <c r="F605" s="184"/>
      <c r="G605" s="184"/>
      <c r="H605" s="184"/>
      <c r="I605" s="184"/>
      <c r="J605" s="184"/>
      <c r="K605" s="184"/>
      <c r="L605" s="184"/>
      <c r="M605" s="184"/>
      <c r="N605" s="184"/>
      <c r="O605" s="184"/>
      <c r="AB605" s="185"/>
      <c r="AC605" s="185"/>
      <c r="AD605" s="185"/>
      <c r="AE605" s="185"/>
    </row>
    <row r="606" ht="15.75" customHeight="1">
      <c r="C606" s="184"/>
      <c r="D606" s="184"/>
      <c r="E606" s="184"/>
      <c r="F606" s="184"/>
      <c r="G606" s="184"/>
      <c r="H606" s="184"/>
      <c r="I606" s="184"/>
      <c r="J606" s="184"/>
      <c r="K606" s="184"/>
      <c r="L606" s="184"/>
      <c r="M606" s="184"/>
      <c r="N606" s="184"/>
      <c r="O606" s="184"/>
      <c r="AB606" s="185"/>
      <c r="AC606" s="185"/>
      <c r="AD606" s="185"/>
      <c r="AE606" s="185"/>
    </row>
    <row r="607" ht="15.75" customHeight="1">
      <c r="C607" s="184"/>
      <c r="D607" s="184"/>
      <c r="E607" s="184"/>
      <c r="F607" s="184"/>
      <c r="G607" s="184"/>
      <c r="H607" s="184"/>
      <c r="I607" s="184"/>
      <c r="J607" s="184"/>
      <c r="K607" s="184"/>
      <c r="L607" s="184"/>
      <c r="M607" s="184"/>
      <c r="N607" s="184"/>
      <c r="O607" s="184"/>
      <c r="AB607" s="185"/>
      <c r="AC607" s="185"/>
      <c r="AD607" s="185"/>
      <c r="AE607" s="185"/>
    </row>
    <row r="608" ht="15.75" customHeight="1">
      <c r="C608" s="184"/>
      <c r="D608" s="184"/>
      <c r="E608" s="184"/>
      <c r="F608" s="184"/>
      <c r="G608" s="184"/>
      <c r="H608" s="184"/>
      <c r="I608" s="184"/>
      <c r="J608" s="184"/>
      <c r="K608" s="184"/>
      <c r="L608" s="184"/>
      <c r="M608" s="184"/>
      <c r="N608" s="184"/>
      <c r="O608" s="184"/>
      <c r="AB608" s="185"/>
      <c r="AC608" s="185"/>
      <c r="AD608" s="185"/>
      <c r="AE608" s="185"/>
    </row>
    <row r="609" ht="15.75" customHeight="1">
      <c r="C609" s="184"/>
      <c r="D609" s="184"/>
      <c r="E609" s="184"/>
      <c r="F609" s="184"/>
      <c r="G609" s="184"/>
      <c r="H609" s="184"/>
      <c r="I609" s="184"/>
      <c r="J609" s="184"/>
      <c r="K609" s="184"/>
      <c r="L609" s="184"/>
      <c r="M609" s="184"/>
      <c r="N609" s="184"/>
      <c r="O609" s="184"/>
      <c r="AB609" s="185"/>
      <c r="AC609" s="185"/>
      <c r="AD609" s="185"/>
      <c r="AE609" s="185"/>
    </row>
    <row r="610" ht="15.75" customHeight="1">
      <c r="C610" s="184"/>
      <c r="D610" s="184"/>
      <c r="E610" s="184"/>
      <c r="F610" s="184"/>
      <c r="G610" s="184"/>
      <c r="H610" s="184"/>
      <c r="I610" s="184"/>
      <c r="J610" s="184"/>
      <c r="K610" s="184"/>
      <c r="L610" s="184"/>
      <c r="M610" s="184"/>
      <c r="N610" s="184"/>
      <c r="O610" s="184"/>
      <c r="AB610" s="185"/>
      <c r="AC610" s="185"/>
      <c r="AD610" s="185"/>
      <c r="AE610" s="185"/>
    </row>
    <row r="611" ht="15.75" customHeight="1">
      <c r="C611" s="184"/>
      <c r="D611" s="184"/>
      <c r="E611" s="184"/>
      <c r="F611" s="184"/>
      <c r="G611" s="184"/>
      <c r="H611" s="184"/>
      <c r="I611" s="184"/>
      <c r="J611" s="184"/>
      <c r="K611" s="184"/>
      <c r="L611" s="184"/>
      <c r="M611" s="184"/>
      <c r="N611" s="184"/>
      <c r="O611" s="184"/>
      <c r="AB611" s="185"/>
      <c r="AC611" s="185"/>
      <c r="AD611" s="185"/>
      <c r="AE611" s="185"/>
    </row>
    <row r="612" ht="15.75" customHeight="1">
      <c r="C612" s="184"/>
      <c r="D612" s="184"/>
      <c r="E612" s="184"/>
      <c r="F612" s="184"/>
      <c r="G612" s="184"/>
      <c r="H612" s="184"/>
      <c r="I612" s="184"/>
      <c r="J612" s="184"/>
      <c r="K612" s="184"/>
      <c r="L612" s="184"/>
      <c r="M612" s="184"/>
      <c r="N612" s="184"/>
      <c r="O612" s="184"/>
      <c r="AB612" s="185"/>
      <c r="AC612" s="185"/>
      <c r="AD612" s="185"/>
      <c r="AE612" s="185"/>
    </row>
    <row r="613" ht="15.75" customHeight="1">
      <c r="C613" s="184"/>
      <c r="D613" s="184"/>
      <c r="E613" s="184"/>
      <c r="F613" s="184"/>
      <c r="G613" s="184"/>
      <c r="H613" s="184"/>
      <c r="I613" s="184"/>
      <c r="J613" s="184"/>
      <c r="K613" s="184"/>
      <c r="L613" s="184"/>
      <c r="M613" s="184"/>
      <c r="N613" s="184"/>
      <c r="O613" s="184"/>
      <c r="AB613" s="185"/>
      <c r="AC613" s="185"/>
      <c r="AD613" s="185"/>
      <c r="AE613" s="185"/>
    </row>
    <row r="614" ht="15.75" customHeight="1">
      <c r="C614" s="184"/>
      <c r="D614" s="184"/>
      <c r="E614" s="184"/>
      <c r="F614" s="184"/>
      <c r="G614" s="184"/>
      <c r="H614" s="184"/>
      <c r="I614" s="184"/>
      <c r="J614" s="184"/>
      <c r="K614" s="184"/>
      <c r="L614" s="184"/>
      <c r="M614" s="184"/>
      <c r="N614" s="184"/>
      <c r="O614" s="184"/>
      <c r="AB614" s="185"/>
      <c r="AC614" s="185"/>
      <c r="AD614" s="185"/>
      <c r="AE614" s="185"/>
    </row>
    <row r="615" ht="15.75" customHeight="1">
      <c r="C615" s="184"/>
      <c r="D615" s="184"/>
      <c r="E615" s="184"/>
      <c r="F615" s="184"/>
      <c r="G615" s="184"/>
      <c r="H615" s="184"/>
      <c r="I615" s="184"/>
      <c r="J615" s="184"/>
      <c r="K615" s="184"/>
      <c r="L615" s="184"/>
      <c r="M615" s="184"/>
      <c r="N615" s="184"/>
      <c r="O615" s="184"/>
      <c r="AB615" s="185"/>
      <c r="AC615" s="185"/>
      <c r="AD615" s="185"/>
      <c r="AE615" s="185"/>
    </row>
    <row r="616" ht="15.75" customHeight="1">
      <c r="C616" s="184"/>
      <c r="D616" s="184"/>
      <c r="E616" s="184"/>
      <c r="F616" s="184"/>
      <c r="G616" s="184"/>
      <c r="H616" s="184"/>
      <c r="I616" s="184"/>
      <c r="J616" s="184"/>
      <c r="K616" s="184"/>
      <c r="L616" s="184"/>
      <c r="M616" s="184"/>
      <c r="N616" s="184"/>
      <c r="O616" s="184"/>
      <c r="AB616" s="185"/>
      <c r="AC616" s="185"/>
      <c r="AD616" s="185"/>
      <c r="AE616" s="185"/>
    </row>
    <row r="617" ht="15.75" customHeight="1">
      <c r="C617" s="184"/>
      <c r="D617" s="184"/>
      <c r="E617" s="184"/>
      <c r="F617" s="184"/>
      <c r="G617" s="184"/>
      <c r="H617" s="184"/>
      <c r="I617" s="184"/>
      <c r="J617" s="184"/>
      <c r="K617" s="184"/>
      <c r="L617" s="184"/>
      <c r="M617" s="184"/>
      <c r="N617" s="184"/>
      <c r="O617" s="184"/>
      <c r="AB617" s="185"/>
      <c r="AC617" s="185"/>
      <c r="AD617" s="185"/>
      <c r="AE617" s="185"/>
    </row>
    <row r="618" ht="15.75" customHeight="1">
      <c r="C618" s="184"/>
      <c r="D618" s="184"/>
      <c r="E618" s="184"/>
      <c r="F618" s="184"/>
      <c r="G618" s="184"/>
      <c r="H618" s="184"/>
      <c r="I618" s="184"/>
      <c r="J618" s="184"/>
      <c r="K618" s="184"/>
      <c r="L618" s="184"/>
      <c r="M618" s="184"/>
      <c r="N618" s="184"/>
      <c r="O618" s="184"/>
      <c r="AB618" s="185"/>
      <c r="AC618" s="185"/>
      <c r="AD618" s="185"/>
      <c r="AE618" s="185"/>
    </row>
    <row r="619" ht="15.75" customHeight="1">
      <c r="C619" s="184"/>
      <c r="D619" s="184"/>
      <c r="E619" s="184"/>
      <c r="F619" s="184"/>
      <c r="G619" s="184"/>
      <c r="H619" s="184"/>
      <c r="I619" s="184"/>
      <c r="J619" s="184"/>
      <c r="K619" s="184"/>
      <c r="L619" s="184"/>
      <c r="M619" s="184"/>
      <c r="N619" s="184"/>
      <c r="O619" s="184"/>
      <c r="AB619" s="185"/>
      <c r="AC619" s="185"/>
      <c r="AD619" s="185"/>
      <c r="AE619" s="185"/>
    </row>
    <row r="620" ht="15.75" customHeight="1">
      <c r="C620" s="184"/>
      <c r="D620" s="184"/>
      <c r="E620" s="184"/>
      <c r="F620" s="184"/>
      <c r="G620" s="184"/>
      <c r="H620" s="184"/>
      <c r="I620" s="184"/>
      <c r="J620" s="184"/>
      <c r="K620" s="184"/>
      <c r="L620" s="184"/>
      <c r="M620" s="184"/>
      <c r="N620" s="184"/>
      <c r="O620" s="184"/>
      <c r="AB620" s="185"/>
      <c r="AC620" s="185"/>
      <c r="AD620" s="185"/>
      <c r="AE620" s="185"/>
    </row>
    <row r="621" ht="15.75" customHeight="1">
      <c r="C621" s="184"/>
      <c r="D621" s="184"/>
      <c r="E621" s="184"/>
      <c r="F621" s="184"/>
      <c r="G621" s="184"/>
      <c r="H621" s="184"/>
      <c r="I621" s="184"/>
      <c r="J621" s="184"/>
      <c r="K621" s="184"/>
      <c r="L621" s="184"/>
      <c r="M621" s="184"/>
      <c r="N621" s="184"/>
      <c r="O621" s="184"/>
      <c r="AB621" s="185"/>
      <c r="AC621" s="185"/>
      <c r="AD621" s="185"/>
      <c r="AE621" s="185"/>
    </row>
    <row r="622" ht="15.75" customHeight="1">
      <c r="C622" s="184"/>
      <c r="D622" s="184"/>
      <c r="E622" s="184"/>
      <c r="F622" s="184"/>
      <c r="G622" s="184"/>
      <c r="H622" s="184"/>
      <c r="I622" s="184"/>
      <c r="J622" s="184"/>
      <c r="K622" s="184"/>
      <c r="L622" s="184"/>
      <c r="M622" s="184"/>
      <c r="N622" s="184"/>
      <c r="O622" s="184"/>
      <c r="AB622" s="185"/>
      <c r="AC622" s="185"/>
      <c r="AD622" s="185"/>
      <c r="AE622" s="185"/>
    </row>
    <row r="623" ht="15.75" customHeight="1">
      <c r="C623" s="184"/>
      <c r="D623" s="184"/>
      <c r="E623" s="184"/>
      <c r="F623" s="184"/>
      <c r="G623" s="184"/>
      <c r="H623" s="184"/>
      <c r="I623" s="184"/>
      <c r="J623" s="184"/>
      <c r="K623" s="184"/>
      <c r="L623" s="184"/>
      <c r="M623" s="184"/>
      <c r="N623" s="184"/>
      <c r="O623" s="184"/>
      <c r="AB623" s="185"/>
      <c r="AC623" s="185"/>
      <c r="AD623" s="185"/>
      <c r="AE623" s="185"/>
    </row>
    <row r="624" ht="15.75" customHeight="1">
      <c r="C624" s="184"/>
      <c r="D624" s="184"/>
      <c r="E624" s="184"/>
      <c r="F624" s="184"/>
      <c r="G624" s="184"/>
      <c r="H624" s="184"/>
      <c r="I624" s="184"/>
      <c r="J624" s="184"/>
      <c r="K624" s="184"/>
      <c r="L624" s="184"/>
      <c r="M624" s="184"/>
      <c r="N624" s="184"/>
      <c r="O624" s="184"/>
      <c r="AB624" s="185"/>
      <c r="AC624" s="185"/>
      <c r="AD624" s="185"/>
      <c r="AE624" s="185"/>
    </row>
    <row r="625" ht="15.75" customHeight="1">
      <c r="C625" s="184"/>
      <c r="D625" s="184"/>
      <c r="E625" s="184"/>
      <c r="F625" s="184"/>
      <c r="G625" s="184"/>
      <c r="H625" s="184"/>
      <c r="I625" s="184"/>
      <c r="J625" s="184"/>
      <c r="K625" s="184"/>
      <c r="L625" s="184"/>
      <c r="M625" s="184"/>
      <c r="N625" s="184"/>
      <c r="O625" s="184"/>
      <c r="AB625" s="185"/>
      <c r="AC625" s="185"/>
      <c r="AD625" s="185"/>
      <c r="AE625" s="185"/>
    </row>
    <row r="626" ht="15.75" customHeight="1">
      <c r="C626" s="184"/>
      <c r="D626" s="184"/>
      <c r="E626" s="184"/>
      <c r="F626" s="184"/>
      <c r="G626" s="184"/>
      <c r="H626" s="184"/>
      <c r="I626" s="184"/>
      <c r="J626" s="184"/>
      <c r="K626" s="184"/>
      <c r="L626" s="184"/>
      <c r="M626" s="184"/>
      <c r="N626" s="184"/>
      <c r="O626" s="184"/>
      <c r="AB626" s="185"/>
      <c r="AC626" s="185"/>
      <c r="AD626" s="185"/>
      <c r="AE626" s="185"/>
    </row>
    <row r="627" ht="15.75" customHeight="1">
      <c r="C627" s="184"/>
      <c r="D627" s="184"/>
      <c r="E627" s="184"/>
      <c r="F627" s="184"/>
      <c r="G627" s="184"/>
      <c r="H627" s="184"/>
      <c r="I627" s="184"/>
      <c r="J627" s="184"/>
      <c r="K627" s="184"/>
      <c r="L627" s="184"/>
      <c r="M627" s="184"/>
      <c r="N627" s="184"/>
      <c r="O627" s="184"/>
      <c r="AB627" s="185"/>
      <c r="AC627" s="185"/>
      <c r="AD627" s="185"/>
      <c r="AE627" s="185"/>
    </row>
    <row r="628" ht="15.75" customHeight="1">
      <c r="C628" s="184"/>
      <c r="D628" s="184"/>
      <c r="E628" s="184"/>
      <c r="F628" s="184"/>
      <c r="G628" s="184"/>
      <c r="H628" s="184"/>
      <c r="I628" s="184"/>
      <c r="J628" s="184"/>
      <c r="K628" s="184"/>
      <c r="L628" s="184"/>
      <c r="M628" s="184"/>
      <c r="N628" s="184"/>
      <c r="O628" s="184"/>
      <c r="AB628" s="185"/>
      <c r="AC628" s="185"/>
      <c r="AD628" s="185"/>
      <c r="AE628" s="185"/>
    </row>
    <row r="629" ht="15.75" customHeight="1">
      <c r="C629" s="184"/>
      <c r="D629" s="184"/>
      <c r="E629" s="184"/>
      <c r="F629" s="184"/>
      <c r="G629" s="184"/>
      <c r="H629" s="184"/>
      <c r="I629" s="184"/>
      <c r="J629" s="184"/>
      <c r="K629" s="184"/>
      <c r="L629" s="184"/>
      <c r="M629" s="184"/>
      <c r="N629" s="184"/>
      <c r="O629" s="184"/>
      <c r="AB629" s="185"/>
      <c r="AC629" s="185"/>
      <c r="AD629" s="185"/>
      <c r="AE629" s="185"/>
    </row>
    <row r="630" ht="15.75" customHeight="1">
      <c r="C630" s="184"/>
      <c r="D630" s="184"/>
      <c r="E630" s="184"/>
      <c r="F630" s="184"/>
      <c r="G630" s="184"/>
      <c r="H630" s="184"/>
      <c r="I630" s="184"/>
      <c r="J630" s="184"/>
      <c r="K630" s="184"/>
      <c r="L630" s="184"/>
      <c r="M630" s="184"/>
      <c r="N630" s="184"/>
      <c r="O630" s="184"/>
      <c r="AB630" s="185"/>
      <c r="AC630" s="185"/>
      <c r="AD630" s="185"/>
      <c r="AE630" s="185"/>
    </row>
    <row r="631" ht="15.75" customHeight="1">
      <c r="C631" s="184"/>
      <c r="D631" s="184"/>
      <c r="E631" s="184"/>
      <c r="F631" s="184"/>
      <c r="G631" s="184"/>
      <c r="H631" s="184"/>
      <c r="I631" s="184"/>
      <c r="J631" s="184"/>
      <c r="K631" s="184"/>
      <c r="L631" s="184"/>
      <c r="M631" s="184"/>
      <c r="N631" s="184"/>
      <c r="O631" s="184"/>
      <c r="AB631" s="185"/>
      <c r="AC631" s="185"/>
      <c r="AD631" s="185"/>
      <c r="AE631" s="185"/>
    </row>
    <row r="632" ht="15.75" customHeight="1">
      <c r="C632" s="184"/>
      <c r="D632" s="184"/>
      <c r="E632" s="184"/>
      <c r="F632" s="184"/>
      <c r="G632" s="184"/>
      <c r="H632" s="184"/>
      <c r="I632" s="184"/>
      <c r="J632" s="184"/>
      <c r="K632" s="184"/>
      <c r="L632" s="184"/>
      <c r="M632" s="184"/>
      <c r="N632" s="184"/>
      <c r="O632" s="184"/>
      <c r="AB632" s="185"/>
      <c r="AC632" s="185"/>
      <c r="AD632" s="185"/>
      <c r="AE632" s="185"/>
    </row>
    <row r="633" ht="15.75" customHeight="1">
      <c r="C633" s="184"/>
      <c r="D633" s="184"/>
      <c r="E633" s="184"/>
      <c r="F633" s="184"/>
      <c r="G633" s="184"/>
      <c r="H633" s="184"/>
      <c r="I633" s="184"/>
      <c r="J633" s="184"/>
      <c r="K633" s="184"/>
      <c r="L633" s="184"/>
      <c r="M633" s="184"/>
      <c r="N633" s="184"/>
      <c r="O633" s="184"/>
      <c r="AB633" s="185"/>
      <c r="AC633" s="185"/>
      <c r="AD633" s="185"/>
      <c r="AE633" s="185"/>
    </row>
    <row r="634" ht="15.75" customHeight="1">
      <c r="C634" s="184"/>
      <c r="D634" s="184"/>
      <c r="E634" s="184"/>
      <c r="F634" s="184"/>
      <c r="G634" s="184"/>
      <c r="H634" s="184"/>
      <c r="I634" s="184"/>
      <c r="J634" s="184"/>
      <c r="K634" s="184"/>
      <c r="L634" s="184"/>
      <c r="M634" s="184"/>
      <c r="N634" s="184"/>
      <c r="O634" s="184"/>
      <c r="AB634" s="185"/>
      <c r="AC634" s="185"/>
      <c r="AD634" s="185"/>
      <c r="AE634" s="185"/>
    </row>
    <row r="635" ht="15.75" customHeight="1">
      <c r="C635" s="184"/>
      <c r="D635" s="184"/>
      <c r="E635" s="184"/>
      <c r="F635" s="184"/>
      <c r="G635" s="184"/>
      <c r="H635" s="184"/>
      <c r="I635" s="184"/>
      <c r="J635" s="184"/>
      <c r="K635" s="184"/>
      <c r="L635" s="184"/>
      <c r="M635" s="184"/>
      <c r="N635" s="184"/>
      <c r="O635" s="184"/>
      <c r="AB635" s="185"/>
      <c r="AC635" s="185"/>
      <c r="AD635" s="185"/>
      <c r="AE635" s="185"/>
    </row>
    <row r="636" ht="15.75" customHeight="1">
      <c r="C636" s="184"/>
      <c r="D636" s="184"/>
      <c r="E636" s="184"/>
      <c r="F636" s="184"/>
      <c r="G636" s="184"/>
      <c r="H636" s="184"/>
      <c r="I636" s="184"/>
      <c r="J636" s="184"/>
      <c r="K636" s="184"/>
      <c r="L636" s="184"/>
      <c r="M636" s="184"/>
      <c r="N636" s="184"/>
      <c r="O636" s="184"/>
      <c r="AB636" s="185"/>
      <c r="AC636" s="185"/>
      <c r="AD636" s="185"/>
      <c r="AE636" s="185"/>
    </row>
    <row r="637" ht="15.75" customHeight="1">
      <c r="C637" s="184"/>
      <c r="D637" s="184"/>
      <c r="E637" s="184"/>
      <c r="F637" s="184"/>
      <c r="G637" s="184"/>
      <c r="H637" s="184"/>
      <c r="I637" s="184"/>
      <c r="J637" s="184"/>
      <c r="K637" s="184"/>
      <c r="L637" s="184"/>
      <c r="M637" s="184"/>
      <c r="N637" s="184"/>
      <c r="O637" s="184"/>
      <c r="AB637" s="185"/>
      <c r="AC637" s="185"/>
      <c r="AD637" s="185"/>
      <c r="AE637" s="185"/>
    </row>
    <row r="638" ht="15.75" customHeight="1">
      <c r="C638" s="184"/>
      <c r="D638" s="184"/>
      <c r="E638" s="184"/>
      <c r="F638" s="184"/>
      <c r="G638" s="184"/>
      <c r="H638" s="184"/>
      <c r="I638" s="184"/>
      <c r="J638" s="184"/>
      <c r="K638" s="184"/>
      <c r="L638" s="184"/>
      <c r="M638" s="184"/>
      <c r="N638" s="184"/>
      <c r="O638" s="184"/>
      <c r="AB638" s="185"/>
      <c r="AC638" s="185"/>
      <c r="AD638" s="185"/>
      <c r="AE638" s="185"/>
    </row>
    <row r="639" ht="15.75" customHeight="1">
      <c r="C639" s="184"/>
      <c r="D639" s="184"/>
      <c r="E639" s="184"/>
      <c r="F639" s="184"/>
      <c r="G639" s="184"/>
      <c r="H639" s="184"/>
      <c r="I639" s="184"/>
      <c r="J639" s="184"/>
      <c r="K639" s="184"/>
      <c r="L639" s="184"/>
      <c r="M639" s="184"/>
      <c r="N639" s="184"/>
      <c r="O639" s="184"/>
      <c r="AB639" s="185"/>
      <c r="AC639" s="185"/>
      <c r="AD639" s="185"/>
      <c r="AE639" s="185"/>
    </row>
    <row r="640" ht="15.75" customHeight="1">
      <c r="C640" s="184"/>
      <c r="D640" s="184"/>
      <c r="E640" s="184"/>
      <c r="F640" s="184"/>
      <c r="G640" s="184"/>
      <c r="H640" s="184"/>
      <c r="I640" s="184"/>
      <c r="J640" s="184"/>
      <c r="K640" s="184"/>
      <c r="L640" s="184"/>
      <c r="M640" s="184"/>
      <c r="N640" s="184"/>
      <c r="O640" s="184"/>
      <c r="AB640" s="185"/>
      <c r="AC640" s="185"/>
      <c r="AD640" s="185"/>
      <c r="AE640" s="185"/>
    </row>
    <row r="641" ht="15.75" customHeight="1">
      <c r="C641" s="184"/>
      <c r="D641" s="184"/>
      <c r="E641" s="184"/>
      <c r="F641" s="184"/>
      <c r="G641" s="184"/>
      <c r="H641" s="184"/>
      <c r="I641" s="184"/>
      <c r="J641" s="184"/>
      <c r="K641" s="184"/>
      <c r="L641" s="184"/>
      <c r="M641" s="184"/>
      <c r="N641" s="184"/>
      <c r="O641" s="184"/>
      <c r="AB641" s="185"/>
      <c r="AC641" s="185"/>
      <c r="AD641" s="185"/>
      <c r="AE641" s="185"/>
    </row>
    <row r="642" ht="15.75" customHeight="1">
      <c r="C642" s="184"/>
      <c r="D642" s="184"/>
      <c r="E642" s="184"/>
      <c r="F642" s="184"/>
      <c r="G642" s="184"/>
      <c r="H642" s="184"/>
      <c r="I642" s="184"/>
      <c r="J642" s="184"/>
      <c r="K642" s="184"/>
      <c r="L642" s="184"/>
      <c r="M642" s="184"/>
      <c r="N642" s="184"/>
      <c r="O642" s="184"/>
      <c r="AB642" s="185"/>
      <c r="AC642" s="185"/>
      <c r="AD642" s="185"/>
      <c r="AE642" s="185"/>
    </row>
    <row r="643" ht="15.75" customHeight="1">
      <c r="C643" s="184"/>
      <c r="D643" s="184"/>
      <c r="E643" s="184"/>
      <c r="F643" s="184"/>
      <c r="G643" s="184"/>
      <c r="H643" s="184"/>
      <c r="I643" s="184"/>
      <c r="J643" s="184"/>
      <c r="K643" s="184"/>
      <c r="L643" s="184"/>
      <c r="M643" s="184"/>
      <c r="N643" s="184"/>
      <c r="O643" s="184"/>
      <c r="AB643" s="185"/>
      <c r="AC643" s="185"/>
      <c r="AD643" s="185"/>
      <c r="AE643" s="185"/>
    </row>
    <row r="644" ht="15.75" customHeight="1">
      <c r="C644" s="184"/>
      <c r="D644" s="184"/>
      <c r="E644" s="184"/>
      <c r="F644" s="184"/>
      <c r="G644" s="184"/>
      <c r="H644" s="184"/>
      <c r="I644" s="184"/>
      <c r="J644" s="184"/>
      <c r="K644" s="184"/>
      <c r="L644" s="184"/>
      <c r="M644" s="184"/>
      <c r="N644" s="184"/>
      <c r="O644" s="184"/>
      <c r="AB644" s="185"/>
      <c r="AC644" s="185"/>
      <c r="AD644" s="185"/>
      <c r="AE644" s="185"/>
    </row>
    <row r="645" ht="15.75" customHeight="1">
      <c r="C645" s="184"/>
      <c r="D645" s="184"/>
      <c r="E645" s="184"/>
      <c r="F645" s="184"/>
      <c r="G645" s="184"/>
      <c r="H645" s="184"/>
      <c r="I645" s="184"/>
      <c r="J645" s="184"/>
      <c r="K645" s="184"/>
      <c r="L645" s="184"/>
      <c r="M645" s="184"/>
      <c r="N645" s="184"/>
      <c r="O645" s="184"/>
      <c r="AB645" s="185"/>
      <c r="AC645" s="185"/>
      <c r="AD645" s="185"/>
      <c r="AE645" s="185"/>
    </row>
    <row r="646" ht="15.75" customHeight="1">
      <c r="C646" s="184"/>
      <c r="D646" s="184"/>
      <c r="E646" s="184"/>
      <c r="F646" s="184"/>
      <c r="G646" s="184"/>
      <c r="H646" s="184"/>
      <c r="I646" s="184"/>
      <c r="J646" s="184"/>
      <c r="K646" s="184"/>
      <c r="L646" s="184"/>
      <c r="M646" s="184"/>
      <c r="N646" s="184"/>
      <c r="O646" s="184"/>
      <c r="AB646" s="185"/>
      <c r="AC646" s="185"/>
      <c r="AD646" s="185"/>
      <c r="AE646" s="185"/>
    </row>
    <row r="647" ht="15.75" customHeight="1">
      <c r="C647" s="184"/>
      <c r="D647" s="184"/>
      <c r="E647" s="184"/>
      <c r="F647" s="184"/>
      <c r="G647" s="184"/>
      <c r="H647" s="184"/>
      <c r="I647" s="184"/>
      <c r="J647" s="184"/>
      <c r="K647" s="184"/>
      <c r="L647" s="184"/>
      <c r="M647" s="184"/>
      <c r="N647" s="184"/>
      <c r="O647" s="184"/>
      <c r="AB647" s="185"/>
      <c r="AC647" s="185"/>
      <c r="AD647" s="185"/>
      <c r="AE647" s="185"/>
    </row>
    <row r="648" ht="15.75" customHeight="1">
      <c r="C648" s="184"/>
      <c r="D648" s="184"/>
      <c r="E648" s="184"/>
      <c r="F648" s="184"/>
      <c r="G648" s="184"/>
      <c r="H648" s="184"/>
      <c r="I648" s="184"/>
      <c r="J648" s="184"/>
      <c r="K648" s="184"/>
      <c r="L648" s="184"/>
      <c r="M648" s="184"/>
      <c r="N648" s="184"/>
      <c r="O648" s="184"/>
      <c r="AB648" s="185"/>
      <c r="AC648" s="185"/>
      <c r="AD648" s="185"/>
      <c r="AE648" s="185"/>
    </row>
    <row r="649" ht="15.75" customHeight="1">
      <c r="C649" s="184"/>
      <c r="D649" s="184"/>
      <c r="E649" s="184"/>
      <c r="F649" s="184"/>
      <c r="G649" s="184"/>
      <c r="H649" s="184"/>
      <c r="I649" s="184"/>
      <c r="J649" s="184"/>
      <c r="K649" s="184"/>
      <c r="L649" s="184"/>
      <c r="M649" s="184"/>
      <c r="N649" s="184"/>
      <c r="O649" s="184"/>
      <c r="AB649" s="185"/>
      <c r="AC649" s="185"/>
      <c r="AD649" s="185"/>
      <c r="AE649" s="185"/>
    </row>
    <row r="650" ht="15.75" customHeight="1">
      <c r="C650" s="184"/>
      <c r="D650" s="184"/>
      <c r="E650" s="184"/>
      <c r="F650" s="184"/>
      <c r="G650" s="184"/>
      <c r="H650" s="184"/>
      <c r="I650" s="184"/>
      <c r="J650" s="184"/>
      <c r="K650" s="184"/>
      <c r="L650" s="184"/>
      <c r="M650" s="184"/>
      <c r="N650" s="184"/>
      <c r="O650" s="184"/>
      <c r="AB650" s="185"/>
      <c r="AC650" s="185"/>
      <c r="AD650" s="185"/>
      <c r="AE650" s="185"/>
    </row>
    <row r="651" ht="15.75" customHeight="1">
      <c r="C651" s="184"/>
      <c r="D651" s="184"/>
      <c r="E651" s="184"/>
      <c r="F651" s="184"/>
      <c r="G651" s="184"/>
      <c r="H651" s="184"/>
      <c r="I651" s="184"/>
      <c r="J651" s="184"/>
      <c r="K651" s="184"/>
      <c r="L651" s="184"/>
      <c r="M651" s="184"/>
      <c r="N651" s="184"/>
      <c r="O651" s="184"/>
      <c r="AB651" s="185"/>
      <c r="AC651" s="185"/>
      <c r="AD651" s="185"/>
      <c r="AE651" s="185"/>
    </row>
    <row r="652" ht="15.75" customHeight="1">
      <c r="C652" s="184"/>
      <c r="D652" s="184"/>
      <c r="E652" s="184"/>
      <c r="F652" s="184"/>
      <c r="G652" s="184"/>
      <c r="H652" s="184"/>
      <c r="I652" s="184"/>
      <c r="J652" s="184"/>
      <c r="K652" s="184"/>
      <c r="L652" s="184"/>
      <c r="M652" s="184"/>
      <c r="N652" s="184"/>
      <c r="O652" s="184"/>
      <c r="AB652" s="185"/>
      <c r="AC652" s="185"/>
      <c r="AD652" s="185"/>
      <c r="AE652" s="185"/>
    </row>
    <row r="653" ht="15.75" customHeight="1">
      <c r="C653" s="184"/>
      <c r="D653" s="184"/>
      <c r="E653" s="184"/>
      <c r="F653" s="184"/>
      <c r="G653" s="184"/>
      <c r="H653" s="184"/>
      <c r="I653" s="184"/>
      <c r="J653" s="184"/>
      <c r="K653" s="184"/>
      <c r="L653" s="184"/>
      <c r="M653" s="184"/>
      <c r="N653" s="184"/>
      <c r="O653" s="184"/>
      <c r="AB653" s="185"/>
      <c r="AC653" s="185"/>
      <c r="AD653" s="185"/>
      <c r="AE653" s="185"/>
    </row>
    <row r="654" ht="15.75" customHeight="1">
      <c r="C654" s="184"/>
      <c r="D654" s="184"/>
      <c r="E654" s="184"/>
      <c r="F654" s="184"/>
      <c r="G654" s="184"/>
      <c r="H654" s="184"/>
      <c r="I654" s="184"/>
      <c r="J654" s="184"/>
      <c r="K654" s="184"/>
      <c r="L654" s="184"/>
      <c r="M654" s="184"/>
      <c r="N654" s="184"/>
      <c r="O654" s="184"/>
      <c r="AB654" s="185"/>
      <c r="AC654" s="185"/>
      <c r="AD654" s="185"/>
      <c r="AE654" s="185"/>
    </row>
    <row r="655" ht="15.75" customHeight="1">
      <c r="C655" s="184"/>
      <c r="D655" s="184"/>
      <c r="E655" s="184"/>
      <c r="F655" s="184"/>
      <c r="G655" s="184"/>
      <c r="H655" s="184"/>
      <c r="I655" s="184"/>
      <c r="J655" s="184"/>
      <c r="K655" s="184"/>
      <c r="L655" s="184"/>
      <c r="M655" s="184"/>
      <c r="N655" s="184"/>
      <c r="O655" s="184"/>
      <c r="AB655" s="185"/>
      <c r="AC655" s="185"/>
      <c r="AD655" s="185"/>
      <c r="AE655" s="185"/>
    </row>
    <row r="656" ht="15.75" customHeight="1">
      <c r="C656" s="184"/>
      <c r="D656" s="184"/>
      <c r="E656" s="184"/>
      <c r="F656" s="184"/>
      <c r="G656" s="184"/>
      <c r="H656" s="184"/>
      <c r="I656" s="184"/>
      <c r="J656" s="184"/>
      <c r="K656" s="184"/>
      <c r="L656" s="184"/>
      <c r="M656" s="184"/>
      <c r="N656" s="184"/>
      <c r="O656" s="184"/>
      <c r="AB656" s="185"/>
      <c r="AC656" s="185"/>
      <c r="AD656" s="185"/>
      <c r="AE656" s="185"/>
    </row>
    <row r="657" ht="15.75" customHeight="1">
      <c r="C657" s="184"/>
      <c r="D657" s="184"/>
      <c r="E657" s="184"/>
      <c r="F657" s="184"/>
      <c r="G657" s="184"/>
      <c r="H657" s="184"/>
      <c r="I657" s="184"/>
      <c r="J657" s="184"/>
      <c r="K657" s="184"/>
      <c r="L657" s="184"/>
      <c r="M657" s="184"/>
      <c r="N657" s="184"/>
      <c r="O657" s="184"/>
      <c r="AB657" s="185"/>
      <c r="AC657" s="185"/>
      <c r="AD657" s="185"/>
      <c r="AE657" s="185"/>
    </row>
    <row r="658" ht="15.75" customHeight="1">
      <c r="C658" s="184"/>
      <c r="D658" s="184"/>
      <c r="E658" s="184"/>
      <c r="F658" s="184"/>
      <c r="G658" s="184"/>
      <c r="H658" s="184"/>
      <c r="I658" s="184"/>
      <c r="J658" s="184"/>
      <c r="K658" s="184"/>
      <c r="L658" s="184"/>
      <c r="M658" s="184"/>
      <c r="N658" s="184"/>
      <c r="O658" s="184"/>
      <c r="AB658" s="185"/>
      <c r="AC658" s="185"/>
      <c r="AD658" s="185"/>
      <c r="AE658" s="185"/>
    </row>
    <row r="659" ht="15.75" customHeight="1">
      <c r="C659" s="184"/>
      <c r="D659" s="184"/>
      <c r="E659" s="184"/>
      <c r="F659" s="184"/>
      <c r="G659" s="184"/>
      <c r="H659" s="184"/>
      <c r="I659" s="184"/>
      <c r="J659" s="184"/>
      <c r="K659" s="184"/>
      <c r="L659" s="184"/>
      <c r="M659" s="184"/>
      <c r="N659" s="184"/>
      <c r="O659" s="184"/>
      <c r="AB659" s="185"/>
      <c r="AC659" s="185"/>
      <c r="AD659" s="185"/>
      <c r="AE659" s="185"/>
    </row>
    <row r="660" ht="15.75" customHeight="1">
      <c r="C660" s="184"/>
      <c r="D660" s="184"/>
      <c r="E660" s="184"/>
      <c r="F660" s="184"/>
      <c r="G660" s="184"/>
      <c r="H660" s="184"/>
      <c r="I660" s="184"/>
      <c r="J660" s="184"/>
      <c r="K660" s="184"/>
      <c r="L660" s="184"/>
      <c r="M660" s="184"/>
      <c r="N660" s="184"/>
      <c r="O660" s="184"/>
      <c r="AB660" s="185"/>
      <c r="AC660" s="185"/>
      <c r="AD660" s="185"/>
      <c r="AE660" s="185"/>
    </row>
    <row r="661" ht="15.75" customHeight="1">
      <c r="C661" s="184"/>
      <c r="D661" s="184"/>
      <c r="E661" s="184"/>
      <c r="F661" s="184"/>
      <c r="G661" s="184"/>
      <c r="H661" s="184"/>
      <c r="I661" s="184"/>
      <c r="J661" s="184"/>
      <c r="K661" s="184"/>
      <c r="L661" s="184"/>
      <c r="M661" s="184"/>
      <c r="N661" s="184"/>
      <c r="O661" s="184"/>
      <c r="AB661" s="185"/>
      <c r="AC661" s="185"/>
      <c r="AD661" s="185"/>
      <c r="AE661" s="185"/>
    </row>
    <row r="662" ht="15.75" customHeight="1">
      <c r="C662" s="184"/>
      <c r="D662" s="184"/>
      <c r="E662" s="184"/>
      <c r="F662" s="184"/>
      <c r="G662" s="184"/>
      <c r="H662" s="184"/>
      <c r="I662" s="184"/>
      <c r="J662" s="184"/>
      <c r="K662" s="184"/>
      <c r="L662" s="184"/>
      <c r="M662" s="184"/>
      <c r="N662" s="184"/>
      <c r="O662" s="184"/>
      <c r="AB662" s="185"/>
      <c r="AC662" s="185"/>
      <c r="AD662" s="185"/>
      <c r="AE662" s="185"/>
    </row>
    <row r="663" ht="15.75" customHeight="1">
      <c r="C663" s="184"/>
      <c r="D663" s="184"/>
      <c r="E663" s="184"/>
      <c r="F663" s="184"/>
      <c r="G663" s="184"/>
      <c r="H663" s="184"/>
      <c r="I663" s="184"/>
      <c r="J663" s="184"/>
      <c r="K663" s="184"/>
      <c r="L663" s="184"/>
      <c r="M663" s="184"/>
      <c r="N663" s="184"/>
      <c r="O663" s="184"/>
      <c r="AB663" s="185"/>
      <c r="AC663" s="185"/>
      <c r="AD663" s="185"/>
      <c r="AE663" s="185"/>
    </row>
    <row r="664" ht="15.75" customHeight="1">
      <c r="C664" s="184"/>
      <c r="D664" s="184"/>
      <c r="E664" s="184"/>
      <c r="F664" s="184"/>
      <c r="G664" s="184"/>
      <c r="H664" s="184"/>
      <c r="I664" s="184"/>
      <c r="J664" s="184"/>
      <c r="K664" s="184"/>
      <c r="L664" s="184"/>
      <c r="M664" s="184"/>
      <c r="N664" s="184"/>
      <c r="O664" s="184"/>
      <c r="AB664" s="185"/>
      <c r="AC664" s="185"/>
      <c r="AD664" s="185"/>
      <c r="AE664" s="185"/>
    </row>
    <row r="665" ht="15.75" customHeight="1">
      <c r="C665" s="184"/>
      <c r="D665" s="184"/>
      <c r="E665" s="184"/>
      <c r="F665" s="184"/>
      <c r="G665" s="184"/>
      <c r="H665" s="184"/>
      <c r="I665" s="184"/>
      <c r="J665" s="184"/>
      <c r="K665" s="184"/>
      <c r="L665" s="184"/>
      <c r="M665" s="184"/>
      <c r="N665" s="184"/>
      <c r="O665" s="184"/>
      <c r="AB665" s="185"/>
      <c r="AC665" s="185"/>
      <c r="AD665" s="185"/>
      <c r="AE665" s="185"/>
    </row>
    <row r="666" ht="15.75" customHeight="1">
      <c r="C666" s="184"/>
      <c r="D666" s="184"/>
      <c r="E666" s="184"/>
      <c r="F666" s="184"/>
      <c r="G666" s="184"/>
      <c r="H666" s="184"/>
      <c r="I666" s="184"/>
      <c r="J666" s="184"/>
      <c r="K666" s="184"/>
      <c r="L666" s="184"/>
      <c r="M666" s="184"/>
      <c r="N666" s="184"/>
      <c r="O666" s="184"/>
      <c r="AB666" s="185"/>
      <c r="AC666" s="185"/>
      <c r="AD666" s="185"/>
      <c r="AE666" s="185"/>
    </row>
    <row r="667" ht="15.75" customHeight="1">
      <c r="C667" s="184"/>
      <c r="D667" s="184"/>
      <c r="E667" s="184"/>
      <c r="F667" s="184"/>
      <c r="G667" s="184"/>
      <c r="H667" s="184"/>
      <c r="I667" s="184"/>
      <c r="J667" s="184"/>
      <c r="K667" s="184"/>
      <c r="L667" s="184"/>
      <c r="M667" s="184"/>
      <c r="N667" s="184"/>
      <c r="O667" s="184"/>
      <c r="AB667" s="185"/>
      <c r="AC667" s="185"/>
      <c r="AD667" s="185"/>
      <c r="AE667" s="185"/>
    </row>
    <row r="668" ht="15.75" customHeight="1">
      <c r="C668" s="184"/>
      <c r="D668" s="184"/>
      <c r="E668" s="184"/>
      <c r="F668" s="184"/>
      <c r="G668" s="184"/>
      <c r="H668" s="184"/>
      <c r="I668" s="184"/>
      <c r="J668" s="184"/>
      <c r="K668" s="184"/>
      <c r="L668" s="184"/>
      <c r="M668" s="184"/>
      <c r="N668" s="184"/>
      <c r="O668" s="184"/>
      <c r="AB668" s="185"/>
      <c r="AC668" s="185"/>
      <c r="AD668" s="185"/>
      <c r="AE668" s="185"/>
    </row>
    <row r="669" ht="15.75" customHeight="1">
      <c r="C669" s="184"/>
      <c r="D669" s="184"/>
      <c r="E669" s="184"/>
      <c r="F669" s="184"/>
      <c r="G669" s="184"/>
      <c r="H669" s="184"/>
      <c r="I669" s="184"/>
      <c r="J669" s="184"/>
      <c r="K669" s="184"/>
      <c r="L669" s="184"/>
      <c r="M669" s="184"/>
      <c r="N669" s="184"/>
      <c r="O669" s="184"/>
      <c r="AB669" s="185"/>
      <c r="AC669" s="185"/>
      <c r="AD669" s="185"/>
      <c r="AE669" s="185"/>
    </row>
    <row r="670" ht="15.75" customHeight="1">
      <c r="C670" s="184"/>
      <c r="D670" s="184"/>
      <c r="E670" s="184"/>
      <c r="F670" s="184"/>
      <c r="G670" s="184"/>
      <c r="H670" s="184"/>
      <c r="I670" s="184"/>
      <c r="J670" s="184"/>
      <c r="K670" s="184"/>
      <c r="L670" s="184"/>
      <c r="M670" s="184"/>
      <c r="N670" s="184"/>
      <c r="O670" s="184"/>
      <c r="AB670" s="185"/>
      <c r="AC670" s="185"/>
      <c r="AD670" s="185"/>
      <c r="AE670" s="185"/>
    </row>
    <row r="671" ht="15.75" customHeight="1">
      <c r="C671" s="184"/>
      <c r="D671" s="184"/>
      <c r="E671" s="184"/>
      <c r="F671" s="184"/>
      <c r="G671" s="184"/>
      <c r="H671" s="184"/>
      <c r="I671" s="184"/>
      <c r="J671" s="184"/>
      <c r="K671" s="184"/>
      <c r="L671" s="184"/>
      <c r="M671" s="184"/>
      <c r="N671" s="184"/>
      <c r="O671" s="184"/>
      <c r="AB671" s="185"/>
      <c r="AC671" s="185"/>
      <c r="AD671" s="185"/>
      <c r="AE671" s="185"/>
    </row>
    <row r="672" ht="15.75" customHeight="1">
      <c r="C672" s="184"/>
      <c r="D672" s="184"/>
      <c r="E672" s="184"/>
      <c r="F672" s="184"/>
      <c r="G672" s="184"/>
      <c r="H672" s="184"/>
      <c r="I672" s="184"/>
      <c r="J672" s="184"/>
      <c r="K672" s="184"/>
      <c r="L672" s="184"/>
      <c r="M672" s="184"/>
      <c r="N672" s="184"/>
      <c r="O672" s="184"/>
      <c r="AB672" s="185"/>
      <c r="AC672" s="185"/>
      <c r="AD672" s="185"/>
      <c r="AE672" s="185"/>
    </row>
    <row r="673" ht="15.75" customHeight="1">
      <c r="C673" s="184"/>
      <c r="D673" s="184"/>
      <c r="E673" s="184"/>
      <c r="F673" s="184"/>
      <c r="G673" s="184"/>
      <c r="H673" s="184"/>
      <c r="I673" s="184"/>
      <c r="J673" s="184"/>
      <c r="K673" s="184"/>
      <c r="L673" s="184"/>
      <c r="M673" s="184"/>
      <c r="N673" s="184"/>
      <c r="O673" s="184"/>
      <c r="AB673" s="185"/>
      <c r="AC673" s="185"/>
      <c r="AD673" s="185"/>
      <c r="AE673" s="185"/>
    </row>
    <row r="674" ht="15.75" customHeight="1">
      <c r="C674" s="184"/>
      <c r="D674" s="184"/>
      <c r="E674" s="184"/>
      <c r="F674" s="184"/>
      <c r="G674" s="184"/>
      <c r="H674" s="184"/>
      <c r="I674" s="184"/>
      <c r="J674" s="184"/>
      <c r="K674" s="184"/>
      <c r="L674" s="184"/>
      <c r="M674" s="184"/>
      <c r="N674" s="184"/>
      <c r="O674" s="184"/>
      <c r="AB674" s="185"/>
      <c r="AC674" s="185"/>
      <c r="AD674" s="185"/>
      <c r="AE674" s="185"/>
    </row>
    <row r="675" ht="15.75" customHeight="1">
      <c r="C675" s="184"/>
      <c r="D675" s="184"/>
      <c r="E675" s="184"/>
      <c r="F675" s="184"/>
      <c r="G675" s="184"/>
      <c r="H675" s="184"/>
      <c r="I675" s="184"/>
      <c r="J675" s="184"/>
      <c r="K675" s="184"/>
      <c r="L675" s="184"/>
      <c r="M675" s="184"/>
      <c r="N675" s="184"/>
      <c r="O675" s="184"/>
      <c r="AB675" s="185"/>
      <c r="AC675" s="185"/>
      <c r="AD675" s="185"/>
      <c r="AE675" s="185"/>
    </row>
    <row r="676" ht="15.75" customHeight="1">
      <c r="C676" s="184"/>
      <c r="D676" s="184"/>
      <c r="E676" s="184"/>
      <c r="F676" s="184"/>
      <c r="G676" s="184"/>
      <c r="H676" s="184"/>
      <c r="I676" s="184"/>
      <c r="J676" s="184"/>
      <c r="K676" s="184"/>
      <c r="L676" s="184"/>
      <c r="M676" s="184"/>
      <c r="N676" s="184"/>
      <c r="O676" s="184"/>
      <c r="AB676" s="185"/>
      <c r="AC676" s="185"/>
      <c r="AD676" s="185"/>
      <c r="AE676" s="185"/>
    </row>
    <row r="677" ht="15.75" customHeight="1">
      <c r="C677" s="184"/>
      <c r="D677" s="184"/>
      <c r="E677" s="184"/>
      <c r="F677" s="184"/>
      <c r="G677" s="184"/>
      <c r="H677" s="184"/>
      <c r="I677" s="184"/>
      <c r="J677" s="184"/>
      <c r="K677" s="184"/>
      <c r="L677" s="184"/>
      <c r="M677" s="184"/>
      <c r="N677" s="184"/>
      <c r="O677" s="184"/>
      <c r="AB677" s="185"/>
      <c r="AC677" s="185"/>
      <c r="AD677" s="185"/>
      <c r="AE677" s="185"/>
    </row>
    <row r="678" ht="15.75" customHeight="1">
      <c r="C678" s="184"/>
      <c r="D678" s="184"/>
      <c r="E678" s="184"/>
      <c r="F678" s="184"/>
      <c r="G678" s="184"/>
      <c r="H678" s="184"/>
      <c r="I678" s="184"/>
      <c r="J678" s="184"/>
      <c r="K678" s="184"/>
      <c r="L678" s="184"/>
      <c r="M678" s="184"/>
      <c r="N678" s="184"/>
      <c r="O678" s="184"/>
      <c r="AB678" s="185"/>
      <c r="AC678" s="185"/>
      <c r="AD678" s="185"/>
      <c r="AE678" s="185"/>
    </row>
    <row r="679" ht="15.75" customHeight="1">
      <c r="C679" s="184"/>
      <c r="D679" s="184"/>
      <c r="E679" s="184"/>
      <c r="F679" s="184"/>
      <c r="G679" s="184"/>
      <c r="H679" s="184"/>
      <c r="I679" s="184"/>
      <c r="J679" s="184"/>
      <c r="K679" s="184"/>
      <c r="L679" s="184"/>
      <c r="M679" s="184"/>
      <c r="N679" s="184"/>
      <c r="O679" s="184"/>
      <c r="AB679" s="185"/>
      <c r="AC679" s="185"/>
      <c r="AD679" s="185"/>
      <c r="AE679" s="185"/>
    </row>
    <row r="680" ht="15.75" customHeight="1">
      <c r="C680" s="184"/>
      <c r="D680" s="184"/>
      <c r="E680" s="184"/>
      <c r="F680" s="184"/>
      <c r="G680" s="184"/>
      <c r="H680" s="184"/>
      <c r="I680" s="184"/>
      <c r="J680" s="184"/>
      <c r="K680" s="184"/>
      <c r="L680" s="184"/>
      <c r="M680" s="184"/>
      <c r="N680" s="184"/>
      <c r="O680" s="184"/>
      <c r="AB680" s="185"/>
      <c r="AC680" s="185"/>
      <c r="AD680" s="185"/>
      <c r="AE680" s="185"/>
    </row>
    <row r="681" ht="15.75" customHeight="1">
      <c r="C681" s="184"/>
      <c r="D681" s="184"/>
      <c r="E681" s="184"/>
      <c r="F681" s="184"/>
      <c r="G681" s="184"/>
      <c r="H681" s="184"/>
      <c r="I681" s="184"/>
      <c r="J681" s="184"/>
      <c r="K681" s="184"/>
      <c r="L681" s="184"/>
      <c r="M681" s="184"/>
      <c r="N681" s="184"/>
      <c r="O681" s="184"/>
      <c r="AB681" s="185"/>
      <c r="AC681" s="185"/>
      <c r="AD681" s="185"/>
      <c r="AE681" s="185"/>
    </row>
    <row r="682" ht="15.75" customHeight="1">
      <c r="C682" s="184"/>
      <c r="D682" s="184"/>
      <c r="E682" s="184"/>
      <c r="F682" s="184"/>
      <c r="G682" s="184"/>
      <c r="H682" s="184"/>
      <c r="I682" s="184"/>
      <c r="J682" s="184"/>
      <c r="K682" s="184"/>
      <c r="L682" s="184"/>
      <c r="M682" s="184"/>
      <c r="N682" s="184"/>
      <c r="O682" s="184"/>
      <c r="AB682" s="185"/>
      <c r="AC682" s="185"/>
      <c r="AD682" s="185"/>
      <c r="AE682" s="185"/>
    </row>
    <row r="683" ht="15.75" customHeight="1">
      <c r="C683" s="184"/>
      <c r="D683" s="184"/>
      <c r="E683" s="184"/>
      <c r="F683" s="184"/>
      <c r="G683" s="184"/>
      <c r="H683" s="184"/>
      <c r="I683" s="184"/>
      <c r="J683" s="184"/>
      <c r="K683" s="184"/>
      <c r="L683" s="184"/>
      <c r="M683" s="184"/>
      <c r="N683" s="184"/>
      <c r="O683" s="184"/>
      <c r="AB683" s="185"/>
      <c r="AC683" s="185"/>
      <c r="AD683" s="185"/>
      <c r="AE683" s="185"/>
    </row>
    <row r="684" ht="15.75" customHeight="1">
      <c r="C684" s="184"/>
      <c r="D684" s="184"/>
      <c r="E684" s="184"/>
      <c r="F684" s="184"/>
      <c r="G684" s="184"/>
      <c r="H684" s="184"/>
      <c r="I684" s="184"/>
      <c r="J684" s="184"/>
      <c r="K684" s="184"/>
      <c r="L684" s="184"/>
      <c r="M684" s="184"/>
      <c r="N684" s="184"/>
      <c r="O684" s="184"/>
      <c r="AB684" s="185"/>
      <c r="AC684" s="185"/>
      <c r="AD684" s="185"/>
      <c r="AE684" s="185"/>
    </row>
    <row r="685" ht="15.75" customHeight="1">
      <c r="C685" s="184"/>
      <c r="D685" s="184"/>
      <c r="E685" s="184"/>
      <c r="F685" s="184"/>
      <c r="G685" s="184"/>
      <c r="H685" s="184"/>
      <c r="I685" s="184"/>
      <c r="J685" s="184"/>
      <c r="K685" s="184"/>
      <c r="L685" s="184"/>
      <c r="M685" s="184"/>
      <c r="N685" s="184"/>
      <c r="O685" s="184"/>
      <c r="AB685" s="185"/>
      <c r="AC685" s="185"/>
      <c r="AD685" s="185"/>
      <c r="AE685" s="185"/>
    </row>
    <row r="686" ht="15.75" customHeight="1">
      <c r="C686" s="184"/>
      <c r="D686" s="184"/>
      <c r="E686" s="184"/>
      <c r="F686" s="184"/>
      <c r="G686" s="184"/>
      <c r="H686" s="184"/>
      <c r="I686" s="184"/>
      <c r="J686" s="184"/>
      <c r="K686" s="184"/>
      <c r="L686" s="184"/>
      <c r="M686" s="184"/>
      <c r="N686" s="184"/>
      <c r="O686" s="184"/>
      <c r="AB686" s="185"/>
      <c r="AC686" s="185"/>
      <c r="AD686" s="185"/>
      <c r="AE686" s="185"/>
    </row>
    <row r="687" ht="15.75" customHeight="1">
      <c r="C687" s="184"/>
      <c r="D687" s="184"/>
      <c r="E687" s="184"/>
      <c r="F687" s="184"/>
      <c r="G687" s="184"/>
      <c r="H687" s="184"/>
      <c r="I687" s="184"/>
      <c r="J687" s="184"/>
      <c r="K687" s="184"/>
      <c r="L687" s="184"/>
      <c r="M687" s="184"/>
      <c r="N687" s="184"/>
      <c r="O687" s="184"/>
      <c r="AB687" s="185"/>
      <c r="AC687" s="185"/>
      <c r="AD687" s="185"/>
      <c r="AE687" s="185"/>
    </row>
    <row r="688" ht="15.75" customHeight="1">
      <c r="C688" s="184"/>
      <c r="D688" s="184"/>
      <c r="E688" s="184"/>
      <c r="F688" s="184"/>
      <c r="G688" s="184"/>
      <c r="H688" s="184"/>
      <c r="I688" s="184"/>
      <c r="J688" s="184"/>
      <c r="K688" s="184"/>
      <c r="L688" s="184"/>
      <c r="M688" s="184"/>
      <c r="N688" s="184"/>
      <c r="O688" s="184"/>
      <c r="AB688" s="185"/>
      <c r="AC688" s="185"/>
      <c r="AD688" s="185"/>
      <c r="AE688" s="185"/>
    </row>
    <row r="689" ht="15.75" customHeight="1">
      <c r="C689" s="184"/>
      <c r="D689" s="184"/>
      <c r="E689" s="184"/>
      <c r="F689" s="184"/>
      <c r="G689" s="184"/>
      <c r="H689" s="184"/>
      <c r="I689" s="184"/>
      <c r="J689" s="184"/>
      <c r="K689" s="184"/>
      <c r="L689" s="184"/>
      <c r="M689" s="184"/>
      <c r="N689" s="184"/>
      <c r="O689" s="184"/>
      <c r="AB689" s="185"/>
      <c r="AC689" s="185"/>
      <c r="AD689" s="185"/>
      <c r="AE689" s="185"/>
    </row>
    <row r="690" ht="15.75" customHeight="1">
      <c r="C690" s="184"/>
      <c r="D690" s="184"/>
      <c r="E690" s="184"/>
      <c r="F690" s="184"/>
      <c r="G690" s="184"/>
      <c r="H690" s="184"/>
      <c r="I690" s="184"/>
      <c r="J690" s="184"/>
      <c r="K690" s="184"/>
      <c r="L690" s="184"/>
      <c r="M690" s="184"/>
      <c r="N690" s="184"/>
      <c r="O690" s="184"/>
      <c r="AB690" s="185"/>
      <c r="AC690" s="185"/>
      <c r="AD690" s="185"/>
      <c r="AE690" s="185"/>
    </row>
    <row r="691" ht="15.75" customHeight="1">
      <c r="C691" s="184"/>
      <c r="D691" s="184"/>
      <c r="E691" s="184"/>
      <c r="F691" s="184"/>
      <c r="G691" s="184"/>
      <c r="H691" s="184"/>
      <c r="I691" s="184"/>
      <c r="J691" s="184"/>
      <c r="K691" s="184"/>
      <c r="L691" s="184"/>
      <c r="M691" s="184"/>
      <c r="N691" s="184"/>
      <c r="O691" s="184"/>
      <c r="AB691" s="185"/>
      <c r="AC691" s="185"/>
      <c r="AD691" s="185"/>
      <c r="AE691" s="185"/>
    </row>
    <row r="692" ht="15.75" customHeight="1">
      <c r="C692" s="184"/>
      <c r="D692" s="184"/>
      <c r="E692" s="184"/>
      <c r="F692" s="184"/>
      <c r="G692" s="184"/>
      <c r="H692" s="184"/>
      <c r="I692" s="184"/>
      <c r="J692" s="184"/>
      <c r="K692" s="184"/>
      <c r="L692" s="184"/>
      <c r="M692" s="184"/>
      <c r="N692" s="184"/>
      <c r="O692" s="184"/>
      <c r="AB692" s="185"/>
      <c r="AC692" s="185"/>
      <c r="AD692" s="185"/>
      <c r="AE692" s="185"/>
    </row>
    <row r="693" ht="15.75" customHeight="1">
      <c r="C693" s="184"/>
      <c r="D693" s="184"/>
      <c r="E693" s="184"/>
      <c r="F693" s="184"/>
      <c r="G693" s="184"/>
      <c r="H693" s="184"/>
      <c r="I693" s="184"/>
      <c r="J693" s="184"/>
      <c r="K693" s="184"/>
      <c r="L693" s="184"/>
      <c r="M693" s="184"/>
      <c r="N693" s="184"/>
      <c r="O693" s="184"/>
      <c r="AB693" s="185"/>
      <c r="AC693" s="185"/>
      <c r="AD693" s="185"/>
      <c r="AE693" s="185"/>
    </row>
    <row r="694" ht="15.75" customHeight="1">
      <c r="C694" s="184"/>
      <c r="D694" s="184"/>
      <c r="E694" s="184"/>
      <c r="F694" s="184"/>
      <c r="G694" s="184"/>
      <c r="H694" s="184"/>
      <c r="I694" s="184"/>
      <c r="J694" s="184"/>
      <c r="K694" s="184"/>
      <c r="L694" s="184"/>
      <c r="M694" s="184"/>
      <c r="N694" s="184"/>
      <c r="O694" s="184"/>
      <c r="AB694" s="185"/>
      <c r="AC694" s="185"/>
      <c r="AD694" s="185"/>
      <c r="AE694" s="185"/>
    </row>
    <row r="695" ht="15.75" customHeight="1">
      <c r="C695" s="184"/>
      <c r="D695" s="184"/>
      <c r="E695" s="184"/>
      <c r="F695" s="184"/>
      <c r="G695" s="184"/>
      <c r="H695" s="184"/>
      <c r="I695" s="184"/>
      <c r="J695" s="184"/>
      <c r="K695" s="184"/>
      <c r="L695" s="184"/>
      <c r="M695" s="184"/>
      <c r="N695" s="184"/>
      <c r="O695" s="184"/>
      <c r="AB695" s="185"/>
      <c r="AC695" s="185"/>
      <c r="AD695" s="185"/>
      <c r="AE695" s="185"/>
    </row>
    <row r="696" ht="15.75" customHeight="1">
      <c r="C696" s="184"/>
      <c r="D696" s="184"/>
      <c r="E696" s="184"/>
      <c r="F696" s="184"/>
      <c r="G696" s="184"/>
      <c r="H696" s="184"/>
      <c r="I696" s="184"/>
      <c r="J696" s="184"/>
      <c r="K696" s="184"/>
      <c r="L696" s="184"/>
      <c r="M696" s="184"/>
      <c r="N696" s="184"/>
      <c r="O696" s="184"/>
      <c r="AB696" s="185"/>
      <c r="AC696" s="185"/>
      <c r="AD696" s="185"/>
      <c r="AE696" s="185"/>
    </row>
    <row r="697" ht="15.75" customHeight="1">
      <c r="C697" s="184"/>
      <c r="D697" s="184"/>
      <c r="E697" s="184"/>
      <c r="F697" s="184"/>
      <c r="G697" s="184"/>
      <c r="H697" s="184"/>
      <c r="I697" s="184"/>
      <c r="J697" s="184"/>
      <c r="K697" s="184"/>
      <c r="L697" s="184"/>
      <c r="M697" s="184"/>
      <c r="N697" s="184"/>
      <c r="O697" s="184"/>
      <c r="AB697" s="185"/>
      <c r="AC697" s="185"/>
      <c r="AD697" s="185"/>
      <c r="AE697" s="185"/>
    </row>
    <row r="698" ht="15.75" customHeight="1">
      <c r="C698" s="184"/>
      <c r="D698" s="184"/>
      <c r="E698" s="184"/>
      <c r="F698" s="184"/>
      <c r="G698" s="184"/>
      <c r="H698" s="184"/>
      <c r="I698" s="184"/>
      <c r="J698" s="184"/>
      <c r="K698" s="184"/>
      <c r="L698" s="184"/>
      <c r="M698" s="184"/>
      <c r="N698" s="184"/>
      <c r="O698" s="184"/>
      <c r="AB698" s="185"/>
      <c r="AC698" s="185"/>
      <c r="AD698" s="185"/>
      <c r="AE698" s="185"/>
    </row>
    <row r="699" ht="15.75" customHeight="1">
      <c r="C699" s="184"/>
      <c r="D699" s="184"/>
      <c r="E699" s="184"/>
      <c r="F699" s="184"/>
      <c r="G699" s="184"/>
      <c r="H699" s="184"/>
      <c r="I699" s="184"/>
      <c r="J699" s="184"/>
      <c r="K699" s="184"/>
      <c r="L699" s="184"/>
      <c r="M699" s="184"/>
      <c r="N699" s="184"/>
      <c r="O699" s="184"/>
      <c r="AB699" s="185"/>
      <c r="AC699" s="185"/>
      <c r="AD699" s="185"/>
      <c r="AE699" s="185"/>
    </row>
    <row r="700" ht="15.75" customHeight="1">
      <c r="C700" s="184"/>
      <c r="D700" s="184"/>
      <c r="E700" s="184"/>
      <c r="F700" s="184"/>
      <c r="G700" s="184"/>
      <c r="H700" s="184"/>
      <c r="I700" s="184"/>
      <c r="J700" s="184"/>
      <c r="K700" s="184"/>
      <c r="L700" s="184"/>
      <c r="M700" s="184"/>
      <c r="N700" s="184"/>
      <c r="O700" s="184"/>
      <c r="AB700" s="185"/>
      <c r="AC700" s="185"/>
      <c r="AD700" s="185"/>
      <c r="AE700" s="185"/>
    </row>
    <row r="701" ht="15.75" customHeight="1">
      <c r="C701" s="184"/>
      <c r="D701" s="184"/>
      <c r="E701" s="184"/>
      <c r="F701" s="184"/>
      <c r="G701" s="184"/>
      <c r="H701" s="184"/>
      <c r="I701" s="184"/>
      <c r="J701" s="184"/>
      <c r="K701" s="184"/>
      <c r="L701" s="184"/>
      <c r="M701" s="184"/>
      <c r="N701" s="184"/>
      <c r="O701" s="184"/>
      <c r="AB701" s="185"/>
      <c r="AC701" s="185"/>
      <c r="AD701" s="185"/>
      <c r="AE701" s="185"/>
    </row>
    <row r="702" ht="15.75" customHeight="1">
      <c r="C702" s="184"/>
      <c r="D702" s="184"/>
      <c r="E702" s="184"/>
      <c r="F702" s="184"/>
      <c r="G702" s="184"/>
      <c r="H702" s="184"/>
      <c r="I702" s="184"/>
      <c r="J702" s="184"/>
      <c r="K702" s="184"/>
      <c r="L702" s="184"/>
      <c r="M702" s="184"/>
      <c r="N702" s="184"/>
      <c r="O702" s="184"/>
      <c r="AB702" s="185"/>
      <c r="AC702" s="185"/>
      <c r="AD702" s="185"/>
      <c r="AE702" s="185"/>
    </row>
    <row r="703" ht="15.75" customHeight="1">
      <c r="C703" s="184"/>
      <c r="D703" s="184"/>
      <c r="E703" s="184"/>
      <c r="F703" s="184"/>
      <c r="G703" s="184"/>
      <c r="H703" s="184"/>
      <c r="I703" s="184"/>
      <c r="J703" s="184"/>
      <c r="K703" s="184"/>
      <c r="L703" s="184"/>
      <c r="M703" s="184"/>
      <c r="N703" s="184"/>
      <c r="O703" s="184"/>
      <c r="AB703" s="185"/>
      <c r="AC703" s="185"/>
      <c r="AD703" s="185"/>
      <c r="AE703" s="185"/>
    </row>
    <row r="704" ht="15.75" customHeight="1">
      <c r="C704" s="184"/>
      <c r="D704" s="184"/>
      <c r="E704" s="184"/>
      <c r="F704" s="184"/>
      <c r="G704" s="184"/>
      <c r="H704" s="184"/>
      <c r="I704" s="184"/>
      <c r="J704" s="184"/>
      <c r="K704" s="184"/>
      <c r="L704" s="184"/>
      <c r="M704" s="184"/>
      <c r="N704" s="184"/>
      <c r="O704" s="184"/>
      <c r="AB704" s="185"/>
      <c r="AC704" s="185"/>
      <c r="AD704" s="185"/>
      <c r="AE704" s="185"/>
    </row>
    <row r="705" ht="15.75" customHeight="1">
      <c r="C705" s="184"/>
      <c r="D705" s="184"/>
      <c r="E705" s="184"/>
      <c r="F705" s="184"/>
      <c r="G705" s="184"/>
      <c r="H705" s="184"/>
      <c r="I705" s="184"/>
      <c r="J705" s="184"/>
      <c r="K705" s="184"/>
      <c r="L705" s="184"/>
      <c r="M705" s="184"/>
      <c r="N705" s="184"/>
      <c r="O705" s="184"/>
      <c r="AB705" s="185"/>
      <c r="AC705" s="185"/>
      <c r="AD705" s="185"/>
      <c r="AE705" s="185"/>
    </row>
    <row r="706" ht="15.75" customHeight="1">
      <c r="C706" s="184"/>
      <c r="D706" s="184"/>
      <c r="E706" s="184"/>
      <c r="F706" s="184"/>
      <c r="G706" s="184"/>
      <c r="H706" s="184"/>
      <c r="I706" s="184"/>
      <c r="J706" s="184"/>
      <c r="K706" s="184"/>
      <c r="L706" s="184"/>
      <c r="M706" s="184"/>
      <c r="N706" s="184"/>
      <c r="O706" s="184"/>
      <c r="AB706" s="185"/>
      <c r="AC706" s="185"/>
      <c r="AD706" s="185"/>
      <c r="AE706" s="185"/>
    </row>
    <row r="707" ht="15.75" customHeight="1">
      <c r="C707" s="184"/>
      <c r="D707" s="184"/>
      <c r="E707" s="184"/>
      <c r="F707" s="184"/>
      <c r="G707" s="184"/>
      <c r="H707" s="184"/>
      <c r="I707" s="184"/>
      <c r="J707" s="184"/>
      <c r="K707" s="184"/>
      <c r="L707" s="184"/>
      <c r="M707" s="184"/>
      <c r="N707" s="184"/>
      <c r="O707" s="184"/>
      <c r="AB707" s="185"/>
      <c r="AC707" s="185"/>
      <c r="AD707" s="185"/>
      <c r="AE707" s="185"/>
    </row>
    <row r="708" ht="15.75" customHeight="1">
      <c r="C708" s="184"/>
      <c r="D708" s="184"/>
      <c r="E708" s="184"/>
      <c r="F708" s="184"/>
      <c r="G708" s="184"/>
      <c r="H708" s="184"/>
      <c r="I708" s="184"/>
      <c r="J708" s="184"/>
      <c r="K708" s="184"/>
      <c r="L708" s="184"/>
      <c r="M708" s="184"/>
      <c r="N708" s="184"/>
      <c r="O708" s="184"/>
      <c r="AB708" s="185"/>
      <c r="AC708" s="185"/>
      <c r="AD708" s="185"/>
      <c r="AE708" s="185"/>
    </row>
    <row r="709" ht="15.75" customHeight="1">
      <c r="C709" s="184"/>
      <c r="D709" s="184"/>
      <c r="E709" s="184"/>
      <c r="F709" s="184"/>
      <c r="G709" s="184"/>
      <c r="H709" s="184"/>
      <c r="I709" s="184"/>
      <c r="J709" s="184"/>
      <c r="K709" s="184"/>
      <c r="L709" s="184"/>
      <c r="M709" s="184"/>
      <c r="N709" s="184"/>
      <c r="O709" s="184"/>
      <c r="AB709" s="185"/>
      <c r="AC709" s="185"/>
      <c r="AD709" s="185"/>
      <c r="AE709" s="185"/>
    </row>
    <row r="710" ht="15.75" customHeight="1">
      <c r="C710" s="184"/>
      <c r="D710" s="184"/>
      <c r="E710" s="184"/>
      <c r="F710" s="184"/>
      <c r="G710" s="184"/>
      <c r="H710" s="184"/>
      <c r="I710" s="184"/>
      <c r="J710" s="184"/>
      <c r="K710" s="184"/>
      <c r="L710" s="184"/>
      <c r="M710" s="184"/>
      <c r="N710" s="184"/>
      <c r="O710" s="184"/>
      <c r="AB710" s="185"/>
      <c r="AC710" s="185"/>
      <c r="AD710" s="185"/>
      <c r="AE710" s="185"/>
    </row>
    <row r="711" ht="15.75" customHeight="1">
      <c r="C711" s="184"/>
      <c r="D711" s="184"/>
      <c r="E711" s="184"/>
      <c r="F711" s="184"/>
      <c r="G711" s="184"/>
      <c r="H711" s="184"/>
      <c r="I711" s="184"/>
      <c r="J711" s="184"/>
      <c r="K711" s="184"/>
      <c r="L711" s="184"/>
      <c r="M711" s="184"/>
      <c r="N711" s="184"/>
      <c r="O711" s="184"/>
      <c r="AB711" s="185"/>
      <c r="AC711" s="185"/>
      <c r="AD711" s="185"/>
      <c r="AE711" s="185"/>
    </row>
    <row r="712" ht="15.75" customHeight="1">
      <c r="C712" s="184"/>
      <c r="D712" s="184"/>
      <c r="E712" s="184"/>
      <c r="F712" s="184"/>
      <c r="G712" s="184"/>
      <c r="H712" s="184"/>
      <c r="I712" s="184"/>
      <c r="J712" s="184"/>
      <c r="K712" s="184"/>
      <c r="L712" s="184"/>
      <c r="M712" s="184"/>
      <c r="N712" s="184"/>
      <c r="O712" s="184"/>
      <c r="AB712" s="185"/>
      <c r="AC712" s="185"/>
      <c r="AD712" s="185"/>
      <c r="AE712" s="185"/>
    </row>
    <row r="713" ht="15.75" customHeight="1">
      <c r="C713" s="184"/>
      <c r="D713" s="184"/>
      <c r="E713" s="184"/>
      <c r="F713" s="184"/>
      <c r="G713" s="184"/>
      <c r="H713" s="184"/>
      <c r="I713" s="184"/>
      <c r="J713" s="184"/>
      <c r="K713" s="184"/>
      <c r="L713" s="184"/>
      <c r="M713" s="184"/>
      <c r="N713" s="184"/>
      <c r="O713" s="184"/>
      <c r="AB713" s="185"/>
      <c r="AC713" s="185"/>
      <c r="AD713" s="185"/>
      <c r="AE713" s="185"/>
    </row>
    <row r="714" ht="15.75" customHeight="1">
      <c r="C714" s="184"/>
      <c r="D714" s="184"/>
      <c r="E714" s="184"/>
      <c r="F714" s="184"/>
      <c r="G714" s="184"/>
      <c r="H714" s="184"/>
      <c r="I714" s="184"/>
      <c r="J714" s="184"/>
      <c r="K714" s="184"/>
      <c r="L714" s="184"/>
      <c r="M714" s="184"/>
      <c r="N714" s="184"/>
      <c r="O714" s="184"/>
      <c r="AB714" s="185"/>
      <c r="AC714" s="185"/>
      <c r="AD714" s="185"/>
      <c r="AE714" s="185"/>
    </row>
    <row r="715" ht="15.75" customHeight="1">
      <c r="C715" s="184"/>
      <c r="D715" s="184"/>
      <c r="E715" s="184"/>
      <c r="F715" s="184"/>
      <c r="G715" s="184"/>
      <c r="H715" s="184"/>
      <c r="I715" s="184"/>
      <c r="J715" s="184"/>
      <c r="K715" s="184"/>
      <c r="L715" s="184"/>
      <c r="M715" s="184"/>
      <c r="N715" s="184"/>
      <c r="O715" s="184"/>
      <c r="AB715" s="185"/>
      <c r="AC715" s="185"/>
      <c r="AD715" s="185"/>
      <c r="AE715" s="185"/>
    </row>
    <row r="716" ht="15.75" customHeight="1">
      <c r="C716" s="184"/>
      <c r="D716" s="184"/>
      <c r="E716" s="184"/>
      <c r="F716" s="184"/>
      <c r="G716" s="184"/>
      <c r="H716" s="184"/>
      <c r="I716" s="184"/>
      <c r="J716" s="184"/>
      <c r="K716" s="184"/>
      <c r="L716" s="184"/>
      <c r="M716" s="184"/>
      <c r="N716" s="184"/>
      <c r="O716" s="184"/>
      <c r="AB716" s="185"/>
      <c r="AC716" s="185"/>
      <c r="AD716" s="185"/>
      <c r="AE716" s="185"/>
    </row>
    <row r="717" ht="15.75" customHeight="1">
      <c r="C717" s="184"/>
      <c r="D717" s="184"/>
      <c r="E717" s="184"/>
      <c r="F717" s="184"/>
      <c r="G717" s="184"/>
      <c r="H717" s="184"/>
      <c r="I717" s="184"/>
      <c r="J717" s="184"/>
      <c r="K717" s="184"/>
      <c r="L717" s="184"/>
      <c r="M717" s="184"/>
      <c r="N717" s="184"/>
      <c r="O717" s="184"/>
      <c r="AB717" s="185"/>
      <c r="AC717" s="185"/>
      <c r="AD717" s="185"/>
      <c r="AE717" s="185"/>
    </row>
    <row r="718" ht="15.75" customHeight="1">
      <c r="C718" s="184"/>
      <c r="D718" s="184"/>
      <c r="E718" s="184"/>
      <c r="F718" s="184"/>
      <c r="G718" s="184"/>
      <c r="H718" s="184"/>
      <c r="I718" s="184"/>
      <c r="J718" s="184"/>
      <c r="K718" s="184"/>
      <c r="L718" s="184"/>
      <c r="M718" s="184"/>
      <c r="N718" s="184"/>
      <c r="O718" s="184"/>
      <c r="AB718" s="185"/>
      <c r="AC718" s="185"/>
      <c r="AD718" s="185"/>
      <c r="AE718" s="185"/>
    </row>
    <row r="719" ht="15.75" customHeight="1">
      <c r="C719" s="184"/>
      <c r="D719" s="184"/>
      <c r="E719" s="184"/>
      <c r="F719" s="184"/>
      <c r="G719" s="184"/>
      <c r="H719" s="184"/>
      <c r="I719" s="184"/>
      <c r="J719" s="184"/>
      <c r="K719" s="184"/>
      <c r="L719" s="184"/>
      <c r="M719" s="184"/>
      <c r="N719" s="184"/>
      <c r="O719" s="184"/>
      <c r="AB719" s="185"/>
      <c r="AC719" s="185"/>
      <c r="AD719" s="185"/>
      <c r="AE719" s="185"/>
    </row>
    <row r="720" ht="15.75" customHeight="1">
      <c r="C720" s="184"/>
      <c r="D720" s="184"/>
      <c r="E720" s="184"/>
      <c r="F720" s="184"/>
      <c r="G720" s="184"/>
      <c r="H720" s="184"/>
      <c r="I720" s="184"/>
      <c r="J720" s="184"/>
      <c r="K720" s="184"/>
      <c r="L720" s="184"/>
      <c r="M720" s="184"/>
      <c r="N720" s="184"/>
      <c r="O720" s="184"/>
      <c r="AB720" s="185"/>
      <c r="AC720" s="185"/>
      <c r="AD720" s="185"/>
      <c r="AE720" s="185"/>
    </row>
    <row r="721" ht="15.75" customHeight="1">
      <c r="C721" s="184"/>
      <c r="D721" s="184"/>
      <c r="E721" s="184"/>
      <c r="F721" s="184"/>
      <c r="G721" s="184"/>
      <c r="H721" s="184"/>
      <c r="I721" s="184"/>
      <c r="J721" s="184"/>
      <c r="K721" s="184"/>
      <c r="L721" s="184"/>
      <c r="M721" s="184"/>
      <c r="N721" s="184"/>
      <c r="O721" s="184"/>
      <c r="AB721" s="185"/>
      <c r="AC721" s="185"/>
      <c r="AD721" s="185"/>
      <c r="AE721" s="185"/>
    </row>
    <row r="722" ht="15.75" customHeight="1">
      <c r="C722" s="184"/>
      <c r="D722" s="184"/>
      <c r="E722" s="184"/>
      <c r="F722" s="184"/>
      <c r="G722" s="184"/>
      <c r="H722" s="184"/>
      <c r="I722" s="184"/>
      <c r="J722" s="184"/>
      <c r="K722" s="184"/>
      <c r="L722" s="184"/>
      <c r="M722" s="184"/>
      <c r="N722" s="184"/>
      <c r="O722" s="184"/>
      <c r="AB722" s="185"/>
      <c r="AC722" s="185"/>
      <c r="AD722" s="185"/>
      <c r="AE722" s="185"/>
    </row>
    <row r="723" ht="15.75" customHeight="1">
      <c r="C723" s="184"/>
      <c r="D723" s="184"/>
      <c r="E723" s="184"/>
      <c r="F723" s="184"/>
      <c r="G723" s="184"/>
      <c r="H723" s="184"/>
      <c r="I723" s="184"/>
      <c r="J723" s="184"/>
      <c r="K723" s="184"/>
      <c r="L723" s="184"/>
      <c r="M723" s="184"/>
      <c r="N723" s="184"/>
      <c r="O723" s="184"/>
      <c r="AB723" s="185"/>
      <c r="AC723" s="185"/>
      <c r="AD723" s="185"/>
      <c r="AE723" s="185"/>
    </row>
    <row r="724" ht="15.75" customHeight="1">
      <c r="C724" s="184"/>
      <c r="D724" s="184"/>
      <c r="E724" s="184"/>
      <c r="F724" s="184"/>
      <c r="G724" s="184"/>
      <c r="H724" s="184"/>
      <c r="I724" s="184"/>
      <c r="J724" s="184"/>
      <c r="K724" s="184"/>
      <c r="L724" s="184"/>
      <c r="M724" s="184"/>
      <c r="N724" s="184"/>
      <c r="O724" s="184"/>
      <c r="AB724" s="185"/>
      <c r="AC724" s="185"/>
      <c r="AD724" s="185"/>
      <c r="AE724" s="185"/>
    </row>
    <row r="725" ht="15.75" customHeight="1">
      <c r="C725" s="184"/>
      <c r="D725" s="184"/>
      <c r="E725" s="184"/>
      <c r="F725" s="184"/>
      <c r="G725" s="184"/>
      <c r="H725" s="184"/>
      <c r="I725" s="184"/>
      <c r="J725" s="184"/>
      <c r="K725" s="184"/>
      <c r="L725" s="184"/>
      <c r="M725" s="184"/>
      <c r="N725" s="184"/>
      <c r="O725" s="184"/>
      <c r="AB725" s="185"/>
      <c r="AC725" s="185"/>
      <c r="AD725" s="185"/>
      <c r="AE725" s="185"/>
    </row>
    <row r="726" ht="15.75" customHeight="1">
      <c r="C726" s="184"/>
      <c r="D726" s="184"/>
      <c r="E726" s="184"/>
      <c r="F726" s="184"/>
      <c r="G726" s="184"/>
      <c r="H726" s="184"/>
      <c r="I726" s="184"/>
      <c r="J726" s="184"/>
      <c r="K726" s="184"/>
      <c r="L726" s="184"/>
      <c r="M726" s="184"/>
      <c r="N726" s="184"/>
      <c r="O726" s="184"/>
      <c r="AB726" s="185"/>
      <c r="AC726" s="185"/>
      <c r="AD726" s="185"/>
      <c r="AE726" s="185"/>
    </row>
    <row r="727" ht="15.75" customHeight="1">
      <c r="C727" s="184"/>
      <c r="D727" s="184"/>
      <c r="E727" s="184"/>
      <c r="F727" s="184"/>
      <c r="G727" s="184"/>
      <c r="H727" s="184"/>
      <c r="I727" s="184"/>
      <c r="J727" s="184"/>
      <c r="K727" s="184"/>
      <c r="L727" s="184"/>
      <c r="M727" s="184"/>
      <c r="N727" s="184"/>
      <c r="O727" s="184"/>
      <c r="AB727" s="185"/>
      <c r="AC727" s="185"/>
      <c r="AD727" s="185"/>
      <c r="AE727" s="185"/>
    </row>
    <row r="728" ht="15.75" customHeight="1">
      <c r="C728" s="184"/>
      <c r="D728" s="184"/>
      <c r="E728" s="184"/>
      <c r="F728" s="184"/>
      <c r="G728" s="184"/>
      <c r="H728" s="184"/>
      <c r="I728" s="184"/>
      <c r="J728" s="184"/>
      <c r="K728" s="184"/>
      <c r="L728" s="184"/>
      <c r="M728" s="184"/>
      <c r="N728" s="184"/>
      <c r="O728" s="184"/>
      <c r="AB728" s="185"/>
      <c r="AC728" s="185"/>
      <c r="AD728" s="185"/>
      <c r="AE728" s="185"/>
    </row>
    <row r="729" ht="15.75" customHeight="1">
      <c r="C729" s="184"/>
      <c r="D729" s="184"/>
      <c r="E729" s="184"/>
      <c r="F729" s="184"/>
      <c r="G729" s="184"/>
      <c r="H729" s="184"/>
      <c r="I729" s="184"/>
      <c r="J729" s="184"/>
      <c r="K729" s="184"/>
      <c r="L729" s="184"/>
      <c r="M729" s="184"/>
      <c r="N729" s="184"/>
      <c r="O729" s="184"/>
      <c r="AB729" s="185"/>
      <c r="AC729" s="185"/>
      <c r="AD729" s="185"/>
      <c r="AE729" s="185"/>
    </row>
    <row r="730" ht="15.75" customHeight="1">
      <c r="C730" s="184"/>
      <c r="D730" s="184"/>
      <c r="E730" s="184"/>
      <c r="F730" s="184"/>
      <c r="G730" s="184"/>
      <c r="H730" s="184"/>
      <c r="I730" s="184"/>
      <c r="J730" s="184"/>
      <c r="K730" s="184"/>
      <c r="L730" s="184"/>
      <c r="M730" s="184"/>
      <c r="N730" s="184"/>
      <c r="O730" s="184"/>
      <c r="AB730" s="185"/>
      <c r="AC730" s="185"/>
      <c r="AD730" s="185"/>
      <c r="AE730" s="185"/>
    </row>
    <row r="731" ht="15.75" customHeight="1">
      <c r="C731" s="184"/>
      <c r="D731" s="184"/>
      <c r="E731" s="184"/>
      <c r="F731" s="184"/>
      <c r="G731" s="184"/>
      <c r="H731" s="184"/>
      <c r="I731" s="184"/>
      <c r="J731" s="184"/>
      <c r="K731" s="184"/>
      <c r="L731" s="184"/>
      <c r="M731" s="184"/>
      <c r="N731" s="184"/>
      <c r="O731" s="184"/>
      <c r="AB731" s="185"/>
      <c r="AC731" s="185"/>
      <c r="AD731" s="185"/>
      <c r="AE731" s="185"/>
    </row>
    <row r="732" ht="15.75" customHeight="1">
      <c r="C732" s="184"/>
      <c r="D732" s="184"/>
      <c r="E732" s="184"/>
      <c r="F732" s="184"/>
      <c r="G732" s="184"/>
      <c r="H732" s="184"/>
      <c r="I732" s="184"/>
      <c r="J732" s="184"/>
      <c r="K732" s="184"/>
      <c r="L732" s="184"/>
      <c r="M732" s="184"/>
      <c r="N732" s="184"/>
      <c r="O732" s="184"/>
      <c r="AB732" s="185"/>
      <c r="AC732" s="185"/>
      <c r="AD732" s="185"/>
      <c r="AE732" s="185"/>
    </row>
    <row r="733" ht="15.75" customHeight="1">
      <c r="C733" s="184"/>
      <c r="D733" s="184"/>
      <c r="E733" s="184"/>
      <c r="F733" s="184"/>
      <c r="G733" s="184"/>
      <c r="H733" s="184"/>
      <c r="I733" s="184"/>
      <c r="J733" s="184"/>
      <c r="K733" s="184"/>
      <c r="L733" s="184"/>
      <c r="M733" s="184"/>
      <c r="N733" s="184"/>
      <c r="O733" s="184"/>
      <c r="AB733" s="185"/>
      <c r="AC733" s="185"/>
      <c r="AD733" s="185"/>
      <c r="AE733" s="185"/>
    </row>
    <row r="734" ht="15.75" customHeight="1">
      <c r="C734" s="184"/>
      <c r="D734" s="184"/>
      <c r="E734" s="184"/>
      <c r="F734" s="184"/>
      <c r="G734" s="184"/>
      <c r="H734" s="184"/>
      <c r="I734" s="184"/>
      <c r="J734" s="184"/>
      <c r="K734" s="184"/>
      <c r="L734" s="184"/>
      <c r="M734" s="184"/>
      <c r="N734" s="184"/>
      <c r="O734" s="184"/>
      <c r="AB734" s="185"/>
      <c r="AC734" s="185"/>
      <c r="AD734" s="185"/>
      <c r="AE734" s="185"/>
    </row>
    <row r="735" ht="15.75" customHeight="1">
      <c r="C735" s="184"/>
      <c r="D735" s="184"/>
      <c r="E735" s="184"/>
      <c r="F735" s="184"/>
      <c r="G735" s="184"/>
      <c r="H735" s="184"/>
      <c r="I735" s="184"/>
      <c r="J735" s="184"/>
      <c r="K735" s="184"/>
      <c r="L735" s="184"/>
      <c r="M735" s="184"/>
      <c r="N735" s="184"/>
      <c r="O735" s="184"/>
      <c r="AB735" s="185"/>
      <c r="AC735" s="185"/>
      <c r="AD735" s="185"/>
      <c r="AE735" s="185"/>
    </row>
    <row r="736" ht="15.75" customHeight="1">
      <c r="C736" s="184"/>
      <c r="D736" s="184"/>
      <c r="E736" s="184"/>
      <c r="F736" s="184"/>
      <c r="G736" s="184"/>
      <c r="H736" s="184"/>
      <c r="I736" s="184"/>
      <c r="J736" s="184"/>
      <c r="K736" s="184"/>
      <c r="L736" s="184"/>
      <c r="M736" s="184"/>
      <c r="N736" s="184"/>
      <c r="O736" s="184"/>
      <c r="AB736" s="185"/>
      <c r="AC736" s="185"/>
      <c r="AD736" s="185"/>
      <c r="AE736" s="185"/>
    </row>
    <row r="737" ht="15.75" customHeight="1">
      <c r="C737" s="184"/>
      <c r="D737" s="184"/>
      <c r="E737" s="184"/>
      <c r="F737" s="184"/>
      <c r="G737" s="184"/>
      <c r="H737" s="184"/>
      <c r="I737" s="184"/>
      <c r="J737" s="184"/>
      <c r="K737" s="184"/>
      <c r="L737" s="184"/>
      <c r="M737" s="184"/>
      <c r="N737" s="184"/>
      <c r="O737" s="184"/>
      <c r="AB737" s="185"/>
      <c r="AC737" s="185"/>
      <c r="AD737" s="185"/>
      <c r="AE737" s="185"/>
    </row>
    <row r="738" ht="15.75" customHeight="1">
      <c r="C738" s="184"/>
      <c r="D738" s="184"/>
      <c r="E738" s="184"/>
      <c r="F738" s="184"/>
      <c r="G738" s="184"/>
      <c r="H738" s="184"/>
      <c r="I738" s="184"/>
      <c r="J738" s="184"/>
      <c r="K738" s="184"/>
      <c r="L738" s="184"/>
      <c r="M738" s="184"/>
      <c r="N738" s="184"/>
      <c r="O738" s="184"/>
      <c r="AB738" s="185"/>
      <c r="AC738" s="185"/>
      <c r="AD738" s="185"/>
      <c r="AE738" s="185"/>
    </row>
    <row r="739" ht="15.75" customHeight="1">
      <c r="C739" s="184"/>
      <c r="D739" s="184"/>
      <c r="E739" s="184"/>
      <c r="F739" s="184"/>
      <c r="G739" s="184"/>
      <c r="H739" s="184"/>
      <c r="I739" s="184"/>
      <c r="J739" s="184"/>
      <c r="K739" s="184"/>
      <c r="L739" s="184"/>
      <c r="M739" s="184"/>
      <c r="N739" s="184"/>
      <c r="O739" s="184"/>
      <c r="AB739" s="185"/>
      <c r="AC739" s="185"/>
      <c r="AD739" s="185"/>
      <c r="AE739" s="185"/>
    </row>
    <row r="740" ht="15.75" customHeight="1">
      <c r="C740" s="184"/>
      <c r="D740" s="184"/>
      <c r="E740" s="184"/>
      <c r="F740" s="184"/>
      <c r="G740" s="184"/>
      <c r="H740" s="184"/>
      <c r="I740" s="184"/>
      <c r="J740" s="184"/>
      <c r="K740" s="184"/>
      <c r="L740" s="184"/>
      <c r="M740" s="184"/>
      <c r="N740" s="184"/>
      <c r="O740" s="184"/>
      <c r="AB740" s="185"/>
      <c r="AC740" s="185"/>
      <c r="AD740" s="185"/>
      <c r="AE740" s="185"/>
    </row>
    <row r="741" ht="15.75" customHeight="1">
      <c r="C741" s="184"/>
      <c r="D741" s="184"/>
      <c r="E741" s="184"/>
      <c r="F741" s="184"/>
      <c r="G741" s="184"/>
      <c r="H741" s="184"/>
      <c r="I741" s="184"/>
      <c r="J741" s="184"/>
      <c r="K741" s="184"/>
      <c r="L741" s="184"/>
      <c r="M741" s="184"/>
      <c r="N741" s="184"/>
      <c r="O741" s="184"/>
      <c r="AB741" s="185"/>
      <c r="AC741" s="185"/>
      <c r="AD741" s="185"/>
      <c r="AE741" s="185"/>
    </row>
    <row r="742" ht="15.75" customHeight="1">
      <c r="C742" s="184"/>
      <c r="D742" s="184"/>
      <c r="E742" s="184"/>
      <c r="F742" s="184"/>
      <c r="G742" s="184"/>
      <c r="H742" s="184"/>
      <c r="I742" s="184"/>
      <c r="J742" s="184"/>
      <c r="K742" s="184"/>
      <c r="L742" s="184"/>
      <c r="M742" s="184"/>
      <c r="N742" s="184"/>
      <c r="O742" s="184"/>
      <c r="AB742" s="185"/>
      <c r="AC742" s="185"/>
      <c r="AD742" s="185"/>
      <c r="AE742" s="185"/>
    </row>
    <row r="743" ht="15.75" customHeight="1">
      <c r="C743" s="184"/>
      <c r="D743" s="184"/>
      <c r="E743" s="184"/>
      <c r="F743" s="184"/>
      <c r="G743" s="184"/>
      <c r="H743" s="184"/>
      <c r="I743" s="184"/>
      <c r="J743" s="184"/>
      <c r="K743" s="184"/>
      <c r="L743" s="184"/>
      <c r="M743" s="184"/>
      <c r="N743" s="184"/>
      <c r="O743" s="184"/>
      <c r="AB743" s="185"/>
      <c r="AC743" s="185"/>
      <c r="AD743" s="185"/>
      <c r="AE743" s="185"/>
    </row>
    <row r="744" ht="15.75" customHeight="1">
      <c r="C744" s="184"/>
      <c r="D744" s="184"/>
      <c r="E744" s="184"/>
      <c r="F744" s="184"/>
      <c r="G744" s="184"/>
      <c r="H744" s="184"/>
      <c r="I744" s="184"/>
      <c r="J744" s="184"/>
      <c r="K744" s="184"/>
      <c r="L744" s="184"/>
      <c r="M744" s="184"/>
      <c r="N744" s="184"/>
      <c r="O744" s="184"/>
      <c r="AB744" s="185"/>
      <c r="AC744" s="185"/>
      <c r="AD744" s="185"/>
      <c r="AE744" s="185"/>
    </row>
    <row r="745" ht="15.75" customHeight="1">
      <c r="C745" s="184"/>
      <c r="D745" s="184"/>
      <c r="E745" s="184"/>
      <c r="F745" s="184"/>
      <c r="G745" s="184"/>
      <c r="H745" s="184"/>
      <c r="I745" s="184"/>
      <c r="J745" s="184"/>
      <c r="K745" s="184"/>
      <c r="L745" s="184"/>
      <c r="M745" s="184"/>
      <c r="N745" s="184"/>
      <c r="O745" s="184"/>
      <c r="AB745" s="185"/>
      <c r="AC745" s="185"/>
      <c r="AD745" s="185"/>
      <c r="AE745" s="185"/>
    </row>
    <row r="746" ht="15.75" customHeight="1">
      <c r="C746" s="184"/>
      <c r="D746" s="184"/>
      <c r="E746" s="184"/>
      <c r="F746" s="184"/>
      <c r="G746" s="184"/>
      <c r="H746" s="184"/>
      <c r="I746" s="184"/>
      <c r="J746" s="184"/>
      <c r="K746" s="184"/>
      <c r="L746" s="184"/>
      <c r="M746" s="184"/>
      <c r="N746" s="184"/>
      <c r="O746" s="184"/>
      <c r="AB746" s="185"/>
      <c r="AC746" s="185"/>
      <c r="AD746" s="185"/>
      <c r="AE746" s="185"/>
    </row>
    <row r="747" ht="15.75" customHeight="1">
      <c r="C747" s="184"/>
      <c r="D747" s="184"/>
      <c r="E747" s="184"/>
      <c r="F747" s="184"/>
      <c r="G747" s="184"/>
      <c r="H747" s="184"/>
      <c r="I747" s="184"/>
      <c r="J747" s="184"/>
      <c r="K747" s="184"/>
      <c r="L747" s="184"/>
      <c r="M747" s="184"/>
      <c r="N747" s="184"/>
      <c r="O747" s="184"/>
      <c r="AB747" s="185"/>
      <c r="AC747" s="185"/>
      <c r="AD747" s="185"/>
      <c r="AE747" s="185"/>
    </row>
    <row r="748" ht="15.75" customHeight="1">
      <c r="C748" s="184"/>
      <c r="D748" s="184"/>
      <c r="E748" s="184"/>
      <c r="F748" s="184"/>
      <c r="G748" s="184"/>
      <c r="H748" s="184"/>
      <c r="I748" s="184"/>
      <c r="J748" s="184"/>
      <c r="K748" s="184"/>
      <c r="L748" s="184"/>
      <c r="M748" s="184"/>
      <c r="N748" s="184"/>
      <c r="O748" s="184"/>
      <c r="AB748" s="185"/>
      <c r="AC748" s="185"/>
      <c r="AD748" s="185"/>
      <c r="AE748" s="185"/>
    </row>
    <row r="749" ht="15.75" customHeight="1">
      <c r="C749" s="184"/>
      <c r="D749" s="184"/>
      <c r="E749" s="184"/>
      <c r="F749" s="184"/>
      <c r="G749" s="184"/>
      <c r="H749" s="184"/>
      <c r="I749" s="184"/>
      <c r="J749" s="184"/>
      <c r="K749" s="184"/>
      <c r="L749" s="184"/>
      <c r="M749" s="184"/>
      <c r="N749" s="184"/>
      <c r="O749" s="184"/>
      <c r="AB749" s="185"/>
      <c r="AC749" s="185"/>
      <c r="AD749" s="185"/>
      <c r="AE749" s="185"/>
    </row>
    <row r="750" ht="15.75" customHeight="1">
      <c r="C750" s="184"/>
      <c r="D750" s="184"/>
      <c r="E750" s="184"/>
      <c r="F750" s="184"/>
      <c r="G750" s="184"/>
      <c r="H750" s="184"/>
      <c r="I750" s="184"/>
      <c r="J750" s="184"/>
      <c r="K750" s="184"/>
      <c r="L750" s="184"/>
      <c r="M750" s="184"/>
      <c r="N750" s="184"/>
      <c r="O750" s="184"/>
      <c r="AB750" s="185"/>
      <c r="AC750" s="185"/>
      <c r="AD750" s="185"/>
      <c r="AE750" s="185"/>
    </row>
    <row r="751" ht="15.75" customHeight="1">
      <c r="C751" s="184"/>
      <c r="D751" s="184"/>
      <c r="E751" s="184"/>
      <c r="F751" s="184"/>
      <c r="G751" s="184"/>
      <c r="H751" s="184"/>
      <c r="I751" s="184"/>
      <c r="J751" s="184"/>
      <c r="K751" s="184"/>
      <c r="L751" s="184"/>
      <c r="M751" s="184"/>
      <c r="N751" s="184"/>
      <c r="O751" s="184"/>
      <c r="AB751" s="185"/>
      <c r="AC751" s="185"/>
      <c r="AD751" s="185"/>
      <c r="AE751" s="185"/>
    </row>
    <row r="752" ht="15.75" customHeight="1">
      <c r="C752" s="184"/>
      <c r="D752" s="184"/>
      <c r="E752" s="184"/>
      <c r="F752" s="184"/>
      <c r="G752" s="184"/>
      <c r="H752" s="184"/>
      <c r="I752" s="184"/>
      <c r="J752" s="184"/>
      <c r="K752" s="184"/>
      <c r="L752" s="184"/>
      <c r="M752" s="184"/>
      <c r="N752" s="184"/>
      <c r="O752" s="184"/>
      <c r="AB752" s="185"/>
      <c r="AC752" s="185"/>
      <c r="AD752" s="185"/>
      <c r="AE752" s="185"/>
    </row>
    <row r="753" ht="15.75" customHeight="1">
      <c r="C753" s="184"/>
      <c r="D753" s="184"/>
      <c r="E753" s="184"/>
      <c r="F753" s="184"/>
      <c r="G753" s="184"/>
      <c r="H753" s="184"/>
      <c r="I753" s="184"/>
      <c r="J753" s="184"/>
      <c r="K753" s="184"/>
      <c r="L753" s="184"/>
      <c r="M753" s="184"/>
      <c r="N753" s="184"/>
      <c r="O753" s="184"/>
      <c r="AB753" s="185"/>
      <c r="AC753" s="185"/>
      <c r="AD753" s="185"/>
      <c r="AE753" s="185"/>
    </row>
    <row r="754" ht="15.75" customHeight="1">
      <c r="C754" s="184"/>
      <c r="D754" s="184"/>
      <c r="E754" s="184"/>
      <c r="F754" s="184"/>
      <c r="G754" s="184"/>
      <c r="H754" s="184"/>
      <c r="I754" s="184"/>
      <c r="J754" s="184"/>
      <c r="K754" s="184"/>
      <c r="L754" s="184"/>
      <c r="M754" s="184"/>
      <c r="N754" s="184"/>
      <c r="O754" s="184"/>
      <c r="AB754" s="185"/>
      <c r="AC754" s="185"/>
      <c r="AD754" s="185"/>
      <c r="AE754" s="185"/>
    </row>
    <row r="755" ht="15.75" customHeight="1">
      <c r="C755" s="184"/>
      <c r="D755" s="184"/>
      <c r="E755" s="184"/>
      <c r="F755" s="184"/>
      <c r="G755" s="184"/>
      <c r="H755" s="184"/>
      <c r="I755" s="184"/>
      <c r="J755" s="184"/>
      <c r="K755" s="184"/>
      <c r="L755" s="184"/>
      <c r="M755" s="184"/>
      <c r="N755" s="184"/>
      <c r="O755" s="184"/>
      <c r="AB755" s="185"/>
      <c r="AC755" s="185"/>
      <c r="AD755" s="185"/>
      <c r="AE755" s="185"/>
    </row>
    <row r="756" ht="15.75" customHeight="1">
      <c r="C756" s="184"/>
      <c r="D756" s="184"/>
      <c r="E756" s="184"/>
      <c r="F756" s="184"/>
      <c r="G756" s="184"/>
      <c r="H756" s="184"/>
      <c r="I756" s="184"/>
      <c r="J756" s="184"/>
      <c r="K756" s="184"/>
      <c r="L756" s="184"/>
      <c r="M756" s="184"/>
      <c r="N756" s="184"/>
      <c r="O756" s="184"/>
      <c r="AB756" s="185"/>
      <c r="AC756" s="185"/>
      <c r="AD756" s="185"/>
      <c r="AE756" s="185"/>
    </row>
    <row r="757" ht="15.75" customHeight="1">
      <c r="C757" s="184"/>
      <c r="D757" s="184"/>
      <c r="E757" s="184"/>
      <c r="F757" s="184"/>
      <c r="G757" s="184"/>
      <c r="H757" s="184"/>
      <c r="I757" s="184"/>
      <c r="J757" s="184"/>
      <c r="K757" s="184"/>
      <c r="L757" s="184"/>
      <c r="M757" s="184"/>
      <c r="N757" s="184"/>
      <c r="O757" s="184"/>
      <c r="AB757" s="185"/>
      <c r="AC757" s="185"/>
      <c r="AD757" s="185"/>
      <c r="AE757" s="185"/>
    </row>
    <row r="758" ht="15.75" customHeight="1">
      <c r="C758" s="184"/>
      <c r="D758" s="184"/>
      <c r="E758" s="184"/>
      <c r="F758" s="184"/>
      <c r="G758" s="184"/>
      <c r="H758" s="184"/>
      <c r="I758" s="184"/>
      <c r="J758" s="184"/>
      <c r="K758" s="184"/>
      <c r="L758" s="184"/>
      <c r="M758" s="184"/>
      <c r="N758" s="184"/>
      <c r="O758" s="184"/>
      <c r="AB758" s="185"/>
      <c r="AC758" s="185"/>
      <c r="AD758" s="185"/>
      <c r="AE758" s="185"/>
    </row>
    <row r="759" ht="15.75" customHeight="1">
      <c r="C759" s="184"/>
      <c r="D759" s="184"/>
      <c r="E759" s="184"/>
      <c r="F759" s="184"/>
      <c r="G759" s="184"/>
      <c r="H759" s="184"/>
      <c r="I759" s="184"/>
      <c r="J759" s="184"/>
      <c r="K759" s="184"/>
      <c r="L759" s="184"/>
      <c r="M759" s="184"/>
      <c r="N759" s="184"/>
      <c r="O759" s="184"/>
      <c r="AB759" s="185"/>
      <c r="AC759" s="185"/>
      <c r="AD759" s="185"/>
      <c r="AE759" s="185"/>
    </row>
    <row r="760" ht="15.75" customHeight="1">
      <c r="C760" s="184"/>
      <c r="D760" s="184"/>
      <c r="E760" s="184"/>
      <c r="F760" s="184"/>
      <c r="G760" s="184"/>
      <c r="H760" s="184"/>
      <c r="I760" s="184"/>
      <c r="J760" s="184"/>
      <c r="K760" s="184"/>
      <c r="L760" s="184"/>
      <c r="M760" s="184"/>
      <c r="N760" s="184"/>
      <c r="O760" s="184"/>
      <c r="AB760" s="185"/>
      <c r="AC760" s="185"/>
      <c r="AD760" s="185"/>
      <c r="AE760" s="185"/>
    </row>
    <row r="761" ht="15.75" customHeight="1">
      <c r="C761" s="184"/>
      <c r="D761" s="184"/>
      <c r="E761" s="184"/>
      <c r="F761" s="184"/>
      <c r="G761" s="184"/>
      <c r="H761" s="184"/>
      <c r="I761" s="184"/>
      <c r="J761" s="184"/>
      <c r="K761" s="184"/>
      <c r="L761" s="184"/>
      <c r="M761" s="184"/>
      <c r="N761" s="184"/>
      <c r="O761" s="184"/>
      <c r="AB761" s="185"/>
      <c r="AC761" s="185"/>
      <c r="AD761" s="185"/>
      <c r="AE761" s="185"/>
    </row>
    <row r="762" ht="15.75" customHeight="1">
      <c r="C762" s="184"/>
      <c r="D762" s="184"/>
      <c r="E762" s="184"/>
      <c r="F762" s="184"/>
      <c r="G762" s="184"/>
      <c r="H762" s="184"/>
      <c r="I762" s="184"/>
      <c r="J762" s="184"/>
      <c r="K762" s="184"/>
      <c r="L762" s="184"/>
      <c r="M762" s="184"/>
      <c r="N762" s="184"/>
      <c r="O762" s="184"/>
      <c r="AB762" s="185"/>
      <c r="AC762" s="185"/>
      <c r="AD762" s="185"/>
      <c r="AE762" s="185"/>
    </row>
    <row r="763" ht="15.75" customHeight="1">
      <c r="C763" s="184"/>
      <c r="D763" s="184"/>
      <c r="E763" s="184"/>
      <c r="F763" s="184"/>
      <c r="G763" s="184"/>
      <c r="H763" s="184"/>
      <c r="I763" s="184"/>
      <c r="J763" s="184"/>
      <c r="K763" s="184"/>
      <c r="L763" s="184"/>
      <c r="M763" s="184"/>
      <c r="N763" s="184"/>
      <c r="O763" s="184"/>
      <c r="AB763" s="185"/>
      <c r="AC763" s="185"/>
      <c r="AD763" s="185"/>
      <c r="AE763" s="185"/>
    </row>
    <row r="764" ht="15.75" customHeight="1">
      <c r="C764" s="184"/>
      <c r="D764" s="184"/>
      <c r="E764" s="184"/>
      <c r="F764" s="184"/>
      <c r="G764" s="184"/>
      <c r="H764" s="184"/>
      <c r="I764" s="184"/>
      <c r="J764" s="184"/>
      <c r="K764" s="184"/>
      <c r="L764" s="184"/>
      <c r="M764" s="184"/>
      <c r="N764" s="184"/>
      <c r="O764" s="184"/>
      <c r="AB764" s="185"/>
      <c r="AC764" s="185"/>
      <c r="AD764" s="185"/>
      <c r="AE764" s="185"/>
    </row>
    <row r="765" ht="15.75" customHeight="1">
      <c r="C765" s="184"/>
      <c r="D765" s="184"/>
      <c r="E765" s="184"/>
      <c r="F765" s="184"/>
      <c r="G765" s="184"/>
      <c r="H765" s="184"/>
      <c r="I765" s="184"/>
      <c r="J765" s="184"/>
      <c r="K765" s="184"/>
      <c r="L765" s="184"/>
      <c r="M765" s="184"/>
      <c r="N765" s="184"/>
      <c r="O765" s="184"/>
      <c r="AB765" s="185"/>
      <c r="AC765" s="185"/>
      <c r="AD765" s="185"/>
      <c r="AE765" s="185"/>
    </row>
    <row r="766" ht="15.75" customHeight="1">
      <c r="C766" s="184"/>
      <c r="D766" s="184"/>
      <c r="E766" s="184"/>
      <c r="F766" s="184"/>
      <c r="G766" s="184"/>
      <c r="H766" s="184"/>
      <c r="I766" s="184"/>
      <c r="J766" s="184"/>
      <c r="K766" s="184"/>
      <c r="L766" s="184"/>
      <c r="M766" s="184"/>
      <c r="N766" s="184"/>
      <c r="O766" s="184"/>
      <c r="AB766" s="185"/>
      <c r="AC766" s="185"/>
      <c r="AD766" s="185"/>
      <c r="AE766" s="185"/>
    </row>
    <row r="767" ht="15.75" customHeight="1">
      <c r="C767" s="184"/>
      <c r="D767" s="184"/>
      <c r="E767" s="184"/>
      <c r="F767" s="184"/>
      <c r="G767" s="184"/>
      <c r="H767" s="184"/>
      <c r="I767" s="184"/>
      <c r="J767" s="184"/>
      <c r="K767" s="184"/>
      <c r="L767" s="184"/>
      <c r="M767" s="184"/>
      <c r="N767" s="184"/>
      <c r="O767" s="184"/>
      <c r="AB767" s="185"/>
      <c r="AC767" s="185"/>
      <c r="AD767" s="185"/>
      <c r="AE767" s="185"/>
    </row>
    <row r="768" ht="15.75" customHeight="1">
      <c r="C768" s="184"/>
      <c r="D768" s="184"/>
      <c r="E768" s="184"/>
      <c r="F768" s="184"/>
      <c r="G768" s="184"/>
      <c r="H768" s="184"/>
      <c r="I768" s="184"/>
      <c r="J768" s="184"/>
      <c r="K768" s="184"/>
      <c r="L768" s="184"/>
      <c r="M768" s="184"/>
      <c r="N768" s="184"/>
      <c r="O768" s="184"/>
      <c r="AB768" s="185"/>
      <c r="AC768" s="185"/>
      <c r="AD768" s="185"/>
      <c r="AE768" s="185"/>
    </row>
    <row r="769" ht="15.75" customHeight="1">
      <c r="C769" s="184"/>
      <c r="D769" s="184"/>
      <c r="E769" s="184"/>
      <c r="F769" s="184"/>
      <c r="G769" s="184"/>
      <c r="H769" s="184"/>
      <c r="I769" s="184"/>
      <c r="J769" s="184"/>
      <c r="K769" s="184"/>
      <c r="L769" s="184"/>
      <c r="M769" s="184"/>
      <c r="N769" s="184"/>
      <c r="O769" s="184"/>
      <c r="AB769" s="185"/>
      <c r="AC769" s="185"/>
      <c r="AD769" s="185"/>
      <c r="AE769" s="185"/>
    </row>
    <row r="770" ht="15.75" customHeight="1">
      <c r="C770" s="184"/>
      <c r="D770" s="184"/>
      <c r="E770" s="184"/>
      <c r="F770" s="184"/>
      <c r="G770" s="184"/>
      <c r="H770" s="184"/>
      <c r="I770" s="184"/>
      <c r="J770" s="184"/>
      <c r="K770" s="184"/>
      <c r="L770" s="184"/>
      <c r="M770" s="184"/>
      <c r="N770" s="184"/>
      <c r="O770" s="184"/>
      <c r="AB770" s="185"/>
      <c r="AC770" s="185"/>
      <c r="AD770" s="185"/>
      <c r="AE770" s="185"/>
    </row>
    <row r="771" ht="15.75" customHeight="1">
      <c r="C771" s="184"/>
      <c r="D771" s="184"/>
      <c r="E771" s="184"/>
      <c r="F771" s="184"/>
      <c r="G771" s="184"/>
      <c r="H771" s="184"/>
      <c r="I771" s="184"/>
      <c r="J771" s="184"/>
      <c r="K771" s="184"/>
      <c r="L771" s="184"/>
      <c r="M771" s="184"/>
      <c r="N771" s="184"/>
      <c r="O771" s="184"/>
      <c r="AB771" s="185"/>
      <c r="AC771" s="185"/>
      <c r="AD771" s="185"/>
      <c r="AE771" s="185"/>
    </row>
    <row r="772" ht="15.75" customHeight="1">
      <c r="C772" s="184"/>
      <c r="D772" s="184"/>
      <c r="E772" s="184"/>
      <c r="F772" s="184"/>
      <c r="G772" s="184"/>
      <c r="H772" s="184"/>
      <c r="I772" s="184"/>
      <c r="J772" s="184"/>
      <c r="K772" s="184"/>
      <c r="L772" s="184"/>
      <c r="M772" s="184"/>
      <c r="N772" s="184"/>
      <c r="O772" s="184"/>
      <c r="AB772" s="185"/>
      <c r="AC772" s="185"/>
      <c r="AD772" s="185"/>
      <c r="AE772" s="185"/>
    </row>
    <row r="773" ht="15.75" customHeight="1">
      <c r="C773" s="184"/>
      <c r="D773" s="184"/>
      <c r="E773" s="184"/>
      <c r="F773" s="184"/>
      <c r="G773" s="184"/>
      <c r="H773" s="184"/>
      <c r="I773" s="184"/>
      <c r="J773" s="184"/>
      <c r="K773" s="184"/>
      <c r="L773" s="184"/>
      <c r="M773" s="184"/>
      <c r="N773" s="184"/>
      <c r="O773" s="184"/>
      <c r="AB773" s="185"/>
      <c r="AC773" s="185"/>
      <c r="AD773" s="185"/>
      <c r="AE773" s="185"/>
    </row>
    <row r="774" ht="15.75" customHeight="1">
      <c r="C774" s="184"/>
      <c r="D774" s="184"/>
      <c r="E774" s="184"/>
      <c r="F774" s="184"/>
      <c r="G774" s="184"/>
      <c r="H774" s="184"/>
      <c r="I774" s="184"/>
      <c r="J774" s="184"/>
      <c r="K774" s="184"/>
      <c r="L774" s="184"/>
      <c r="M774" s="184"/>
      <c r="N774" s="184"/>
      <c r="O774" s="184"/>
      <c r="AB774" s="185"/>
      <c r="AC774" s="185"/>
      <c r="AD774" s="185"/>
      <c r="AE774" s="185"/>
    </row>
    <row r="775" ht="15.75" customHeight="1">
      <c r="C775" s="184"/>
      <c r="D775" s="184"/>
      <c r="E775" s="184"/>
      <c r="F775" s="184"/>
      <c r="G775" s="184"/>
      <c r="H775" s="184"/>
      <c r="I775" s="184"/>
      <c r="J775" s="184"/>
      <c r="K775" s="184"/>
      <c r="L775" s="184"/>
      <c r="M775" s="184"/>
      <c r="N775" s="184"/>
      <c r="O775" s="184"/>
      <c r="AB775" s="185"/>
      <c r="AC775" s="185"/>
      <c r="AD775" s="185"/>
      <c r="AE775" s="185"/>
    </row>
    <row r="776" ht="15.75" customHeight="1">
      <c r="C776" s="184"/>
      <c r="D776" s="184"/>
      <c r="E776" s="184"/>
      <c r="F776" s="184"/>
      <c r="G776" s="184"/>
      <c r="H776" s="184"/>
      <c r="I776" s="184"/>
      <c r="J776" s="184"/>
      <c r="K776" s="184"/>
      <c r="L776" s="184"/>
      <c r="M776" s="184"/>
      <c r="N776" s="184"/>
      <c r="O776" s="184"/>
      <c r="AB776" s="185"/>
      <c r="AC776" s="185"/>
      <c r="AD776" s="185"/>
      <c r="AE776" s="185"/>
    </row>
    <row r="777" ht="15.75" customHeight="1">
      <c r="C777" s="184"/>
      <c r="D777" s="184"/>
      <c r="E777" s="184"/>
      <c r="F777" s="184"/>
      <c r="G777" s="184"/>
      <c r="H777" s="184"/>
      <c r="I777" s="184"/>
      <c r="J777" s="184"/>
      <c r="K777" s="184"/>
      <c r="L777" s="184"/>
      <c r="M777" s="184"/>
      <c r="N777" s="184"/>
      <c r="O777" s="184"/>
      <c r="AB777" s="185"/>
      <c r="AC777" s="185"/>
      <c r="AD777" s="185"/>
      <c r="AE777" s="185"/>
    </row>
    <row r="778" ht="15.75" customHeight="1">
      <c r="C778" s="184"/>
      <c r="D778" s="184"/>
      <c r="E778" s="184"/>
      <c r="F778" s="184"/>
      <c r="G778" s="184"/>
      <c r="H778" s="184"/>
      <c r="I778" s="184"/>
      <c r="J778" s="184"/>
      <c r="K778" s="184"/>
      <c r="L778" s="184"/>
      <c r="M778" s="184"/>
      <c r="N778" s="184"/>
      <c r="O778" s="184"/>
      <c r="AB778" s="185"/>
      <c r="AC778" s="185"/>
      <c r="AD778" s="185"/>
      <c r="AE778" s="185"/>
    </row>
    <row r="779" ht="15.75" customHeight="1">
      <c r="C779" s="184"/>
      <c r="D779" s="184"/>
      <c r="E779" s="184"/>
      <c r="F779" s="184"/>
      <c r="G779" s="184"/>
      <c r="H779" s="184"/>
      <c r="I779" s="184"/>
      <c r="J779" s="184"/>
      <c r="K779" s="184"/>
      <c r="L779" s="184"/>
      <c r="M779" s="184"/>
      <c r="N779" s="184"/>
      <c r="O779" s="184"/>
      <c r="AB779" s="185"/>
      <c r="AC779" s="185"/>
      <c r="AD779" s="185"/>
      <c r="AE779" s="185"/>
    </row>
    <row r="780" ht="15.75" customHeight="1">
      <c r="C780" s="184"/>
      <c r="D780" s="184"/>
      <c r="E780" s="184"/>
      <c r="F780" s="184"/>
      <c r="G780" s="184"/>
      <c r="H780" s="184"/>
      <c r="I780" s="184"/>
      <c r="J780" s="184"/>
      <c r="K780" s="184"/>
      <c r="L780" s="184"/>
      <c r="M780" s="184"/>
      <c r="N780" s="184"/>
      <c r="O780" s="184"/>
      <c r="AB780" s="185"/>
      <c r="AC780" s="185"/>
      <c r="AD780" s="185"/>
      <c r="AE780" s="185"/>
    </row>
    <row r="781" ht="15.75" customHeight="1">
      <c r="C781" s="184"/>
      <c r="D781" s="184"/>
      <c r="E781" s="184"/>
      <c r="F781" s="184"/>
      <c r="G781" s="184"/>
      <c r="H781" s="184"/>
      <c r="I781" s="184"/>
      <c r="J781" s="184"/>
      <c r="K781" s="184"/>
      <c r="L781" s="184"/>
      <c r="M781" s="184"/>
      <c r="N781" s="184"/>
      <c r="O781" s="184"/>
      <c r="AB781" s="185"/>
      <c r="AC781" s="185"/>
      <c r="AD781" s="185"/>
      <c r="AE781" s="185"/>
    </row>
    <row r="782" ht="15.75" customHeight="1">
      <c r="C782" s="184"/>
      <c r="D782" s="184"/>
      <c r="E782" s="184"/>
      <c r="F782" s="184"/>
      <c r="G782" s="184"/>
      <c r="H782" s="184"/>
      <c r="I782" s="184"/>
      <c r="J782" s="184"/>
      <c r="K782" s="184"/>
      <c r="L782" s="184"/>
      <c r="M782" s="184"/>
      <c r="N782" s="184"/>
      <c r="O782" s="184"/>
      <c r="AB782" s="185"/>
      <c r="AC782" s="185"/>
      <c r="AD782" s="185"/>
      <c r="AE782" s="185"/>
    </row>
    <row r="783" ht="15.75" customHeight="1">
      <c r="C783" s="184"/>
      <c r="D783" s="184"/>
      <c r="E783" s="184"/>
      <c r="F783" s="184"/>
      <c r="G783" s="184"/>
      <c r="H783" s="184"/>
      <c r="I783" s="184"/>
      <c r="J783" s="184"/>
      <c r="K783" s="184"/>
      <c r="L783" s="184"/>
      <c r="M783" s="184"/>
      <c r="N783" s="184"/>
      <c r="O783" s="184"/>
      <c r="AB783" s="185"/>
      <c r="AC783" s="185"/>
      <c r="AD783" s="185"/>
      <c r="AE783" s="185"/>
    </row>
    <row r="784" ht="15.75" customHeight="1">
      <c r="C784" s="184"/>
      <c r="D784" s="184"/>
      <c r="E784" s="184"/>
      <c r="F784" s="184"/>
      <c r="G784" s="184"/>
      <c r="H784" s="184"/>
      <c r="I784" s="184"/>
      <c r="J784" s="184"/>
      <c r="K784" s="184"/>
      <c r="L784" s="184"/>
      <c r="M784" s="184"/>
      <c r="N784" s="184"/>
      <c r="O784" s="184"/>
      <c r="AB784" s="185"/>
      <c r="AC784" s="185"/>
      <c r="AD784" s="185"/>
      <c r="AE784" s="185"/>
    </row>
    <row r="785" ht="15.75" customHeight="1">
      <c r="C785" s="184"/>
      <c r="D785" s="184"/>
      <c r="E785" s="184"/>
      <c r="F785" s="184"/>
      <c r="G785" s="184"/>
      <c r="H785" s="184"/>
      <c r="I785" s="184"/>
      <c r="J785" s="184"/>
      <c r="K785" s="184"/>
      <c r="L785" s="184"/>
      <c r="M785" s="184"/>
      <c r="N785" s="184"/>
      <c r="O785" s="184"/>
      <c r="AB785" s="185"/>
      <c r="AC785" s="185"/>
      <c r="AD785" s="185"/>
      <c r="AE785" s="185"/>
    </row>
    <row r="786" ht="15.75" customHeight="1">
      <c r="C786" s="184"/>
      <c r="D786" s="184"/>
      <c r="E786" s="184"/>
      <c r="F786" s="184"/>
      <c r="G786" s="184"/>
      <c r="H786" s="184"/>
      <c r="I786" s="184"/>
      <c r="J786" s="184"/>
      <c r="K786" s="184"/>
      <c r="L786" s="184"/>
      <c r="M786" s="184"/>
      <c r="N786" s="184"/>
      <c r="O786" s="184"/>
      <c r="AB786" s="185"/>
      <c r="AC786" s="185"/>
      <c r="AD786" s="185"/>
      <c r="AE786" s="185"/>
    </row>
    <row r="787" ht="15.75" customHeight="1">
      <c r="C787" s="184"/>
      <c r="D787" s="184"/>
      <c r="E787" s="184"/>
      <c r="F787" s="184"/>
      <c r="G787" s="184"/>
      <c r="H787" s="184"/>
      <c r="I787" s="184"/>
      <c r="J787" s="184"/>
      <c r="K787" s="184"/>
      <c r="L787" s="184"/>
      <c r="M787" s="184"/>
      <c r="N787" s="184"/>
      <c r="O787" s="184"/>
      <c r="AB787" s="185"/>
      <c r="AC787" s="185"/>
      <c r="AD787" s="185"/>
      <c r="AE787" s="185"/>
    </row>
    <row r="788" ht="15.75" customHeight="1">
      <c r="C788" s="184"/>
      <c r="D788" s="184"/>
      <c r="E788" s="184"/>
      <c r="F788" s="184"/>
      <c r="G788" s="184"/>
      <c r="H788" s="184"/>
      <c r="I788" s="184"/>
      <c r="J788" s="184"/>
      <c r="K788" s="184"/>
      <c r="L788" s="184"/>
      <c r="M788" s="184"/>
      <c r="N788" s="184"/>
      <c r="O788" s="184"/>
      <c r="AB788" s="185"/>
      <c r="AC788" s="185"/>
      <c r="AD788" s="185"/>
      <c r="AE788" s="185"/>
    </row>
    <row r="789" ht="15.75" customHeight="1">
      <c r="C789" s="184"/>
      <c r="D789" s="184"/>
      <c r="E789" s="184"/>
      <c r="F789" s="184"/>
      <c r="G789" s="184"/>
      <c r="H789" s="184"/>
      <c r="I789" s="184"/>
      <c r="J789" s="184"/>
      <c r="K789" s="184"/>
      <c r="L789" s="184"/>
      <c r="M789" s="184"/>
      <c r="N789" s="184"/>
      <c r="O789" s="184"/>
      <c r="AB789" s="185"/>
      <c r="AC789" s="185"/>
      <c r="AD789" s="185"/>
      <c r="AE789" s="185"/>
    </row>
    <row r="790" ht="15.75" customHeight="1">
      <c r="C790" s="184"/>
      <c r="D790" s="184"/>
      <c r="E790" s="184"/>
      <c r="F790" s="184"/>
      <c r="G790" s="184"/>
      <c r="H790" s="184"/>
      <c r="I790" s="184"/>
      <c r="J790" s="184"/>
      <c r="K790" s="184"/>
      <c r="L790" s="184"/>
      <c r="M790" s="184"/>
      <c r="N790" s="184"/>
      <c r="O790" s="184"/>
      <c r="AB790" s="185"/>
      <c r="AC790" s="185"/>
      <c r="AD790" s="185"/>
      <c r="AE790" s="185"/>
    </row>
    <row r="791" ht="15.75" customHeight="1">
      <c r="C791" s="184"/>
      <c r="D791" s="184"/>
      <c r="E791" s="184"/>
      <c r="F791" s="184"/>
      <c r="G791" s="184"/>
      <c r="H791" s="184"/>
      <c r="I791" s="184"/>
      <c r="J791" s="184"/>
      <c r="K791" s="184"/>
      <c r="L791" s="184"/>
      <c r="M791" s="184"/>
      <c r="N791" s="184"/>
      <c r="O791" s="184"/>
      <c r="AB791" s="185"/>
      <c r="AC791" s="185"/>
      <c r="AD791" s="185"/>
      <c r="AE791" s="185"/>
    </row>
    <row r="792" ht="15.75" customHeight="1">
      <c r="C792" s="184"/>
      <c r="D792" s="184"/>
      <c r="E792" s="184"/>
      <c r="F792" s="184"/>
      <c r="G792" s="184"/>
      <c r="H792" s="184"/>
      <c r="I792" s="184"/>
      <c r="J792" s="184"/>
      <c r="K792" s="184"/>
      <c r="L792" s="184"/>
      <c r="M792" s="184"/>
      <c r="N792" s="184"/>
      <c r="O792" s="184"/>
      <c r="AB792" s="185"/>
      <c r="AC792" s="185"/>
      <c r="AD792" s="185"/>
      <c r="AE792" s="185"/>
    </row>
    <row r="793" ht="15.75" customHeight="1">
      <c r="C793" s="184"/>
      <c r="D793" s="184"/>
      <c r="E793" s="184"/>
      <c r="F793" s="184"/>
      <c r="G793" s="184"/>
      <c r="H793" s="184"/>
      <c r="I793" s="184"/>
      <c r="J793" s="184"/>
      <c r="K793" s="184"/>
      <c r="L793" s="184"/>
      <c r="M793" s="184"/>
      <c r="N793" s="184"/>
      <c r="O793" s="184"/>
      <c r="AB793" s="185"/>
      <c r="AC793" s="185"/>
      <c r="AD793" s="185"/>
      <c r="AE793" s="185"/>
    </row>
    <row r="794" ht="15.75" customHeight="1">
      <c r="C794" s="184"/>
      <c r="D794" s="184"/>
      <c r="E794" s="184"/>
      <c r="F794" s="184"/>
      <c r="G794" s="184"/>
      <c r="H794" s="184"/>
      <c r="I794" s="184"/>
      <c r="J794" s="184"/>
      <c r="K794" s="184"/>
      <c r="L794" s="184"/>
      <c r="M794" s="184"/>
      <c r="N794" s="184"/>
      <c r="O794" s="184"/>
      <c r="AB794" s="185"/>
      <c r="AC794" s="185"/>
      <c r="AD794" s="185"/>
      <c r="AE794" s="185"/>
    </row>
    <row r="795" ht="15.75" customHeight="1">
      <c r="C795" s="184"/>
      <c r="D795" s="184"/>
      <c r="E795" s="184"/>
      <c r="F795" s="184"/>
      <c r="G795" s="184"/>
      <c r="H795" s="184"/>
      <c r="I795" s="184"/>
      <c r="J795" s="184"/>
      <c r="K795" s="184"/>
      <c r="L795" s="184"/>
      <c r="M795" s="184"/>
      <c r="N795" s="184"/>
      <c r="O795" s="184"/>
      <c r="AB795" s="185"/>
      <c r="AC795" s="185"/>
      <c r="AD795" s="185"/>
      <c r="AE795" s="185"/>
    </row>
    <row r="796" ht="15.75" customHeight="1">
      <c r="C796" s="184"/>
      <c r="D796" s="184"/>
      <c r="E796" s="184"/>
      <c r="F796" s="184"/>
      <c r="G796" s="184"/>
      <c r="H796" s="184"/>
      <c r="I796" s="184"/>
      <c r="J796" s="184"/>
      <c r="K796" s="184"/>
      <c r="L796" s="184"/>
      <c r="M796" s="184"/>
      <c r="N796" s="184"/>
      <c r="O796" s="184"/>
      <c r="AB796" s="185"/>
      <c r="AC796" s="185"/>
      <c r="AD796" s="185"/>
      <c r="AE796" s="185"/>
    </row>
    <row r="797" ht="15.75" customHeight="1">
      <c r="C797" s="184"/>
      <c r="D797" s="184"/>
      <c r="E797" s="184"/>
      <c r="F797" s="184"/>
      <c r="G797" s="184"/>
      <c r="H797" s="184"/>
      <c r="I797" s="184"/>
      <c r="J797" s="184"/>
      <c r="K797" s="184"/>
      <c r="L797" s="184"/>
      <c r="M797" s="184"/>
      <c r="N797" s="184"/>
      <c r="O797" s="184"/>
      <c r="AB797" s="185"/>
      <c r="AC797" s="185"/>
      <c r="AD797" s="185"/>
      <c r="AE797" s="185"/>
    </row>
    <row r="798" ht="15.75" customHeight="1">
      <c r="C798" s="184"/>
      <c r="D798" s="184"/>
      <c r="E798" s="184"/>
      <c r="F798" s="184"/>
      <c r="G798" s="184"/>
      <c r="H798" s="184"/>
      <c r="I798" s="184"/>
      <c r="J798" s="184"/>
      <c r="K798" s="184"/>
      <c r="L798" s="184"/>
      <c r="M798" s="184"/>
      <c r="N798" s="184"/>
      <c r="O798" s="184"/>
      <c r="AB798" s="185"/>
      <c r="AC798" s="185"/>
      <c r="AD798" s="185"/>
      <c r="AE798" s="185"/>
    </row>
    <row r="799" ht="15.75" customHeight="1">
      <c r="C799" s="184"/>
      <c r="D799" s="184"/>
      <c r="E799" s="184"/>
      <c r="F799" s="184"/>
      <c r="G799" s="184"/>
      <c r="H799" s="184"/>
      <c r="I799" s="184"/>
      <c r="J799" s="184"/>
      <c r="K799" s="184"/>
      <c r="L799" s="184"/>
      <c r="M799" s="184"/>
      <c r="N799" s="184"/>
      <c r="O799" s="184"/>
      <c r="AB799" s="185"/>
      <c r="AC799" s="185"/>
      <c r="AD799" s="185"/>
      <c r="AE799" s="185"/>
    </row>
    <row r="800" ht="15.75" customHeight="1">
      <c r="C800" s="184"/>
      <c r="D800" s="184"/>
      <c r="E800" s="184"/>
      <c r="F800" s="184"/>
      <c r="G800" s="184"/>
      <c r="H800" s="184"/>
      <c r="I800" s="184"/>
      <c r="J800" s="184"/>
      <c r="K800" s="184"/>
      <c r="L800" s="184"/>
      <c r="M800" s="184"/>
      <c r="N800" s="184"/>
      <c r="O800" s="184"/>
      <c r="AB800" s="185"/>
      <c r="AC800" s="185"/>
      <c r="AD800" s="185"/>
      <c r="AE800" s="185"/>
    </row>
    <row r="801" ht="15.75" customHeight="1">
      <c r="C801" s="184"/>
      <c r="D801" s="184"/>
      <c r="E801" s="184"/>
      <c r="F801" s="184"/>
      <c r="G801" s="184"/>
      <c r="H801" s="184"/>
      <c r="I801" s="184"/>
      <c r="J801" s="184"/>
      <c r="K801" s="184"/>
      <c r="L801" s="184"/>
      <c r="M801" s="184"/>
      <c r="N801" s="184"/>
      <c r="O801" s="184"/>
      <c r="AB801" s="185"/>
      <c r="AC801" s="185"/>
      <c r="AD801" s="185"/>
      <c r="AE801" s="185"/>
    </row>
    <row r="802" ht="15.75" customHeight="1">
      <c r="C802" s="184"/>
      <c r="D802" s="184"/>
      <c r="E802" s="184"/>
      <c r="F802" s="184"/>
      <c r="G802" s="184"/>
      <c r="H802" s="184"/>
      <c r="I802" s="184"/>
      <c r="J802" s="184"/>
      <c r="K802" s="184"/>
      <c r="L802" s="184"/>
      <c r="M802" s="184"/>
      <c r="N802" s="184"/>
      <c r="O802" s="184"/>
      <c r="AB802" s="185"/>
      <c r="AC802" s="185"/>
      <c r="AD802" s="185"/>
      <c r="AE802" s="185"/>
    </row>
    <row r="803" ht="15.75" customHeight="1">
      <c r="C803" s="184"/>
      <c r="D803" s="184"/>
      <c r="E803" s="184"/>
      <c r="F803" s="184"/>
      <c r="G803" s="184"/>
      <c r="H803" s="184"/>
      <c r="I803" s="184"/>
      <c r="J803" s="184"/>
      <c r="K803" s="184"/>
      <c r="L803" s="184"/>
      <c r="M803" s="184"/>
      <c r="N803" s="184"/>
      <c r="O803" s="184"/>
      <c r="AB803" s="185"/>
      <c r="AC803" s="185"/>
      <c r="AD803" s="185"/>
      <c r="AE803" s="185"/>
    </row>
    <row r="804" ht="15.75" customHeight="1">
      <c r="C804" s="184"/>
      <c r="D804" s="184"/>
      <c r="E804" s="184"/>
      <c r="F804" s="184"/>
      <c r="G804" s="184"/>
      <c r="H804" s="184"/>
      <c r="I804" s="184"/>
      <c r="J804" s="184"/>
      <c r="K804" s="184"/>
      <c r="L804" s="184"/>
      <c r="M804" s="184"/>
      <c r="N804" s="184"/>
      <c r="O804" s="184"/>
      <c r="AB804" s="185"/>
      <c r="AC804" s="185"/>
      <c r="AD804" s="185"/>
      <c r="AE804" s="185"/>
    </row>
    <row r="805" ht="15.75" customHeight="1">
      <c r="C805" s="184"/>
      <c r="D805" s="184"/>
      <c r="E805" s="184"/>
      <c r="F805" s="184"/>
      <c r="G805" s="184"/>
      <c r="H805" s="184"/>
      <c r="I805" s="184"/>
      <c r="J805" s="184"/>
      <c r="K805" s="184"/>
      <c r="L805" s="184"/>
      <c r="M805" s="184"/>
      <c r="N805" s="184"/>
      <c r="O805" s="184"/>
      <c r="AB805" s="185"/>
      <c r="AC805" s="185"/>
      <c r="AD805" s="185"/>
      <c r="AE805" s="185"/>
    </row>
    <row r="806" ht="15.75" customHeight="1">
      <c r="C806" s="184"/>
      <c r="D806" s="184"/>
      <c r="E806" s="184"/>
      <c r="F806" s="184"/>
      <c r="G806" s="184"/>
      <c r="H806" s="184"/>
      <c r="I806" s="184"/>
      <c r="J806" s="184"/>
      <c r="K806" s="184"/>
      <c r="L806" s="184"/>
      <c r="M806" s="184"/>
      <c r="N806" s="184"/>
      <c r="O806" s="184"/>
      <c r="AB806" s="185"/>
      <c r="AC806" s="185"/>
      <c r="AD806" s="185"/>
      <c r="AE806" s="185"/>
    </row>
    <row r="807" ht="15.75" customHeight="1">
      <c r="C807" s="184"/>
      <c r="D807" s="184"/>
      <c r="E807" s="184"/>
      <c r="F807" s="184"/>
      <c r="G807" s="184"/>
      <c r="H807" s="184"/>
      <c r="I807" s="184"/>
      <c r="J807" s="184"/>
      <c r="K807" s="184"/>
      <c r="L807" s="184"/>
      <c r="M807" s="184"/>
      <c r="N807" s="184"/>
      <c r="O807" s="184"/>
      <c r="AB807" s="185"/>
      <c r="AC807" s="185"/>
      <c r="AD807" s="185"/>
      <c r="AE807" s="185"/>
    </row>
    <row r="808" ht="15.75" customHeight="1">
      <c r="C808" s="184"/>
      <c r="D808" s="184"/>
      <c r="E808" s="184"/>
      <c r="F808" s="184"/>
      <c r="G808" s="184"/>
      <c r="H808" s="184"/>
      <c r="I808" s="184"/>
      <c r="J808" s="184"/>
      <c r="K808" s="184"/>
      <c r="L808" s="184"/>
      <c r="M808" s="184"/>
      <c r="N808" s="184"/>
      <c r="O808" s="184"/>
      <c r="AB808" s="185"/>
      <c r="AC808" s="185"/>
      <c r="AD808" s="185"/>
      <c r="AE808" s="185"/>
    </row>
    <row r="809" ht="15.75" customHeight="1">
      <c r="C809" s="184"/>
      <c r="D809" s="184"/>
      <c r="E809" s="184"/>
      <c r="F809" s="184"/>
      <c r="G809" s="184"/>
      <c r="H809" s="184"/>
      <c r="I809" s="184"/>
      <c r="J809" s="184"/>
      <c r="K809" s="184"/>
      <c r="L809" s="184"/>
      <c r="M809" s="184"/>
      <c r="N809" s="184"/>
      <c r="O809" s="184"/>
      <c r="AB809" s="185"/>
      <c r="AC809" s="185"/>
      <c r="AD809" s="185"/>
      <c r="AE809" s="185"/>
    </row>
    <row r="810" ht="15.75" customHeight="1">
      <c r="C810" s="184"/>
      <c r="D810" s="184"/>
      <c r="E810" s="184"/>
      <c r="F810" s="184"/>
      <c r="G810" s="184"/>
      <c r="H810" s="184"/>
      <c r="I810" s="184"/>
      <c r="J810" s="184"/>
      <c r="K810" s="184"/>
      <c r="L810" s="184"/>
      <c r="M810" s="184"/>
      <c r="N810" s="184"/>
      <c r="O810" s="184"/>
      <c r="AB810" s="185"/>
      <c r="AC810" s="185"/>
      <c r="AD810" s="185"/>
      <c r="AE810" s="185"/>
    </row>
    <row r="811" ht="15.75" customHeight="1">
      <c r="C811" s="184"/>
      <c r="D811" s="184"/>
      <c r="E811" s="184"/>
      <c r="F811" s="184"/>
      <c r="G811" s="184"/>
      <c r="H811" s="184"/>
      <c r="I811" s="184"/>
      <c r="J811" s="184"/>
      <c r="K811" s="184"/>
      <c r="L811" s="184"/>
      <c r="M811" s="184"/>
      <c r="N811" s="184"/>
      <c r="O811" s="184"/>
      <c r="AB811" s="185"/>
      <c r="AC811" s="185"/>
      <c r="AD811" s="185"/>
      <c r="AE811" s="185"/>
    </row>
    <row r="812" ht="15.75" customHeight="1">
      <c r="C812" s="184"/>
      <c r="D812" s="184"/>
      <c r="E812" s="184"/>
      <c r="F812" s="184"/>
      <c r="G812" s="184"/>
      <c r="H812" s="184"/>
      <c r="I812" s="184"/>
      <c r="J812" s="184"/>
      <c r="K812" s="184"/>
      <c r="L812" s="184"/>
      <c r="M812" s="184"/>
      <c r="N812" s="184"/>
      <c r="O812" s="184"/>
      <c r="AB812" s="185"/>
      <c r="AC812" s="185"/>
      <c r="AD812" s="185"/>
      <c r="AE812" s="185"/>
    </row>
    <row r="813" ht="15.75" customHeight="1">
      <c r="C813" s="184"/>
      <c r="D813" s="184"/>
      <c r="E813" s="184"/>
      <c r="F813" s="184"/>
      <c r="G813" s="184"/>
      <c r="H813" s="184"/>
      <c r="I813" s="184"/>
      <c r="J813" s="184"/>
      <c r="K813" s="184"/>
      <c r="L813" s="184"/>
      <c r="M813" s="184"/>
      <c r="N813" s="184"/>
      <c r="O813" s="184"/>
      <c r="AB813" s="185"/>
      <c r="AC813" s="185"/>
      <c r="AD813" s="185"/>
      <c r="AE813" s="185"/>
    </row>
    <row r="814" ht="15.75" customHeight="1">
      <c r="C814" s="184"/>
      <c r="D814" s="184"/>
      <c r="E814" s="184"/>
      <c r="F814" s="184"/>
      <c r="G814" s="184"/>
      <c r="H814" s="184"/>
      <c r="I814" s="184"/>
      <c r="J814" s="184"/>
      <c r="K814" s="184"/>
      <c r="L814" s="184"/>
      <c r="M814" s="184"/>
      <c r="N814" s="184"/>
      <c r="O814" s="184"/>
      <c r="AB814" s="185"/>
      <c r="AC814" s="185"/>
      <c r="AD814" s="185"/>
      <c r="AE814" s="185"/>
    </row>
    <row r="815" ht="15.75" customHeight="1">
      <c r="C815" s="184"/>
      <c r="D815" s="184"/>
      <c r="E815" s="184"/>
      <c r="F815" s="184"/>
      <c r="G815" s="184"/>
      <c r="H815" s="184"/>
      <c r="I815" s="184"/>
      <c r="J815" s="184"/>
      <c r="K815" s="184"/>
      <c r="L815" s="184"/>
      <c r="M815" s="184"/>
      <c r="N815" s="184"/>
      <c r="O815" s="184"/>
      <c r="AB815" s="185"/>
      <c r="AC815" s="185"/>
      <c r="AD815" s="185"/>
      <c r="AE815" s="185"/>
    </row>
    <row r="816" ht="15.75" customHeight="1">
      <c r="C816" s="184"/>
      <c r="D816" s="184"/>
      <c r="E816" s="184"/>
      <c r="F816" s="184"/>
      <c r="G816" s="184"/>
      <c r="H816" s="184"/>
      <c r="I816" s="184"/>
      <c r="J816" s="184"/>
      <c r="K816" s="184"/>
      <c r="L816" s="184"/>
      <c r="M816" s="184"/>
      <c r="N816" s="184"/>
      <c r="O816" s="184"/>
      <c r="AB816" s="185"/>
      <c r="AC816" s="185"/>
      <c r="AD816" s="185"/>
      <c r="AE816" s="185"/>
    </row>
    <row r="817" ht="15.75" customHeight="1">
      <c r="C817" s="184"/>
      <c r="D817" s="184"/>
      <c r="E817" s="184"/>
      <c r="F817" s="184"/>
      <c r="G817" s="184"/>
      <c r="H817" s="184"/>
      <c r="I817" s="184"/>
      <c r="J817" s="184"/>
      <c r="K817" s="184"/>
      <c r="L817" s="184"/>
      <c r="M817" s="184"/>
      <c r="N817" s="184"/>
      <c r="O817" s="184"/>
      <c r="AB817" s="185"/>
      <c r="AC817" s="185"/>
      <c r="AD817" s="185"/>
      <c r="AE817" s="185"/>
    </row>
    <row r="818" ht="15.75" customHeight="1">
      <c r="C818" s="184"/>
      <c r="D818" s="184"/>
      <c r="E818" s="184"/>
      <c r="F818" s="184"/>
      <c r="G818" s="184"/>
      <c r="H818" s="184"/>
      <c r="I818" s="184"/>
      <c r="J818" s="184"/>
      <c r="K818" s="184"/>
      <c r="L818" s="184"/>
      <c r="M818" s="184"/>
      <c r="N818" s="184"/>
      <c r="O818" s="184"/>
      <c r="AB818" s="185"/>
      <c r="AC818" s="185"/>
      <c r="AD818" s="185"/>
      <c r="AE818" s="185"/>
    </row>
    <row r="819" ht="15.75" customHeight="1">
      <c r="C819" s="184"/>
      <c r="D819" s="184"/>
      <c r="E819" s="184"/>
      <c r="F819" s="184"/>
      <c r="G819" s="184"/>
      <c r="H819" s="184"/>
      <c r="I819" s="184"/>
      <c r="J819" s="184"/>
      <c r="K819" s="184"/>
      <c r="L819" s="184"/>
      <c r="M819" s="184"/>
      <c r="N819" s="184"/>
      <c r="O819" s="184"/>
      <c r="AB819" s="185"/>
      <c r="AC819" s="185"/>
      <c r="AD819" s="185"/>
      <c r="AE819" s="185"/>
    </row>
    <row r="820" ht="15.75" customHeight="1">
      <c r="C820" s="184"/>
      <c r="D820" s="184"/>
      <c r="E820" s="184"/>
      <c r="F820" s="184"/>
      <c r="G820" s="184"/>
      <c r="H820" s="184"/>
      <c r="I820" s="184"/>
      <c r="J820" s="184"/>
      <c r="K820" s="184"/>
      <c r="L820" s="184"/>
      <c r="M820" s="184"/>
      <c r="N820" s="184"/>
      <c r="O820" s="184"/>
      <c r="AB820" s="185"/>
      <c r="AC820" s="185"/>
      <c r="AD820" s="185"/>
      <c r="AE820" s="185"/>
    </row>
    <row r="821" ht="15.75" customHeight="1">
      <c r="C821" s="184"/>
      <c r="D821" s="184"/>
      <c r="E821" s="184"/>
      <c r="F821" s="184"/>
      <c r="G821" s="184"/>
      <c r="H821" s="184"/>
      <c r="I821" s="184"/>
      <c r="J821" s="184"/>
      <c r="K821" s="184"/>
      <c r="L821" s="184"/>
      <c r="M821" s="184"/>
      <c r="N821" s="184"/>
      <c r="O821" s="184"/>
      <c r="AB821" s="185"/>
      <c r="AC821" s="185"/>
      <c r="AD821" s="185"/>
      <c r="AE821" s="185"/>
    </row>
    <row r="822" ht="15.75" customHeight="1">
      <c r="C822" s="184"/>
      <c r="D822" s="184"/>
      <c r="E822" s="184"/>
      <c r="F822" s="184"/>
      <c r="G822" s="184"/>
      <c r="H822" s="184"/>
      <c r="I822" s="184"/>
      <c r="J822" s="184"/>
      <c r="K822" s="184"/>
      <c r="L822" s="184"/>
      <c r="M822" s="184"/>
      <c r="N822" s="184"/>
      <c r="O822" s="184"/>
      <c r="AB822" s="185"/>
      <c r="AC822" s="185"/>
      <c r="AD822" s="185"/>
      <c r="AE822" s="185"/>
    </row>
    <row r="823" ht="15.75" customHeight="1">
      <c r="C823" s="184"/>
      <c r="D823" s="184"/>
      <c r="E823" s="184"/>
      <c r="F823" s="184"/>
      <c r="G823" s="184"/>
      <c r="H823" s="184"/>
      <c r="I823" s="184"/>
      <c r="J823" s="184"/>
      <c r="K823" s="184"/>
      <c r="L823" s="184"/>
      <c r="M823" s="184"/>
      <c r="N823" s="184"/>
      <c r="O823" s="184"/>
      <c r="AB823" s="185"/>
      <c r="AC823" s="185"/>
      <c r="AD823" s="185"/>
      <c r="AE823" s="185"/>
    </row>
    <row r="824" ht="15.75" customHeight="1">
      <c r="C824" s="184"/>
      <c r="D824" s="184"/>
      <c r="E824" s="184"/>
      <c r="F824" s="184"/>
      <c r="G824" s="184"/>
      <c r="H824" s="184"/>
      <c r="I824" s="184"/>
      <c r="J824" s="184"/>
      <c r="K824" s="184"/>
      <c r="L824" s="184"/>
      <c r="M824" s="184"/>
      <c r="N824" s="184"/>
      <c r="O824" s="184"/>
      <c r="AB824" s="185"/>
      <c r="AC824" s="185"/>
      <c r="AD824" s="185"/>
      <c r="AE824" s="185"/>
    </row>
    <row r="825" ht="15.75" customHeight="1">
      <c r="C825" s="184"/>
      <c r="D825" s="184"/>
      <c r="E825" s="184"/>
      <c r="F825" s="184"/>
      <c r="G825" s="184"/>
      <c r="H825" s="184"/>
      <c r="I825" s="184"/>
      <c r="J825" s="184"/>
      <c r="K825" s="184"/>
      <c r="L825" s="184"/>
      <c r="M825" s="184"/>
      <c r="N825" s="184"/>
      <c r="O825" s="184"/>
      <c r="AB825" s="185"/>
      <c r="AC825" s="185"/>
      <c r="AD825" s="185"/>
      <c r="AE825" s="185"/>
    </row>
    <row r="826" ht="15.75" customHeight="1">
      <c r="C826" s="184"/>
      <c r="D826" s="184"/>
      <c r="E826" s="184"/>
      <c r="F826" s="184"/>
      <c r="G826" s="184"/>
      <c r="H826" s="184"/>
      <c r="I826" s="184"/>
      <c r="J826" s="184"/>
      <c r="K826" s="184"/>
      <c r="L826" s="184"/>
      <c r="M826" s="184"/>
      <c r="N826" s="184"/>
      <c r="O826" s="184"/>
      <c r="AB826" s="185"/>
      <c r="AC826" s="185"/>
      <c r="AD826" s="185"/>
      <c r="AE826" s="185"/>
    </row>
    <row r="827" ht="15.75" customHeight="1">
      <c r="C827" s="184"/>
      <c r="D827" s="184"/>
      <c r="E827" s="184"/>
      <c r="F827" s="184"/>
      <c r="G827" s="184"/>
      <c r="H827" s="184"/>
      <c r="I827" s="184"/>
      <c r="J827" s="184"/>
      <c r="K827" s="184"/>
      <c r="L827" s="184"/>
      <c r="M827" s="184"/>
      <c r="N827" s="184"/>
      <c r="O827" s="184"/>
      <c r="AB827" s="185"/>
      <c r="AC827" s="185"/>
      <c r="AD827" s="185"/>
      <c r="AE827" s="185"/>
    </row>
    <row r="828" ht="15.75" customHeight="1">
      <c r="C828" s="184"/>
      <c r="D828" s="184"/>
      <c r="E828" s="184"/>
      <c r="F828" s="184"/>
      <c r="G828" s="184"/>
      <c r="H828" s="184"/>
      <c r="I828" s="184"/>
      <c r="J828" s="184"/>
      <c r="K828" s="184"/>
      <c r="L828" s="184"/>
      <c r="M828" s="184"/>
      <c r="N828" s="184"/>
      <c r="O828" s="184"/>
      <c r="AB828" s="185"/>
      <c r="AC828" s="185"/>
      <c r="AD828" s="185"/>
      <c r="AE828" s="185"/>
    </row>
    <row r="829" ht="15.75" customHeight="1">
      <c r="C829" s="184"/>
      <c r="D829" s="184"/>
      <c r="E829" s="184"/>
      <c r="F829" s="184"/>
      <c r="G829" s="184"/>
      <c r="H829" s="184"/>
      <c r="I829" s="184"/>
      <c r="J829" s="184"/>
      <c r="K829" s="184"/>
      <c r="L829" s="184"/>
      <c r="M829" s="184"/>
      <c r="N829" s="184"/>
      <c r="O829" s="184"/>
      <c r="AB829" s="185"/>
      <c r="AC829" s="185"/>
      <c r="AD829" s="185"/>
      <c r="AE829" s="185"/>
    </row>
    <row r="830" ht="15.75" customHeight="1">
      <c r="C830" s="184"/>
      <c r="D830" s="184"/>
      <c r="E830" s="184"/>
      <c r="F830" s="184"/>
      <c r="G830" s="184"/>
      <c r="H830" s="184"/>
      <c r="I830" s="184"/>
      <c r="J830" s="184"/>
      <c r="K830" s="184"/>
      <c r="L830" s="184"/>
      <c r="M830" s="184"/>
      <c r="N830" s="184"/>
      <c r="O830" s="184"/>
      <c r="AB830" s="185"/>
      <c r="AC830" s="185"/>
      <c r="AD830" s="185"/>
      <c r="AE830" s="185"/>
    </row>
    <row r="831" ht="15.75" customHeight="1">
      <c r="C831" s="184"/>
      <c r="D831" s="184"/>
      <c r="E831" s="184"/>
      <c r="F831" s="184"/>
      <c r="G831" s="184"/>
      <c r="H831" s="184"/>
      <c r="I831" s="184"/>
      <c r="J831" s="184"/>
      <c r="K831" s="184"/>
      <c r="L831" s="184"/>
      <c r="M831" s="184"/>
      <c r="N831" s="184"/>
      <c r="O831" s="184"/>
      <c r="AB831" s="185"/>
      <c r="AC831" s="185"/>
      <c r="AD831" s="185"/>
      <c r="AE831" s="185"/>
    </row>
    <row r="832" ht="15.75" customHeight="1">
      <c r="C832" s="184"/>
      <c r="D832" s="184"/>
      <c r="E832" s="184"/>
      <c r="F832" s="184"/>
      <c r="G832" s="184"/>
      <c r="H832" s="184"/>
      <c r="I832" s="184"/>
      <c r="J832" s="184"/>
      <c r="K832" s="184"/>
      <c r="L832" s="184"/>
      <c r="M832" s="184"/>
      <c r="N832" s="184"/>
      <c r="O832" s="184"/>
      <c r="AB832" s="185"/>
      <c r="AC832" s="185"/>
      <c r="AD832" s="185"/>
      <c r="AE832" s="185"/>
    </row>
    <row r="833" ht="15.75" customHeight="1">
      <c r="C833" s="184"/>
      <c r="D833" s="184"/>
      <c r="E833" s="184"/>
      <c r="F833" s="184"/>
      <c r="G833" s="184"/>
      <c r="H833" s="184"/>
      <c r="I833" s="184"/>
      <c r="J833" s="184"/>
      <c r="K833" s="184"/>
      <c r="L833" s="184"/>
      <c r="M833" s="184"/>
      <c r="N833" s="184"/>
      <c r="O833" s="184"/>
      <c r="AB833" s="185"/>
      <c r="AC833" s="185"/>
      <c r="AD833" s="185"/>
      <c r="AE833" s="185"/>
    </row>
    <row r="834" ht="15.75" customHeight="1">
      <c r="C834" s="184"/>
      <c r="D834" s="184"/>
      <c r="E834" s="184"/>
      <c r="F834" s="184"/>
      <c r="G834" s="184"/>
      <c r="H834" s="184"/>
      <c r="I834" s="184"/>
      <c r="J834" s="184"/>
      <c r="K834" s="184"/>
      <c r="L834" s="184"/>
      <c r="M834" s="184"/>
      <c r="N834" s="184"/>
      <c r="O834" s="184"/>
      <c r="AB834" s="185"/>
      <c r="AC834" s="185"/>
      <c r="AD834" s="185"/>
      <c r="AE834" s="185"/>
    </row>
    <row r="835" ht="15.75" customHeight="1">
      <c r="C835" s="184"/>
      <c r="D835" s="184"/>
      <c r="E835" s="184"/>
      <c r="F835" s="184"/>
      <c r="G835" s="184"/>
      <c r="H835" s="184"/>
      <c r="I835" s="184"/>
      <c r="J835" s="184"/>
      <c r="K835" s="184"/>
      <c r="L835" s="184"/>
      <c r="M835" s="184"/>
      <c r="N835" s="184"/>
      <c r="O835" s="184"/>
      <c r="AB835" s="185"/>
      <c r="AC835" s="185"/>
      <c r="AD835" s="185"/>
      <c r="AE835" s="185"/>
    </row>
    <row r="836" ht="15.75" customHeight="1">
      <c r="C836" s="184"/>
      <c r="D836" s="184"/>
      <c r="E836" s="184"/>
      <c r="F836" s="184"/>
      <c r="G836" s="184"/>
      <c r="H836" s="184"/>
      <c r="I836" s="184"/>
      <c r="J836" s="184"/>
      <c r="K836" s="184"/>
      <c r="L836" s="184"/>
      <c r="M836" s="184"/>
      <c r="N836" s="184"/>
      <c r="O836" s="184"/>
      <c r="AB836" s="185"/>
      <c r="AC836" s="185"/>
      <c r="AD836" s="185"/>
      <c r="AE836" s="185"/>
    </row>
    <row r="837" ht="15.75" customHeight="1">
      <c r="C837" s="184"/>
      <c r="D837" s="184"/>
      <c r="E837" s="184"/>
      <c r="F837" s="184"/>
      <c r="G837" s="184"/>
      <c r="H837" s="184"/>
      <c r="I837" s="184"/>
      <c r="J837" s="184"/>
      <c r="K837" s="184"/>
      <c r="L837" s="184"/>
      <c r="M837" s="184"/>
      <c r="N837" s="184"/>
      <c r="O837" s="184"/>
      <c r="AB837" s="185"/>
      <c r="AC837" s="185"/>
      <c r="AD837" s="185"/>
      <c r="AE837" s="185"/>
    </row>
    <row r="838" ht="15.75" customHeight="1">
      <c r="C838" s="184"/>
      <c r="D838" s="184"/>
      <c r="E838" s="184"/>
      <c r="F838" s="184"/>
      <c r="G838" s="184"/>
      <c r="H838" s="184"/>
      <c r="I838" s="184"/>
      <c r="J838" s="184"/>
      <c r="K838" s="184"/>
      <c r="L838" s="184"/>
      <c r="M838" s="184"/>
      <c r="N838" s="184"/>
      <c r="O838" s="184"/>
      <c r="AB838" s="185"/>
      <c r="AC838" s="185"/>
      <c r="AD838" s="185"/>
      <c r="AE838" s="185"/>
    </row>
    <row r="839" ht="15.75" customHeight="1">
      <c r="C839" s="184"/>
      <c r="D839" s="184"/>
      <c r="E839" s="184"/>
      <c r="F839" s="184"/>
      <c r="G839" s="184"/>
      <c r="H839" s="184"/>
      <c r="I839" s="184"/>
      <c r="J839" s="184"/>
      <c r="K839" s="184"/>
      <c r="L839" s="184"/>
      <c r="M839" s="184"/>
      <c r="N839" s="184"/>
      <c r="O839" s="184"/>
      <c r="AB839" s="185"/>
      <c r="AC839" s="185"/>
      <c r="AD839" s="185"/>
      <c r="AE839" s="185"/>
    </row>
    <row r="840" ht="15.75" customHeight="1">
      <c r="C840" s="184"/>
      <c r="D840" s="184"/>
      <c r="E840" s="184"/>
      <c r="F840" s="184"/>
      <c r="G840" s="184"/>
      <c r="H840" s="184"/>
      <c r="I840" s="184"/>
      <c r="J840" s="184"/>
      <c r="K840" s="184"/>
      <c r="L840" s="184"/>
      <c r="M840" s="184"/>
      <c r="N840" s="184"/>
      <c r="O840" s="184"/>
      <c r="AB840" s="185"/>
      <c r="AC840" s="185"/>
      <c r="AD840" s="185"/>
      <c r="AE840" s="185"/>
    </row>
    <row r="841" ht="15.75" customHeight="1">
      <c r="C841" s="184"/>
      <c r="D841" s="184"/>
      <c r="E841" s="184"/>
      <c r="F841" s="184"/>
      <c r="G841" s="184"/>
      <c r="H841" s="184"/>
      <c r="I841" s="184"/>
      <c r="J841" s="184"/>
      <c r="K841" s="184"/>
      <c r="L841" s="184"/>
      <c r="M841" s="184"/>
      <c r="N841" s="184"/>
      <c r="O841" s="184"/>
      <c r="AB841" s="185"/>
      <c r="AC841" s="185"/>
      <c r="AD841" s="185"/>
      <c r="AE841" s="185"/>
    </row>
    <row r="842" ht="15.75" customHeight="1">
      <c r="C842" s="184"/>
      <c r="D842" s="184"/>
      <c r="E842" s="184"/>
      <c r="F842" s="184"/>
      <c r="G842" s="184"/>
      <c r="H842" s="184"/>
      <c r="I842" s="184"/>
      <c r="J842" s="184"/>
      <c r="K842" s="184"/>
      <c r="L842" s="184"/>
      <c r="M842" s="184"/>
      <c r="N842" s="184"/>
      <c r="O842" s="184"/>
      <c r="AB842" s="185"/>
      <c r="AC842" s="185"/>
      <c r="AD842" s="185"/>
      <c r="AE842" s="185"/>
    </row>
    <row r="843" ht="15.75" customHeight="1">
      <c r="C843" s="184"/>
      <c r="D843" s="184"/>
      <c r="E843" s="184"/>
      <c r="F843" s="184"/>
      <c r="G843" s="184"/>
      <c r="H843" s="184"/>
      <c r="I843" s="184"/>
      <c r="J843" s="184"/>
      <c r="K843" s="184"/>
      <c r="L843" s="184"/>
      <c r="M843" s="184"/>
      <c r="N843" s="184"/>
      <c r="O843" s="184"/>
      <c r="AB843" s="185"/>
      <c r="AC843" s="185"/>
      <c r="AD843" s="185"/>
      <c r="AE843" s="185"/>
    </row>
    <row r="844" ht="15.75" customHeight="1">
      <c r="C844" s="184"/>
      <c r="D844" s="184"/>
      <c r="E844" s="184"/>
      <c r="F844" s="184"/>
      <c r="G844" s="184"/>
      <c r="H844" s="184"/>
      <c r="I844" s="184"/>
      <c r="J844" s="184"/>
      <c r="K844" s="184"/>
      <c r="L844" s="184"/>
      <c r="M844" s="184"/>
      <c r="N844" s="184"/>
      <c r="O844" s="184"/>
      <c r="AB844" s="185"/>
      <c r="AC844" s="185"/>
      <c r="AD844" s="185"/>
      <c r="AE844" s="185"/>
    </row>
    <row r="845" ht="15.75" customHeight="1">
      <c r="C845" s="184"/>
      <c r="D845" s="184"/>
      <c r="E845" s="184"/>
      <c r="F845" s="184"/>
      <c r="G845" s="184"/>
      <c r="H845" s="184"/>
      <c r="I845" s="184"/>
      <c r="J845" s="184"/>
      <c r="K845" s="184"/>
      <c r="L845" s="184"/>
      <c r="M845" s="184"/>
      <c r="N845" s="184"/>
      <c r="O845" s="184"/>
      <c r="AB845" s="185"/>
      <c r="AC845" s="185"/>
      <c r="AD845" s="185"/>
      <c r="AE845" s="185"/>
    </row>
    <row r="846" ht="15.75" customHeight="1">
      <c r="C846" s="184"/>
      <c r="D846" s="184"/>
      <c r="E846" s="184"/>
      <c r="F846" s="184"/>
      <c r="G846" s="184"/>
      <c r="H846" s="184"/>
      <c r="I846" s="184"/>
      <c r="J846" s="184"/>
      <c r="K846" s="184"/>
      <c r="L846" s="184"/>
      <c r="M846" s="184"/>
      <c r="N846" s="184"/>
      <c r="O846" s="184"/>
      <c r="AB846" s="185"/>
      <c r="AC846" s="185"/>
      <c r="AD846" s="185"/>
      <c r="AE846" s="185"/>
    </row>
    <row r="847" ht="15.75" customHeight="1">
      <c r="C847" s="184"/>
      <c r="D847" s="184"/>
      <c r="E847" s="184"/>
      <c r="F847" s="184"/>
      <c r="G847" s="184"/>
      <c r="H847" s="184"/>
      <c r="I847" s="184"/>
      <c r="J847" s="184"/>
      <c r="K847" s="184"/>
      <c r="L847" s="184"/>
      <c r="M847" s="184"/>
      <c r="N847" s="184"/>
      <c r="O847" s="184"/>
      <c r="AB847" s="185"/>
      <c r="AC847" s="185"/>
      <c r="AD847" s="185"/>
      <c r="AE847" s="185"/>
    </row>
    <row r="848" ht="15.75" customHeight="1">
      <c r="C848" s="184"/>
      <c r="D848" s="184"/>
      <c r="E848" s="184"/>
      <c r="F848" s="184"/>
      <c r="G848" s="184"/>
      <c r="H848" s="184"/>
      <c r="I848" s="184"/>
      <c r="J848" s="184"/>
      <c r="K848" s="184"/>
      <c r="L848" s="184"/>
      <c r="M848" s="184"/>
      <c r="N848" s="184"/>
      <c r="O848" s="184"/>
      <c r="AB848" s="185"/>
      <c r="AC848" s="185"/>
      <c r="AD848" s="185"/>
      <c r="AE848" s="185"/>
    </row>
    <row r="849" ht="15.75" customHeight="1">
      <c r="C849" s="184"/>
      <c r="D849" s="184"/>
      <c r="E849" s="184"/>
      <c r="F849" s="184"/>
      <c r="G849" s="184"/>
      <c r="H849" s="184"/>
      <c r="I849" s="184"/>
      <c r="J849" s="184"/>
      <c r="K849" s="184"/>
      <c r="L849" s="184"/>
      <c r="M849" s="184"/>
      <c r="N849" s="184"/>
      <c r="O849" s="184"/>
      <c r="AB849" s="185"/>
      <c r="AC849" s="185"/>
      <c r="AD849" s="185"/>
      <c r="AE849" s="185"/>
    </row>
    <row r="850" ht="15.75" customHeight="1">
      <c r="C850" s="184"/>
      <c r="D850" s="184"/>
      <c r="E850" s="184"/>
      <c r="F850" s="184"/>
      <c r="G850" s="184"/>
      <c r="H850" s="184"/>
      <c r="I850" s="184"/>
      <c r="J850" s="184"/>
      <c r="K850" s="184"/>
      <c r="L850" s="184"/>
      <c r="M850" s="184"/>
      <c r="N850" s="184"/>
      <c r="O850" s="184"/>
      <c r="AB850" s="185"/>
      <c r="AC850" s="185"/>
      <c r="AD850" s="185"/>
      <c r="AE850" s="185"/>
    </row>
    <row r="851" ht="15.75" customHeight="1">
      <c r="C851" s="184"/>
      <c r="D851" s="184"/>
      <c r="E851" s="184"/>
      <c r="F851" s="184"/>
      <c r="G851" s="184"/>
      <c r="H851" s="184"/>
      <c r="I851" s="184"/>
      <c r="J851" s="184"/>
      <c r="K851" s="184"/>
      <c r="L851" s="184"/>
      <c r="M851" s="184"/>
      <c r="N851" s="184"/>
      <c r="O851" s="184"/>
      <c r="AB851" s="185"/>
      <c r="AC851" s="185"/>
      <c r="AD851" s="185"/>
      <c r="AE851" s="185"/>
    </row>
    <row r="852" ht="15.75" customHeight="1">
      <c r="C852" s="184"/>
      <c r="D852" s="184"/>
      <c r="E852" s="184"/>
      <c r="F852" s="184"/>
      <c r="G852" s="184"/>
      <c r="H852" s="184"/>
      <c r="I852" s="184"/>
      <c r="J852" s="184"/>
      <c r="K852" s="184"/>
      <c r="L852" s="184"/>
      <c r="M852" s="184"/>
      <c r="N852" s="184"/>
      <c r="O852" s="184"/>
      <c r="AB852" s="185"/>
      <c r="AC852" s="185"/>
      <c r="AD852" s="185"/>
      <c r="AE852" s="185"/>
    </row>
    <row r="853" ht="15.75" customHeight="1">
      <c r="C853" s="184"/>
      <c r="D853" s="184"/>
      <c r="E853" s="184"/>
      <c r="F853" s="184"/>
      <c r="G853" s="184"/>
      <c r="H853" s="184"/>
      <c r="I853" s="184"/>
      <c r="J853" s="184"/>
      <c r="K853" s="184"/>
      <c r="L853" s="184"/>
      <c r="M853" s="184"/>
      <c r="N853" s="184"/>
      <c r="O853" s="184"/>
      <c r="AB853" s="185"/>
      <c r="AC853" s="185"/>
      <c r="AD853" s="185"/>
      <c r="AE853" s="185"/>
    </row>
    <row r="854" ht="15.75" customHeight="1">
      <c r="C854" s="184"/>
      <c r="D854" s="184"/>
      <c r="E854" s="184"/>
      <c r="F854" s="184"/>
      <c r="G854" s="184"/>
      <c r="H854" s="184"/>
      <c r="I854" s="184"/>
      <c r="J854" s="184"/>
      <c r="K854" s="184"/>
      <c r="L854" s="184"/>
      <c r="M854" s="184"/>
      <c r="N854" s="184"/>
      <c r="O854" s="184"/>
      <c r="AB854" s="185"/>
      <c r="AC854" s="185"/>
      <c r="AD854" s="185"/>
      <c r="AE854" s="185"/>
    </row>
    <row r="855" ht="15.75" customHeight="1">
      <c r="C855" s="184"/>
      <c r="D855" s="184"/>
      <c r="E855" s="184"/>
      <c r="F855" s="184"/>
      <c r="G855" s="184"/>
      <c r="H855" s="184"/>
      <c r="I855" s="184"/>
      <c r="J855" s="184"/>
      <c r="K855" s="184"/>
      <c r="L855" s="184"/>
      <c r="M855" s="184"/>
      <c r="N855" s="184"/>
      <c r="O855" s="184"/>
      <c r="AB855" s="185"/>
      <c r="AC855" s="185"/>
      <c r="AD855" s="185"/>
      <c r="AE855" s="185"/>
    </row>
    <row r="856" ht="15.75" customHeight="1">
      <c r="C856" s="184"/>
      <c r="D856" s="184"/>
      <c r="E856" s="184"/>
      <c r="F856" s="184"/>
      <c r="G856" s="184"/>
      <c r="H856" s="184"/>
      <c r="I856" s="184"/>
      <c r="J856" s="184"/>
      <c r="K856" s="184"/>
      <c r="L856" s="184"/>
      <c r="M856" s="184"/>
      <c r="N856" s="184"/>
      <c r="O856" s="184"/>
      <c r="AB856" s="185"/>
      <c r="AC856" s="185"/>
      <c r="AD856" s="185"/>
      <c r="AE856" s="185"/>
    </row>
    <row r="857" ht="15.75" customHeight="1">
      <c r="C857" s="184"/>
      <c r="D857" s="184"/>
      <c r="E857" s="184"/>
      <c r="F857" s="184"/>
      <c r="G857" s="184"/>
      <c r="H857" s="184"/>
      <c r="I857" s="184"/>
      <c r="J857" s="184"/>
      <c r="K857" s="184"/>
      <c r="L857" s="184"/>
      <c r="M857" s="184"/>
      <c r="N857" s="184"/>
      <c r="O857" s="184"/>
      <c r="AB857" s="185"/>
      <c r="AC857" s="185"/>
      <c r="AD857" s="185"/>
      <c r="AE857" s="185"/>
    </row>
    <row r="858" ht="15.75" customHeight="1">
      <c r="C858" s="184"/>
      <c r="D858" s="184"/>
      <c r="E858" s="184"/>
      <c r="F858" s="184"/>
      <c r="G858" s="184"/>
      <c r="H858" s="184"/>
      <c r="I858" s="184"/>
      <c r="J858" s="184"/>
      <c r="K858" s="184"/>
      <c r="L858" s="184"/>
      <c r="M858" s="184"/>
      <c r="N858" s="184"/>
      <c r="O858" s="184"/>
      <c r="AB858" s="185"/>
      <c r="AC858" s="185"/>
      <c r="AD858" s="185"/>
      <c r="AE858" s="185"/>
    </row>
    <row r="859" ht="15.75" customHeight="1">
      <c r="C859" s="184"/>
      <c r="D859" s="184"/>
      <c r="E859" s="184"/>
      <c r="F859" s="184"/>
      <c r="G859" s="184"/>
      <c r="H859" s="184"/>
      <c r="I859" s="184"/>
      <c r="J859" s="184"/>
      <c r="K859" s="184"/>
      <c r="L859" s="184"/>
      <c r="M859" s="184"/>
      <c r="N859" s="184"/>
      <c r="O859" s="184"/>
      <c r="AB859" s="185"/>
      <c r="AC859" s="185"/>
      <c r="AD859" s="185"/>
      <c r="AE859" s="185"/>
    </row>
    <row r="860" ht="15.75" customHeight="1">
      <c r="C860" s="184"/>
      <c r="D860" s="184"/>
      <c r="E860" s="184"/>
      <c r="F860" s="184"/>
      <c r="G860" s="184"/>
      <c r="H860" s="184"/>
      <c r="I860" s="184"/>
      <c r="J860" s="184"/>
      <c r="K860" s="184"/>
      <c r="L860" s="184"/>
      <c r="M860" s="184"/>
      <c r="N860" s="184"/>
      <c r="O860" s="184"/>
      <c r="AB860" s="185"/>
      <c r="AC860" s="185"/>
      <c r="AD860" s="185"/>
      <c r="AE860" s="185"/>
    </row>
    <row r="861" ht="15.75" customHeight="1">
      <c r="C861" s="184"/>
      <c r="D861" s="184"/>
      <c r="E861" s="184"/>
      <c r="F861" s="184"/>
      <c r="G861" s="184"/>
      <c r="H861" s="184"/>
      <c r="I861" s="184"/>
      <c r="J861" s="184"/>
      <c r="K861" s="184"/>
      <c r="L861" s="184"/>
      <c r="M861" s="184"/>
      <c r="N861" s="184"/>
      <c r="O861" s="184"/>
      <c r="AB861" s="185"/>
      <c r="AC861" s="185"/>
      <c r="AD861" s="185"/>
      <c r="AE861" s="185"/>
    </row>
    <row r="862" ht="15.75" customHeight="1">
      <c r="C862" s="184"/>
      <c r="D862" s="184"/>
      <c r="E862" s="184"/>
      <c r="F862" s="184"/>
      <c r="G862" s="184"/>
      <c r="H862" s="184"/>
      <c r="I862" s="184"/>
      <c r="J862" s="184"/>
      <c r="K862" s="184"/>
      <c r="L862" s="184"/>
      <c r="M862" s="184"/>
      <c r="N862" s="184"/>
      <c r="O862" s="184"/>
      <c r="AB862" s="185"/>
      <c r="AC862" s="185"/>
      <c r="AD862" s="185"/>
      <c r="AE862" s="185"/>
    </row>
    <row r="863" ht="15.75" customHeight="1">
      <c r="C863" s="184"/>
      <c r="D863" s="184"/>
      <c r="E863" s="184"/>
      <c r="F863" s="184"/>
      <c r="G863" s="184"/>
      <c r="H863" s="184"/>
      <c r="I863" s="184"/>
      <c r="J863" s="184"/>
      <c r="K863" s="184"/>
      <c r="L863" s="184"/>
      <c r="M863" s="184"/>
      <c r="N863" s="184"/>
      <c r="O863" s="184"/>
      <c r="AB863" s="185"/>
      <c r="AC863" s="185"/>
      <c r="AD863" s="185"/>
      <c r="AE863" s="185"/>
    </row>
    <row r="864" ht="15.75" customHeight="1">
      <c r="C864" s="184"/>
      <c r="D864" s="184"/>
      <c r="E864" s="184"/>
      <c r="F864" s="184"/>
      <c r="G864" s="184"/>
      <c r="H864" s="184"/>
      <c r="I864" s="184"/>
      <c r="J864" s="184"/>
      <c r="K864" s="184"/>
      <c r="L864" s="184"/>
      <c r="M864" s="184"/>
      <c r="N864" s="184"/>
      <c r="O864" s="184"/>
      <c r="AB864" s="185"/>
      <c r="AC864" s="185"/>
      <c r="AD864" s="185"/>
      <c r="AE864" s="185"/>
    </row>
    <row r="865" ht="15.75" customHeight="1">
      <c r="C865" s="184"/>
      <c r="D865" s="184"/>
      <c r="E865" s="184"/>
      <c r="F865" s="184"/>
      <c r="G865" s="184"/>
      <c r="H865" s="184"/>
      <c r="I865" s="184"/>
      <c r="J865" s="184"/>
      <c r="K865" s="184"/>
      <c r="L865" s="184"/>
      <c r="M865" s="184"/>
      <c r="N865" s="184"/>
      <c r="O865" s="184"/>
      <c r="AB865" s="185"/>
      <c r="AC865" s="185"/>
      <c r="AD865" s="185"/>
      <c r="AE865" s="185"/>
    </row>
    <row r="866" ht="15.75" customHeight="1">
      <c r="C866" s="184"/>
      <c r="D866" s="184"/>
      <c r="E866" s="184"/>
      <c r="F866" s="184"/>
      <c r="G866" s="184"/>
      <c r="H866" s="184"/>
      <c r="I866" s="184"/>
      <c r="J866" s="184"/>
      <c r="K866" s="184"/>
      <c r="L866" s="184"/>
      <c r="M866" s="184"/>
      <c r="N866" s="184"/>
      <c r="O866" s="184"/>
      <c r="AB866" s="185"/>
      <c r="AC866" s="185"/>
      <c r="AD866" s="185"/>
      <c r="AE866" s="185"/>
    </row>
    <row r="867" ht="15.75" customHeight="1">
      <c r="C867" s="184"/>
      <c r="D867" s="184"/>
      <c r="E867" s="184"/>
      <c r="F867" s="184"/>
      <c r="G867" s="184"/>
      <c r="H867" s="184"/>
      <c r="I867" s="184"/>
      <c r="J867" s="184"/>
      <c r="K867" s="184"/>
      <c r="L867" s="184"/>
      <c r="M867" s="184"/>
      <c r="N867" s="184"/>
      <c r="O867" s="184"/>
      <c r="AB867" s="185"/>
      <c r="AC867" s="185"/>
      <c r="AD867" s="185"/>
      <c r="AE867" s="185"/>
    </row>
    <row r="868" ht="15.75" customHeight="1">
      <c r="C868" s="184"/>
      <c r="D868" s="184"/>
      <c r="E868" s="184"/>
      <c r="F868" s="184"/>
      <c r="G868" s="184"/>
      <c r="H868" s="184"/>
      <c r="I868" s="184"/>
      <c r="J868" s="184"/>
      <c r="K868" s="184"/>
      <c r="L868" s="184"/>
      <c r="M868" s="184"/>
      <c r="N868" s="184"/>
      <c r="O868" s="184"/>
      <c r="AB868" s="185"/>
      <c r="AC868" s="185"/>
      <c r="AD868" s="185"/>
      <c r="AE868" s="185"/>
    </row>
    <row r="869" ht="15.75" customHeight="1">
      <c r="C869" s="184"/>
      <c r="D869" s="184"/>
      <c r="E869" s="184"/>
      <c r="F869" s="184"/>
      <c r="G869" s="184"/>
      <c r="H869" s="184"/>
      <c r="I869" s="184"/>
      <c r="J869" s="184"/>
      <c r="K869" s="184"/>
      <c r="L869" s="184"/>
      <c r="M869" s="184"/>
      <c r="N869" s="184"/>
      <c r="O869" s="184"/>
      <c r="AB869" s="185"/>
      <c r="AC869" s="185"/>
      <c r="AD869" s="185"/>
      <c r="AE869" s="185"/>
    </row>
    <row r="870" ht="15.75" customHeight="1">
      <c r="C870" s="184"/>
      <c r="D870" s="184"/>
      <c r="E870" s="184"/>
      <c r="F870" s="184"/>
      <c r="G870" s="184"/>
      <c r="H870" s="184"/>
      <c r="I870" s="184"/>
      <c r="J870" s="184"/>
      <c r="K870" s="184"/>
      <c r="L870" s="184"/>
      <c r="M870" s="184"/>
      <c r="N870" s="184"/>
      <c r="O870" s="184"/>
      <c r="AB870" s="185"/>
      <c r="AC870" s="185"/>
      <c r="AD870" s="185"/>
      <c r="AE870" s="185"/>
    </row>
    <row r="871" ht="15.75" customHeight="1">
      <c r="C871" s="184"/>
      <c r="D871" s="184"/>
      <c r="E871" s="184"/>
      <c r="F871" s="184"/>
      <c r="G871" s="184"/>
      <c r="H871" s="184"/>
      <c r="I871" s="184"/>
      <c r="J871" s="184"/>
      <c r="K871" s="184"/>
      <c r="L871" s="184"/>
      <c r="M871" s="184"/>
      <c r="N871" s="184"/>
      <c r="O871" s="184"/>
      <c r="AB871" s="185"/>
      <c r="AC871" s="185"/>
      <c r="AD871" s="185"/>
      <c r="AE871" s="185"/>
    </row>
    <row r="872" ht="15.75" customHeight="1">
      <c r="C872" s="184"/>
      <c r="D872" s="184"/>
      <c r="E872" s="184"/>
      <c r="F872" s="184"/>
      <c r="G872" s="184"/>
      <c r="H872" s="184"/>
      <c r="I872" s="184"/>
      <c r="J872" s="184"/>
      <c r="K872" s="184"/>
      <c r="L872" s="184"/>
      <c r="M872" s="184"/>
      <c r="N872" s="184"/>
      <c r="O872" s="184"/>
      <c r="AB872" s="185"/>
      <c r="AC872" s="185"/>
      <c r="AD872" s="185"/>
      <c r="AE872" s="185"/>
    </row>
    <row r="873" ht="15.75" customHeight="1">
      <c r="C873" s="184"/>
      <c r="D873" s="184"/>
      <c r="E873" s="184"/>
      <c r="F873" s="184"/>
      <c r="G873" s="184"/>
      <c r="H873" s="184"/>
      <c r="I873" s="184"/>
      <c r="J873" s="184"/>
      <c r="K873" s="184"/>
      <c r="L873" s="184"/>
      <c r="M873" s="184"/>
      <c r="N873" s="184"/>
      <c r="O873" s="184"/>
      <c r="AB873" s="185"/>
      <c r="AC873" s="185"/>
      <c r="AD873" s="185"/>
      <c r="AE873" s="185"/>
    </row>
    <row r="874" ht="15.75" customHeight="1">
      <c r="C874" s="184"/>
      <c r="D874" s="184"/>
      <c r="E874" s="184"/>
      <c r="F874" s="184"/>
      <c r="G874" s="184"/>
      <c r="H874" s="184"/>
      <c r="I874" s="184"/>
      <c r="J874" s="184"/>
      <c r="K874" s="184"/>
      <c r="L874" s="184"/>
      <c r="M874" s="184"/>
      <c r="N874" s="184"/>
      <c r="O874" s="184"/>
      <c r="AB874" s="185"/>
      <c r="AC874" s="185"/>
      <c r="AD874" s="185"/>
      <c r="AE874" s="185"/>
    </row>
    <row r="875" ht="15.75" customHeight="1">
      <c r="C875" s="184"/>
      <c r="D875" s="184"/>
      <c r="E875" s="184"/>
      <c r="F875" s="184"/>
      <c r="G875" s="184"/>
      <c r="H875" s="184"/>
      <c r="I875" s="184"/>
      <c r="J875" s="184"/>
      <c r="K875" s="184"/>
      <c r="L875" s="184"/>
      <c r="M875" s="184"/>
      <c r="N875" s="184"/>
      <c r="O875" s="184"/>
      <c r="AB875" s="185"/>
      <c r="AC875" s="185"/>
      <c r="AD875" s="185"/>
      <c r="AE875" s="185"/>
    </row>
    <row r="876" ht="15.75" customHeight="1">
      <c r="C876" s="184"/>
      <c r="D876" s="184"/>
      <c r="E876" s="184"/>
      <c r="F876" s="184"/>
      <c r="G876" s="184"/>
      <c r="H876" s="184"/>
      <c r="I876" s="184"/>
      <c r="J876" s="184"/>
      <c r="K876" s="184"/>
      <c r="L876" s="184"/>
      <c r="M876" s="184"/>
      <c r="N876" s="184"/>
      <c r="O876" s="184"/>
      <c r="AB876" s="185"/>
      <c r="AC876" s="185"/>
      <c r="AD876" s="185"/>
      <c r="AE876" s="185"/>
    </row>
    <row r="877" ht="15.75" customHeight="1">
      <c r="C877" s="184"/>
      <c r="D877" s="184"/>
      <c r="E877" s="184"/>
      <c r="F877" s="184"/>
      <c r="G877" s="184"/>
      <c r="H877" s="184"/>
      <c r="I877" s="184"/>
      <c r="J877" s="184"/>
      <c r="K877" s="184"/>
      <c r="L877" s="184"/>
      <c r="M877" s="184"/>
      <c r="N877" s="184"/>
      <c r="O877" s="184"/>
      <c r="AB877" s="185"/>
      <c r="AC877" s="185"/>
      <c r="AD877" s="185"/>
      <c r="AE877" s="185"/>
    </row>
    <row r="878" ht="15.75" customHeight="1">
      <c r="C878" s="184"/>
      <c r="D878" s="184"/>
      <c r="E878" s="184"/>
      <c r="F878" s="184"/>
      <c r="G878" s="184"/>
      <c r="H878" s="184"/>
      <c r="I878" s="184"/>
      <c r="J878" s="184"/>
      <c r="K878" s="184"/>
      <c r="L878" s="184"/>
      <c r="M878" s="184"/>
      <c r="N878" s="184"/>
      <c r="O878" s="184"/>
      <c r="AB878" s="185"/>
      <c r="AC878" s="185"/>
      <c r="AD878" s="185"/>
      <c r="AE878" s="185"/>
    </row>
    <row r="879" ht="15.75" customHeight="1">
      <c r="C879" s="184"/>
      <c r="D879" s="184"/>
      <c r="E879" s="184"/>
      <c r="F879" s="184"/>
      <c r="G879" s="184"/>
      <c r="H879" s="184"/>
      <c r="I879" s="184"/>
      <c r="J879" s="184"/>
      <c r="K879" s="184"/>
      <c r="L879" s="184"/>
      <c r="M879" s="184"/>
      <c r="N879" s="184"/>
      <c r="O879" s="184"/>
      <c r="AB879" s="185"/>
      <c r="AC879" s="185"/>
      <c r="AD879" s="185"/>
      <c r="AE879" s="185"/>
    </row>
    <row r="880" ht="15.75" customHeight="1">
      <c r="C880" s="184"/>
      <c r="D880" s="184"/>
      <c r="E880" s="184"/>
      <c r="F880" s="184"/>
      <c r="G880" s="184"/>
      <c r="H880" s="184"/>
      <c r="I880" s="184"/>
      <c r="J880" s="184"/>
      <c r="K880" s="184"/>
      <c r="L880" s="184"/>
      <c r="M880" s="184"/>
      <c r="N880" s="184"/>
      <c r="O880" s="184"/>
      <c r="AB880" s="185"/>
      <c r="AC880" s="185"/>
      <c r="AD880" s="185"/>
      <c r="AE880" s="185"/>
    </row>
    <row r="881" ht="15.75" customHeight="1">
      <c r="C881" s="184"/>
      <c r="D881" s="184"/>
      <c r="E881" s="184"/>
      <c r="F881" s="184"/>
      <c r="G881" s="184"/>
      <c r="H881" s="184"/>
      <c r="I881" s="184"/>
      <c r="J881" s="184"/>
      <c r="K881" s="184"/>
      <c r="L881" s="184"/>
      <c r="M881" s="184"/>
      <c r="N881" s="184"/>
      <c r="O881" s="184"/>
      <c r="AB881" s="185"/>
      <c r="AC881" s="185"/>
      <c r="AD881" s="185"/>
      <c r="AE881" s="185"/>
    </row>
    <row r="882" ht="15.75" customHeight="1">
      <c r="C882" s="184"/>
      <c r="D882" s="184"/>
      <c r="E882" s="184"/>
      <c r="F882" s="184"/>
      <c r="G882" s="184"/>
      <c r="H882" s="184"/>
      <c r="I882" s="184"/>
      <c r="J882" s="184"/>
      <c r="K882" s="184"/>
      <c r="L882" s="184"/>
      <c r="M882" s="184"/>
      <c r="N882" s="184"/>
      <c r="O882" s="184"/>
      <c r="AB882" s="185"/>
      <c r="AC882" s="185"/>
      <c r="AD882" s="185"/>
      <c r="AE882" s="185"/>
    </row>
    <row r="883" ht="15.75" customHeight="1">
      <c r="C883" s="184"/>
      <c r="D883" s="184"/>
      <c r="E883" s="184"/>
      <c r="F883" s="184"/>
      <c r="G883" s="184"/>
      <c r="H883" s="184"/>
      <c r="I883" s="184"/>
      <c r="J883" s="184"/>
      <c r="K883" s="184"/>
      <c r="L883" s="184"/>
      <c r="M883" s="184"/>
      <c r="N883" s="184"/>
      <c r="O883" s="184"/>
      <c r="AB883" s="185"/>
      <c r="AC883" s="185"/>
      <c r="AD883" s="185"/>
      <c r="AE883" s="185"/>
    </row>
    <row r="884" ht="15.75" customHeight="1">
      <c r="C884" s="184"/>
      <c r="D884" s="184"/>
      <c r="E884" s="184"/>
      <c r="F884" s="184"/>
      <c r="G884" s="184"/>
      <c r="H884" s="184"/>
      <c r="I884" s="184"/>
      <c r="J884" s="184"/>
      <c r="K884" s="184"/>
      <c r="L884" s="184"/>
      <c r="M884" s="184"/>
      <c r="N884" s="184"/>
      <c r="O884" s="184"/>
      <c r="AB884" s="185"/>
      <c r="AC884" s="185"/>
      <c r="AD884" s="185"/>
      <c r="AE884" s="185"/>
    </row>
    <row r="885" ht="15.75" customHeight="1">
      <c r="C885" s="184"/>
      <c r="D885" s="184"/>
      <c r="E885" s="184"/>
      <c r="F885" s="184"/>
      <c r="G885" s="184"/>
      <c r="H885" s="184"/>
      <c r="I885" s="184"/>
      <c r="J885" s="184"/>
      <c r="K885" s="184"/>
      <c r="L885" s="184"/>
      <c r="M885" s="184"/>
      <c r="N885" s="184"/>
      <c r="O885" s="184"/>
      <c r="AB885" s="185"/>
      <c r="AC885" s="185"/>
      <c r="AD885" s="185"/>
      <c r="AE885" s="185"/>
    </row>
    <row r="886" ht="15.75" customHeight="1">
      <c r="C886" s="184"/>
      <c r="D886" s="184"/>
      <c r="E886" s="184"/>
      <c r="F886" s="184"/>
      <c r="G886" s="184"/>
      <c r="H886" s="184"/>
      <c r="I886" s="184"/>
      <c r="J886" s="184"/>
      <c r="K886" s="184"/>
      <c r="L886" s="184"/>
      <c r="M886" s="184"/>
      <c r="N886" s="184"/>
      <c r="O886" s="184"/>
      <c r="AB886" s="185"/>
      <c r="AC886" s="185"/>
      <c r="AD886" s="185"/>
      <c r="AE886" s="185"/>
    </row>
    <row r="887" ht="15.75" customHeight="1">
      <c r="C887" s="184"/>
      <c r="D887" s="184"/>
      <c r="E887" s="184"/>
      <c r="F887" s="184"/>
      <c r="G887" s="184"/>
      <c r="H887" s="184"/>
      <c r="I887" s="184"/>
      <c r="J887" s="184"/>
      <c r="K887" s="184"/>
      <c r="L887" s="184"/>
      <c r="M887" s="184"/>
      <c r="N887" s="184"/>
      <c r="O887" s="184"/>
      <c r="AB887" s="185"/>
      <c r="AC887" s="185"/>
      <c r="AD887" s="185"/>
      <c r="AE887" s="185"/>
    </row>
    <row r="888" ht="15.75" customHeight="1">
      <c r="C888" s="184"/>
      <c r="D888" s="184"/>
      <c r="E888" s="184"/>
      <c r="F888" s="184"/>
      <c r="G888" s="184"/>
      <c r="H888" s="184"/>
      <c r="I888" s="184"/>
      <c r="J888" s="184"/>
      <c r="K888" s="184"/>
      <c r="L888" s="184"/>
      <c r="M888" s="184"/>
      <c r="N888" s="184"/>
      <c r="O888" s="184"/>
      <c r="AB888" s="185"/>
      <c r="AC888" s="185"/>
      <c r="AD888" s="185"/>
      <c r="AE888" s="185"/>
    </row>
    <row r="889" ht="15.75" customHeight="1">
      <c r="C889" s="184"/>
      <c r="D889" s="184"/>
      <c r="E889" s="184"/>
      <c r="F889" s="184"/>
      <c r="G889" s="184"/>
      <c r="H889" s="184"/>
      <c r="I889" s="184"/>
      <c r="J889" s="184"/>
      <c r="K889" s="184"/>
      <c r="L889" s="184"/>
      <c r="M889" s="184"/>
      <c r="N889" s="184"/>
      <c r="O889" s="184"/>
      <c r="AB889" s="185"/>
      <c r="AC889" s="185"/>
      <c r="AD889" s="185"/>
      <c r="AE889" s="185"/>
    </row>
    <row r="890" ht="15.75" customHeight="1">
      <c r="C890" s="184"/>
      <c r="D890" s="184"/>
      <c r="E890" s="184"/>
      <c r="F890" s="184"/>
      <c r="G890" s="184"/>
      <c r="H890" s="184"/>
      <c r="I890" s="184"/>
      <c r="J890" s="184"/>
      <c r="K890" s="184"/>
      <c r="L890" s="184"/>
      <c r="M890" s="184"/>
      <c r="N890" s="184"/>
      <c r="O890" s="184"/>
      <c r="AB890" s="185"/>
      <c r="AC890" s="185"/>
      <c r="AD890" s="185"/>
      <c r="AE890" s="185"/>
    </row>
    <row r="891" ht="15.75" customHeight="1">
      <c r="C891" s="184"/>
      <c r="D891" s="184"/>
      <c r="E891" s="184"/>
      <c r="F891" s="184"/>
      <c r="G891" s="184"/>
      <c r="H891" s="184"/>
      <c r="I891" s="184"/>
      <c r="J891" s="184"/>
      <c r="K891" s="184"/>
      <c r="L891" s="184"/>
      <c r="M891" s="184"/>
      <c r="N891" s="184"/>
      <c r="O891" s="184"/>
      <c r="AB891" s="185"/>
      <c r="AC891" s="185"/>
      <c r="AD891" s="185"/>
      <c r="AE891" s="185"/>
    </row>
    <row r="892" ht="15.75" customHeight="1">
      <c r="C892" s="184"/>
      <c r="D892" s="184"/>
      <c r="E892" s="184"/>
      <c r="F892" s="184"/>
      <c r="G892" s="184"/>
      <c r="H892" s="184"/>
      <c r="I892" s="184"/>
      <c r="J892" s="184"/>
      <c r="K892" s="184"/>
      <c r="L892" s="184"/>
      <c r="M892" s="184"/>
      <c r="N892" s="184"/>
      <c r="O892" s="184"/>
      <c r="AB892" s="185"/>
      <c r="AC892" s="185"/>
      <c r="AD892" s="185"/>
      <c r="AE892" s="185"/>
    </row>
    <row r="893" ht="15.75" customHeight="1">
      <c r="C893" s="184"/>
      <c r="D893" s="184"/>
      <c r="E893" s="184"/>
      <c r="F893" s="184"/>
      <c r="G893" s="184"/>
      <c r="H893" s="184"/>
      <c r="I893" s="184"/>
      <c r="J893" s="184"/>
      <c r="K893" s="184"/>
      <c r="L893" s="184"/>
      <c r="M893" s="184"/>
      <c r="N893" s="184"/>
      <c r="O893" s="184"/>
      <c r="AB893" s="185"/>
      <c r="AC893" s="185"/>
      <c r="AD893" s="185"/>
      <c r="AE893" s="185"/>
    </row>
    <row r="894" ht="15.75" customHeight="1">
      <c r="C894" s="184"/>
      <c r="D894" s="184"/>
      <c r="E894" s="184"/>
      <c r="F894" s="184"/>
      <c r="G894" s="184"/>
      <c r="H894" s="184"/>
      <c r="I894" s="184"/>
      <c r="J894" s="184"/>
      <c r="K894" s="184"/>
      <c r="L894" s="184"/>
      <c r="M894" s="184"/>
      <c r="N894" s="184"/>
      <c r="O894" s="184"/>
      <c r="AB894" s="185"/>
      <c r="AC894" s="185"/>
      <c r="AD894" s="185"/>
      <c r="AE894" s="185"/>
    </row>
    <row r="895" ht="15.75" customHeight="1">
      <c r="C895" s="184"/>
      <c r="D895" s="184"/>
      <c r="E895" s="184"/>
      <c r="F895" s="184"/>
      <c r="G895" s="184"/>
      <c r="H895" s="184"/>
      <c r="I895" s="184"/>
      <c r="J895" s="184"/>
      <c r="K895" s="184"/>
      <c r="L895" s="184"/>
      <c r="M895" s="184"/>
      <c r="N895" s="184"/>
      <c r="O895" s="184"/>
      <c r="AB895" s="185"/>
      <c r="AC895" s="185"/>
      <c r="AD895" s="185"/>
      <c r="AE895" s="185"/>
    </row>
    <row r="896" ht="15.75" customHeight="1">
      <c r="C896" s="184"/>
      <c r="D896" s="184"/>
      <c r="E896" s="184"/>
      <c r="F896" s="184"/>
      <c r="G896" s="184"/>
      <c r="H896" s="184"/>
      <c r="I896" s="184"/>
      <c r="J896" s="184"/>
      <c r="K896" s="184"/>
      <c r="L896" s="184"/>
      <c r="M896" s="184"/>
      <c r="N896" s="184"/>
      <c r="O896" s="184"/>
      <c r="AB896" s="185"/>
      <c r="AC896" s="185"/>
      <c r="AD896" s="185"/>
      <c r="AE896" s="185"/>
    </row>
    <row r="897" ht="15.75" customHeight="1">
      <c r="C897" s="184"/>
      <c r="D897" s="184"/>
      <c r="E897" s="184"/>
      <c r="F897" s="184"/>
      <c r="G897" s="184"/>
      <c r="H897" s="184"/>
      <c r="I897" s="184"/>
      <c r="J897" s="184"/>
      <c r="K897" s="184"/>
      <c r="L897" s="184"/>
      <c r="M897" s="184"/>
      <c r="N897" s="184"/>
      <c r="O897" s="184"/>
      <c r="AB897" s="185"/>
      <c r="AC897" s="185"/>
      <c r="AD897" s="185"/>
      <c r="AE897" s="185"/>
    </row>
    <row r="898" ht="15.75" customHeight="1">
      <c r="C898" s="184"/>
      <c r="D898" s="184"/>
      <c r="E898" s="184"/>
      <c r="F898" s="184"/>
      <c r="G898" s="184"/>
      <c r="H898" s="184"/>
      <c r="I898" s="184"/>
      <c r="J898" s="184"/>
      <c r="K898" s="184"/>
      <c r="L898" s="184"/>
      <c r="M898" s="184"/>
      <c r="N898" s="184"/>
      <c r="O898" s="184"/>
      <c r="AB898" s="185"/>
      <c r="AC898" s="185"/>
      <c r="AD898" s="185"/>
      <c r="AE898" s="185"/>
    </row>
    <row r="899" ht="15.75" customHeight="1">
      <c r="C899" s="184"/>
      <c r="D899" s="184"/>
      <c r="E899" s="184"/>
      <c r="F899" s="184"/>
      <c r="G899" s="184"/>
      <c r="H899" s="184"/>
      <c r="I899" s="184"/>
      <c r="J899" s="184"/>
      <c r="K899" s="184"/>
      <c r="L899" s="184"/>
      <c r="M899" s="184"/>
      <c r="N899" s="184"/>
      <c r="O899" s="184"/>
      <c r="AB899" s="185"/>
      <c r="AC899" s="185"/>
      <c r="AD899" s="185"/>
      <c r="AE899" s="185"/>
    </row>
    <row r="900" ht="15.75" customHeight="1">
      <c r="C900" s="184"/>
      <c r="D900" s="184"/>
      <c r="E900" s="184"/>
      <c r="F900" s="184"/>
      <c r="G900" s="184"/>
      <c r="H900" s="184"/>
      <c r="I900" s="184"/>
      <c r="J900" s="184"/>
      <c r="K900" s="184"/>
      <c r="L900" s="184"/>
      <c r="M900" s="184"/>
      <c r="N900" s="184"/>
      <c r="O900" s="184"/>
      <c r="AB900" s="185"/>
      <c r="AC900" s="185"/>
      <c r="AD900" s="185"/>
      <c r="AE900" s="185"/>
    </row>
    <row r="901" ht="15.75" customHeight="1">
      <c r="C901" s="184"/>
      <c r="D901" s="184"/>
      <c r="E901" s="184"/>
      <c r="F901" s="184"/>
      <c r="G901" s="184"/>
      <c r="H901" s="184"/>
      <c r="I901" s="184"/>
      <c r="J901" s="184"/>
      <c r="K901" s="184"/>
      <c r="L901" s="184"/>
      <c r="M901" s="184"/>
      <c r="N901" s="184"/>
      <c r="O901" s="184"/>
      <c r="AB901" s="185"/>
      <c r="AC901" s="185"/>
      <c r="AD901" s="185"/>
      <c r="AE901" s="185"/>
    </row>
    <row r="902" ht="15.75" customHeight="1">
      <c r="C902" s="184"/>
      <c r="D902" s="184"/>
      <c r="E902" s="184"/>
      <c r="F902" s="184"/>
      <c r="G902" s="184"/>
      <c r="H902" s="184"/>
      <c r="I902" s="184"/>
      <c r="J902" s="184"/>
      <c r="K902" s="184"/>
      <c r="L902" s="184"/>
      <c r="M902" s="184"/>
      <c r="N902" s="184"/>
      <c r="O902" s="184"/>
      <c r="AB902" s="185"/>
      <c r="AC902" s="185"/>
      <c r="AD902" s="185"/>
      <c r="AE902" s="185"/>
    </row>
    <row r="903" ht="15.75" customHeight="1">
      <c r="C903" s="184"/>
      <c r="D903" s="184"/>
      <c r="E903" s="184"/>
      <c r="F903" s="184"/>
      <c r="G903" s="184"/>
      <c r="H903" s="184"/>
      <c r="I903" s="184"/>
      <c r="J903" s="184"/>
      <c r="K903" s="184"/>
      <c r="L903" s="184"/>
      <c r="M903" s="184"/>
      <c r="N903" s="184"/>
      <c r="O903" s="184"/>
      <c r="AB903" s="185"/>
      <c r="AC903" s="185"/>
      <c r="AD903" s="185"/>
      <c r="AE903" s="185"/>
    </row>
    <row r="904" ht="15.75" customHeight="1">
      <c r="C904" s="184"/>
      <c r="D904" s="184"/>
      <c r="E904" s="184"/>
      <c r="F904" s="184"/>
      <c r="G904" s="184"/>
      <c r="H904" s="184"/>
      <c r="I904" s="184"/>
      <c r="J904" s="184"/>
      <c r="K904" s="184"/>
      <c r="L904" s="184"/>
      <c r="M904" s="184"/>
      <c r="N904" s="184"/>
      <c r="O904" s="184"/>
      <c r="AB904" s="185"/>
      <c r="AC904" s="185"/>
      <c r="AD904" s="185"/>
      <c r="AE904" s="185"/>
    </row>
    <row r="905" ht="15.75" customHeight="1">
      <c r="C905" s="184"/>
      <c r="D905" s="184"/>
      <c r="E905" s="184"/>
      <c r="F905" s="184"/>
      <c r="G905" s="184"/>
      <c r="H905" s="184"/>
      <c r="I905" s="184"/>
      <c r="J905" s="184"/>
      <c r="K905" s="184"/>
      <c r="L905" s="184"/>
      <c r="M905" s="184"/>
      <c r="N905" s="184"/>
      <c r="O905" s="184"/>
      <c r="AB905" s="185"/>
      <c r="AC905" s="185"/>
      <c r="AD905" s="185"/>
      <c r="AE905" s="185"/>
    </row>
    <row r="906" ht="15.75" customHeight="1">
      <c r="C906" s="184"/>
      <c r="D906" s="184"/>
      <c r="E906" s="184"/>
      <c r="F906" s="184"/>
      <c r="G906" s="184"/>
      <c r="H906" s="184"/>
      <c r="I906" s="184"/>
      <c r="J906" s="184"/>
      <c r="K906" s="184"/>
      <c r="L906" s="184"/>
      <c r="M906" s="184"/>
      <c r="N906" s="184"/>
      <c r="O906" s="184"/>
      <c r="AB906" s="185"/>
      <c r="AC906" s="185"/>
      <c r="AD906" s="185"/>
      <c r="AE906" s="185"/>
    </row>
    <row r="907" ht="15.75" customHeight="1">
      <c r="C907" s="184"/>
      <c r="D907" s="184"/>
      <c r="E907" s="184"/>
      <c r="F907" s="184"/>
      <c r="G907" s="184"/>
      <c r="H907" s="184"/>
      <c r="I907" s="184"/>
      <c r="J907" s="184"/>
      <c r="K907" s="184"/>
      <c r="L907" s="184"/>
      <c r="M907" s="184"/>
      <c r="N907" s="184"/>
      <c r="O907" s="184"/>
      <c r="AB907" s="185"/>
      <c r="AC907" s="185"/>
      <c r="AD907" s="185"/>
      <c r="AE907" s="185"/>
    </row>
    <row r="908" ht="15.75" customHeight="1">
      <c r="C908" s="184"/>
      <c r="D908" s="184"/>
      <c r="E908" s="184"/>
      <c r="F908" s="184"/>
      <c r="G908" s="184"/>
      <c r="H908" s="184"/>
      <c r="I908" s="184"/>
      <c r="J908" s="184"/>
      <c r="K908" s="184"/>
      <c r="L908" s="184"/>
      <c r="M908" s="184"/>
      <c r="N908" s="184"/>
      <c r="O908" s="184"/>
      <c r="AB908" s="185"/>
      <c r="AC908" s="185"/>
      <c r="AD908" s="185"/>
      <c r="AE908" s="185"/>
    </row>
    <row r="909" ht="15.75" customHeight="1">
      <c r="C909" s="184"/>
      <c r="D909" s="184"/>
      <c r="E909" s="184"/>
      <c r="F909" s="184"/>
      <c r="G909" s="184"/>
      <c r="H909" s="184"/>
      <c r="I909" s="184"/>
      <c r="J909" s="184"/>
      <c r="K909" s="184"/>
      <c r="L909" s="184"/>
      <c r="M909" s="184"/>
      <c r="N909" s="184"/>
      <c r="O909" s="184"/>
      <c r="AB909" s="185"/>
      <c r="AC909" s="185"/>
      <c r="AD909" s="185"/>
      <c r="AE909" s="185"/>
    </row>
    <row r="910" ht="15.75" customHeight="1">
      <c r="C910" s="184"/>
      <c r="D910" s="184"/>
      <c r="E910" s="184"/>
      <c r="F910" s="184"/>
      <c r="G910" s="184"/>
      <c r="H910" s="184"/>
      <c r="I910" s="184"/>
      <c r="J910" s="184"/>
      <c r="K910" s="184"/>
      <c r="L910" s="184"/>
      <c r="M910" s="184"/>
      <c r="N910" s="184"/>
      <c r="O910" s="184"/>
      <c r="AB910" s="185"/>
      <c r="AC910" s="185"/>
      <c r="AD910" s="185"/>
      <c r="AE910" s="185"/>
    </row>
    <row r="911" ht="15.75" customHeight="1">
      <c r="C911" s="184"/>
      <c r="D911" s="184"/>
      <c r="E911" s="184"/>
      <c r="F911" s="184"/>
      <c r="G911" s="184"/>
      <c r="H911" s="184"/>
      <c r="I911" s="184"/>
      <c r="J911" s="184"/>
      <c r="K911" s="184"/>
      <c r="L911" s="184"/>
      <c r="M911" s="184"/>
      <c r="N911" s="184"/>
      <c r="O911" s="184"/>
      <c r="AB911" s="185"/>
      <c r="AC911" s="185"/>
      <c r="AD911" s="185"/>
      <c r="AE911" s="185"/>
    </row>
    <row r="912" ht="15.75" customHeight="1">
      <c r="C912" s="184"/>
      <c r="D912" s="184"/>
      <c r="E912" s="184"/>
      <c r="F912" s="184"/>
      <c r="G912" s="184"/>
      <c r="H912" s="184"/>
      <c r="I912" s="184"/>
      <c r="J912" s="184"/>
      <c r="K912" s="184"/>
      <c r="L912" s="184"/>
      <c r="M912" s="184"/>
      <c r="N912" s="184"/>
      <c r="O912" s="184"/>
      <c r="AB912" s="185"/>
      <c r="AC912" s="185"/>
      <c r="AD912" s="185"/>
      <c r="AE912" s="185"/>
    </row>
    <row r="913" ht="15.75" customHeight="1">
      <c r="C913" s="184"/>
      <c r="D913" s="184"/>
      <c r="E913" s="184"/>
      <c r="F913" s="184"/>
      <c r="G913" s="184"/>
      <c r="H913" s="184"/>
      <c r="I913" s="184"/>
      <c r="J913" s="184"/>
      <c r="K913" s="184"/>
      <c r="L913" s="184"/>
      <c r="M913" s="184"/>
      <c r="N913" s="184"/>
      <c r="O913" s="184"/>
      <c r="AB913" s="185"/>
      <c r="AC913" s="185"/>
      <c r="AD913" s="185"/>
      <c r="AE913" s="185"/>
    </row>
    <row r="914" ht="15.75" customHeight="1">
      <c r="C914" s="184"/>
      <c r="D914" s="184"/>
      <c r="E914" s="184"/>
      <c r="F914" s="184"/>
      <c r="G914" s="184"/>
      <c r="H914" s="184"/>
      <c r="I914" s="184"/>
      <c r="J914" s="184"/>
      <c r="K914" s="184"/>
      <c r="L914" s="184"/>
      <c r="M914" s="184"/>
      <c r="N914" s="184"/>
      <c r="O914" s="184"/>
      <c r="AB914" s="185"/>
      <c r="AC914" s="185"/>
      <c r="AD914" s="185"/>
      <c r="AE914" s="185"/>
    </row>
    <row r="915" ht="15.75" customHeight="1">
      <c r="C915" s="184"/>
      <c r="D915" s="184"/>
      <c r="E915" s="184"/>
      <c r="F915" s="184"/>
      <c r="G915" s="184"/>
      <c r="H915" s="184"/>
      <c r="I915" s="184"/>
      <c r="J915" s="184"/>
      <c r="K915" s="184"/>
      <c r="L915" s="184"/>
      <c r="M915" s="184"/>
      <c r="N915" s="184"/>
      <c r="O915" s="184"/>
      <c r="AB915" s="185"/>
      <c r="AC915" s="185"/>
      <c r="AD915" s="185"/>
      <c r="AE915" s="185"/>
    </row>
    <row r="916" ht="15.75" customHeight="1">
      <c r="C916" s="184"/>
      <c r="D916" s="184"/>
      <c r="E916" s="184"/>
      <c r="F916" s="184"/>
      <c r="G916" s="184"/>
      <c r="H916" s="184"/>
      <c r="I916" s="184"/>
      <c r="J916" s="184"/>
      <c r="K916" s="184"/>
      <c r="L916" s="184"/>
      <c r="M916" s="184"/>
      <c r="N916" s="184"/>
      <c r="O916" s="184"/>
      <c r="AB916" s="185"/>
      <c r="AC916" s="185"/>
      <c r="AD916" s="185"/>
      <c r="AE916" s="185"/>
    </row>
    <row r="917" ht="15.75" customHeight="1">
      <c r="C917" s="184"/>
      <c r="D917" s="184"/>
      <c r="E917" s="184"/>
      <c r="F917" s="184"/>
      <c r="G917" s="184"/>
      <c r="H917" s="184"/>
      <c r="I917" s="184"/>
      <c r="J917" s="184"/>
      <c r="K917" s="184"/>
      <c r="L917" s="184"/>
      <c r="M917" s="184"/>
      <c r="N917" s="184"/>
      <c r="O917" s="184"/>
      <c r="AB917" s="185"/>
      <c r="AC917" s="185"/>
      <c r="AD917" s="185"/>
      <c r="AE917" s="185"/>
    </row>
    <row r="918" ht="15.75" customHeight="1">
      <c r="C918" s="184"/>
      <c r="D918" s="184"/>
      <c r="E918" s="184"/>
      <c r="F918" s="184"/>
      <c r="G918" s="184"/>
      <c r="H918" s="184"/>
      <c r="I918" s="184"/>
      <c r="J918" s="184"/>
      <c r="K918" s="184"/>
      <c r="L918" s="184"/>
      <c r="M918" s="184"/>
      <c r="N918" s="184"/>
      <c r="O918" s="184"/>
      <c r="AB918" s="185"/>
      <c r="AC918" s="185"/>
      <c r="AD918" s="185"/>
      <c r="AE918" s="185"/>
    </row>
    <row r="919" ht="15.75" customHeight="1">
      <c r="C919" s="184"/>
      <c r="D919" s="184"/>
      <c r="E919" s="184"/>
      <c r="F919" s="184"/>
      <c r="G919" s="184"/>
      <c r="H919" s="184"/>
      <c r="I919" s="184"/>
      <c r="J919" s="184"/>
      <c r="K919" s="184"/>
      <c r="L919" s="184"/>
      <c r="M919" s="184"/>
      <c r="N919" s="184"/>
      <c r="O919" s="184"/>
      <c r="AB919" s="185"/>
      <c r="AC919" s="185"/>
      <c r="AD919" s="185"/>
      <c r="AE919" s="185"/>
    </row>
    <row r="920" ht="15.75" customHeight="1">
      <c r="C920" s="184"/>
      <c r="D920" s="184"/>
      <c r="E920" s="184"/>
      <c r="F920" s="184"/>
      <c r="G920" s="184"/>
      <c r="H920" s="184"/>
      <c r="I920" s="184"/>
      <c r="J920" s="184"/>
      <c r="K920" s="184"/>
      <c r="L920" s="184"/>
      <c r="M920" s="184"/>
      <c r="N920" s="184"/>
      <c r="O920" s="184"/>
      <c r="AB920" s="185"/>
      <c r="AC920" s="185"/>
      <c r="AD920" s="185"/>
      <c r="AE920" s="185"/>
    </row>
    <row r="921" ht="15.75" customHeight="1">
      <c r="C921" s="184"/>
      <c r="D921" s="184"/>
      <c r="E921" s="184"/>
      <c r="F921" s="184"/>
      <c r="G921" s="184"/>
      <c r="H921" s="184"/>
      <c r="I921" s="184"/>
      <c r="J921" s="184"/>
      <c r="K921" s="184"/>
      <c r="L921" s="184"/>
      <c r="M921" s="184"/>
      <c r="N921" s="184"/>
      <c r="O921" s="184"/>
      <c r="AB921" s="185"/>
      <c r="AC921" s="185"/>
      <c r="AD921" s="185"/>
      <c r="AE921" s="185"/>
    </row>
    <row r="922" ht="15.75" customHeight="1">
      <c r="C922" s="184"/>
      <c r="D922" s="184"/>
      <c r="E922" s="184"/>
      <c r="F922" s="184"/>
      <c r="G922" s="184"/>
      <c r="H922" s="184"/>
      <c r="I922" s="184"/>
      <c r="J922" s="184"/>
      <c r="K922" s="184"/>
      <c r="L922" s="184"/>
      <c r="M922" s="184"/>
      <c r="N922" s="184"/>
      <c r="O922" s="184"/>
      <c r="AB922" s="185"/>
      <c r="AC922" s="185"/>
      <c r="AD922" s="185"/>
      <c r="AE922" s="185"/>
    </row>
    <row r="923" ht="15.75" customHeight="1">
      <c r="C923" s="184"/>
      <c r="D923" s="184"/>
      <c r="E923" s="184"/>
      <c r="F923" s="184"/>
      <c r="G923" s="184"/>
      <c r="H923" s="184"/>
      <c r="I923" s="184"/>
      <c r="J923" s="184"/>
      <c r="K923" s="184"/>
      <c r="L923" s="184"/>
      <c r="M923" s="184"/>
      <c r="N923" s="184"/>
      <c r="O923" s="184"/>
      <c r="AB923" s="185"/>
      <c r="AC923" s="185"/>
      <c r="AD923" s="185"/>
      <c r="AE923" s="185"/>
    </row>
    <row r="924" ht="15.75" customHeight="1">
      <c r="C924" s="184"/>
      <c r="D924" s="184"/>
      <c r="E924" s="184"/>
      <c r="F924" s="184"/>
      <c r="G924" s="184"/>
      <c r="H924" s="184"/>
      <c r="I924" s="184"/>
      <c r="J924" s="184"/>
      <c r="K924" s="184"/>
      <c r="L924" s="184"/>
      <c r="M924" s="184"/>
      <c r="N924" s="184"/>
      <c r="O924" s="184"/>
      <c r="AB924" s="185"/>
      <c r="AC924" s="185"/>
      <c r="AD924" s="185"/>
      <c r="AE924" s="185"/>
    </row>
    <row r="925" ht="15.75" customHeight="1">
      <c r="C925" s="184"/>
      <c r="D925" s="184"/>
      <c r="E925" s="184"/>
      <c r="F925" s="184"/>
      <c r="G925" s="184"/>
      <c r="H925" s="184"/>
      <c r="I925" s="184"/>
      <c r="J925" s="184"/>
      <c r="K925" s="184"/>
      <c r="L925" s="184"/>
      <c r="M925" s="184"/>
      <c r="N925" s="184"/>
      <c r="O925" s="184"/>
      <c r="AB925" s="185"/>
      <c r="AC925" s="185"/>
      <c r="AD925" s="185"/>
      <c r="AE925" s="185"/>
    </row>
    <row r="926" ht="15.75" customHeight="1">
      <c r="C926" s="184"/>
      <c r="D926" s="184"/>
      <c r="E926" s="184"/>
      <c r="F926" s="184"/>
      <c r="G926" s="184"/>
      <c r="H926" s="184"/>
      <c r="I926" s="184"/>
      <c r="J926" s="184"/>
      <c r="K926" s="184"/>
      <c r="L926" s="184"/>
      <c r="M926" s="184"/>
      <c r="N926" s="184"/>
      <c r="O926" s="184"/>
      <c r="AB926" s="185"/>
      <c r="AC926" s="185"/>
      <c r="AD926" s="185"/>
      <c r="AE926" s="185"/>
    </row>
    <row r="927" ht="15.75" customHeight="1">
      <c r="C927" s="184"/>
      <c r="D927" s="184"/>
      <c r="E927" s="184"/>
      <c r="F927" s="184"/>
      <c r="G927" s="184"/>
      <c r="H927" s="184"/>
      <c r="I927" s="184"/>
      <c r="J927" s="184"/>
      <c r="K927" s="184"/>
      <c r="L927" s="184"/>
      <c r="M927" s="184"/>
      <c r="N927" s="184"/>
      <c r="O927" s="184"/>
      <c r="AB927" s="185"/>
      <c r="AC927" s="185"/>
      <c r="AD927" s="185"/>
      <c r="AE927" s="185"/>
    </row>
    <row r="928" ht="15.75" customHeight="1">
      <c r="C928" s="184"/>
      <c r="D928" s="184"/>
      <c r="E928" s="184"/>
      <c r="F928" s="184"/>
      <c r="G928" s="184"/>
      <c r="H928" s="184"/>
      <c r="I928" s="184"/>
      <c r="J928" s="184"/>
      <c r="K928" s="184"/>
      <c r="L928" s="184"/>
      <c r="M928" s="184"/>
      <c r="N928" s="184"/>
      <c r="O928" s="184"/>
      <c r="AB928" s="185"/>
      <c r="AC928" s="185"/>
      <c r="AD928" s="185"/>
      <c r="AE928" s="185"/>
    </row>
    <row r="929" ht="15.75" customHeight="1">
      <c r="C929" s="184"/>
      <c r="D929" s="184"/>
      <c r="E929" s="184"/>
      <c r="F929" s="184"/>
      <c r="G929" s="184"/>
      <c r="H929" s="184"/>
      <c r="I929" s="184"/>
      <c r="J929" s="184"/>
      <c r="K929" s="184"/>
      <c r="L929" s="184"/>
      <c r="M929" s="184"/>
      <c r="N929" s="184"/>
      <c r="O929" s="184"/>
      <c r="AB929" s="185"/>
      <c r="AC929" s="185"/>
      <c r="AD929" s="185"/>
      <c r="AE929" s="185"/>
    </row>
    <row r="930" ht="15.75" customHeight="1">
      <c r="C930" s="184"/>
      <c r="D930" s="184"/>
      <c r="E930" s="184"/>
      <c r="F930" s="184"/>
      <c r="G930" s="184"/>
      <c r="H930" s="184"/>
      <c r="I930" s="184"/>
      <c r="J930" s="184"/>
      <c r="K930" s="184"/>
      <c r="L930" s="184"/>
      <c r="M930" s="184"/>
      <c r="N930" s="184"/>
      <c r="O930" s="184"/>
      <c r="AB930" s="185"/>
      <c r="AC930" s="185"/>
      <c r="AD930" s="185"/>
      <c r="AE930" s="185"/>
    </row>
    <row r="931" ht="15.75" customHeight="1">
      <c r="C931" s="184"/>
      <c r="D931" s="184"/>
      <c r="E931" s="184"/>
      <c r="F931" s="184"/>
      <c r="G931" s="184"/>
      <c r="H931" s="184"/>
      <c r="I931" s="184"/>
      <c r="J931" s="184"/>
      <c r="K931" s="184"/>
      <c r="L931" s="184"/>
      <c r="M931" s="184"/>
      <c r="N931" s="184"/>
      <c r="O931" s="184"/>
      <c r="AB931" s="185"/>
      <c r="AC931" s="185"/>
      <c r="AD931" s="185"/>
      <c r="AE931" s="185"/>
    </row>
    <row r="932" ht="15.75" customHeight="1">
      <c r="C932" s="184"/>
      <c r="D932" s="184"/>
      <c r="E932" s="184"/>
      <c r="F932" s="184"/>
      <c r="G932" s="184"/>
      <c r="H932" s="184"/>
      <c r="I932" s="184"/>
      <c r="J932" s="184"/>
      <c r="K932" s="184"/>
      <c r="L932" s="184"/>
      <c r="M932" s="184"/>
      <c r="N932" s="184"/>
      <c r="O932" s="184"/>
      <c r="AB932" s="185"/>
      <c r="AC932" s="185"/>
      <c r="AD932" s="185"/>
      <c r="AE932" s="185"/>
    </row>
    <row r="933" ht="15.75" customHeight="1">
      <c r="C933" s="184"/>
      <c r="D933" s="184"/>
      <c r="E933" s="184"/>
      <c r="F933" s="184"/>
      <c r="G933" s="184"/>
      <c r="H933" s="184"/>
      <c r="I933" s="184"/>
      <c r="J933" s="184"/>
      <c r="K933" s="184"/>
      <c r="L933" s="184"/>
      <c r="M933" s="184"/>
      <c r="N933" s="184"/>
      <c r="O933" s="184"/>
      <c r="AB933" s="185"/>
      <c r="AC933" s="185"/>
      <c r="AD933" s="185"/>
      <c r="AE933" s="185"/>
    </row>
    <row r="934" ht="15.75" customHeight="1">
      <c r="C934" s="184"/>
      <c r="D934" s="184"/>
      <c r="E934" s="184"/>
      <c r="F934" s="184"/>
      <c r="G934" s="184"/>
      <c r="H934" s="184"/>
      <c r="I934" s="184"/>
      <c r="J934" s="184"/>
      <c r="K934" s="184"/>
      <c r="L934" s="184"/>
      <c r="M934" s="184"/>
      <c r="N934" s="184"/>
      <c r="O934" s="184"/>
      <c r="AB934" s="185"/>
      <c r="AC934" s="185"/>
      <c r="AD934" s="185"/>
      <c r="AE934" s="185"/>
    </row>
    <row r="935" ht="15.75" customHeight="1">
      <c r="C935" s="184"/>
      <c r="D935" s="184"/>
      <c r="E935" s="184"/>
      <c r="F935" s="184"/>
      <c r="G935" s="184"/>
      <c r="H935" s="184"/>
      <c r="I935" s="184"/>
      <c r="J935" s="184"/>
      <c r="K935" s="184"/>
      <c r="L935" s="184"/>
      <c r="M935" s="184"/>
      <c r="N935" s="184"/>
      <c r="O935" s="184"/>
      <c r="AB935" s="185"/>
      <c r="AC935" s="185"/>
      <c r="AD935" s="185"/>
      <c r="AE935" s="185"/>
    </row>
    <row r="936" ht="15.75" customHeight="1">
      <c r="C936" s="184"/>
      <c r="D936" s="184"/>
      <c r="E936" s="184"/>
      <c r="F936" s="184"/>
      <c r="G936" s="184"/>
      <c r="H936" s="184"/>
      <c r="I936" s="184"/>
      <c r="J936" s="184"/>
      <c r="K936" s="184"/>
      <c r="L936" s="184"/>
      <c r="M936" s="184"/>
      <c r="N936" s="184"/>
      <c r="O936" s="184"/>
      <c r="AB936" s="185"/>
      <c r="AC936" s="185"/>
      <c r="AD936" s="185"/>
      <c r="AE936" s="185"/>
    </row>
    <row r="937" ht="15.75" customHeight="1">
      <c r="C937" s="184"/>
      <c r="D937" s="184"/>
      <c r="E937" s="184"/>
      <c r="F937" s="184"/>
      <c r="G937" s="184"/>
      <c r="H937" s="184"/>
      <c r="I937" s="184"/>
      <c r="J937" s="184"/>
      <c r="K937" s="184"/>
      <c r="L937" s="184"/>
      <c r="M937" s="184"/>
      <c r="N937" s="184"/>
      <c r="O937" s="184"/>
      <c r="AB937" s="185"/>
      <c r="AC937" s="185"/>
      <c r="AD937" s="185"/>
      <c r="AE937" s="185"/>
    </row>
    <row r="938" ht="15.75" customHeight="1">
      <c r="C938" s="184"/>
      <c r="D938" s="184"/>
      <c r="E938" s="184"/>
      <c r="F938" s="184"/>
      <c r="G938" s="184"/>
      <c r="H938" s="184"/>
      <c r="I938" s="184"/>
      <c r="J938" s="184"/>
      <c r="K938" s="184"/>
      <c r="L938" s="184"/>
      <c r="M938" s="184"/>
      <c r="N938" s="184"/>
      <c r="O938" s="184"/>
      <c r="AB938" s="185"/>
      <c r="AC938" s="185"/>
      <c r="AD938" s="185"/>
      <c r="AE938" s="185"/>
    </row>
    <row r="939" ht="15.75" customHeight="1">
      <c r="C939" s="184"/>
      <c r="D939" s="184"/>
      <c r="E939" s="184"/>
      <c r="F939" s="184"/>
      <c r="G939" s="184"/>
      <c r="H939" s="184"/>
      <c r="I939" s="184"/>
      <c r="J939" s="184"/>
      <c r="K939" s="184"/>
      <c r="L939" s="184"/>
      <c r="M939" s="184"/>
      <c r="N939" s="184"/>
      <c r="O939" s="184"/>
      <c r="AB939" s="185"/>
      <c r="AC939" s="185"/>
      <c r="AD939" s="185"/>
      <c r="AE939" s="185"/>
    </row>
    <row r="940" ht="15.75" customHeight="1">
      <c r="C940" s="184"/>
      <c r="D940" s="184"/>
      <c r="E940" s="184"/>
      <c r="F940" s="184"/>
      <c r="G940" s="184"/>
      <c r="H940" s="184"/>
      <c r="I940" s="184"/>
      <c r="J940" s="184"/>
      <c r="K940" s="184"/>
      <c r="L940" s="184"/>
      <c r="M940" s="184"/>
      <c r="N940" s="184"/>
      <c r="O940" s="184"/>
      <c r="AB940" s="185"/>
      <c r="AC940" s="185"/>
      <c r="AD940" s="185"/>
      <c r="AE940" s="185"/>
    </row>
    <row r="941" ht="15.75" customHeight="1">
      <c r="C941" s="184"/>
      <c r="D941" s="184"/>
      <c r="E941" s="184"/>
      <c r="F941" s="184"/>
      <c r="G941" s="184"/>
      <c r="H941" s="184"/>
      <c r="I941" s="184"/>
      <c r="J941" s="184"/>
      <c r="K941" s="184"/>
      <c r="L941" s="184"/>
      <c r="M941" s="184"/>
      <c r="N941" s="184"/>
      <c r="O941" s="184"/>
      <c r="AB941" s="185"/>
      <c r="AC941" s="185"/>
      <c r="AD941" s="185"/>
      <c r="AE941" s="185"/>
    </row>
    <row r="942" ht="15.75" customHeight="1">
      <c r="C942" s="184"/>
      <c r="D942" s="184"/>
      <c r="E942" s="184"/>
      <c r="F942" s="184"/>
      <c r="G942" s="184"/>
      <c r="H942" s="184"/>
      <c r="I942" s="184"/>
      <c r="J942" s="184"/>
      <c r="K942" s="184"/>
      <c r="L942" s="184"/>
      <c r="M942" s="184"/>
      <c r="N942" s="184"/>
      <c r="O942" s="184"/>
      <c r="AB942" s="185"/>
      <c r="AC942" s="185"/>
      <c r="AD942" s="185"/>
      <c r="AE942" s="185"/>
    </row>
    <row r="943" ht="15.75" customHeight="1">
      <c r="C943" s="184"/>
      <c r="D943" s="184"/>
      <c r="E943" s="184"/>
      <c r="F943" s="184"/>
      <c r="G943" s="184"/>
      <c r="H943" s="184"/>
      <c r="I943" s="184"/>
      <c r="J943" s="184"/>
      <c r="K943" s="184"/>
      <c r="L943" s="184"/>
      <c r="M943" s="184"/>
      <c r="N943" s="184"/>
      <c r="O943" s="184"/>
      <c r="AB943" s="185"/>
      <c r="AC943" s="185"/>
      <c r="AD943" s="185"/>
      <c r="AE943" s="185"/>
    </row>
    <row r="944" ht="15.75" customHeight="1">
      <c r="C944" s="184"/>
      <c r="D944" s="184"/>
      <c r="E944" s="184"/>
      <c r="F944" s="184"/>
      <c r="G944" s="184"/>
      <c r="H944" s="184"/>
      <c r="I944" s="184"/>
      <c r="J944" s="184"/>
      <c r="K944" s="184"/>
      <c r="L944" s="184"/>
      <c r="M944" s="184"/>
      <c r="N944" s="184"/>
      <c r="O944" s="184"/>
      <c r="AB944" s="185"/>
      <c r="AC944" s="185"/>
      <c r="AD944" s="185"/>
      <c r="AE944" s="185"/>
    </row>
    <row r="945" ht="15.75" customHeight="1">
      <c r="C945" s="184"/>
      <c r="D945" s="184"/>
      <c r="E945" s="184"/>
      <c r="F945" s="184"/>
      <c r="G945" s="184"/>
      <c r="H945" s="184"/>
      <c r="I945" s="184"/>
      <c r="J945" s="184"/>
      <c r="K945" s="184"/>
      <c r="L945" s="184"/>
      <c r="M945" s="184"/>
      <c r="N945" s="184"/>
      <c r="O945" s="184"/>
      <c r="AB945" s="185"/>
      <c r="AC945" s="185"/>
      <c r="AD945" s="185"/>
      <c r="AE945" s="185"/>
    </row>
    <row r="946" ht="15.75" customHeight="1">
      <c r="C946" s="184"/>
      <c r="D946" s="184"/>
      <c r="E946" s="184"/>
      <c r="F946" s="184"/>
      <c r="G946" s="184"/>
      <c r="H946" s="184"/>
      <c r="I946" s="184"/>
      <c r="J946" s="184"/>
      <c r="K946" s="184"/>
      <c r="L946" s="184"/>
      <c r="M946" s="184"/>
      <c r="N946" s="184"/>
      <c r="O946" s="184"/>
      <c r="AB946" s="185"/>
      <c r="AC946" s="185"/>
      <c r="AD946" s="185"/>
      <c r="AE946" s="185"/>
    </row>
    <row r="947" ht="15.75" customHeight="1">
      <c r="C947" s="184"/>
      <c r="D947" s="184"/>
      <c r="E947" s="184"/>
      <c r="F947" s="184"/>
      <c r="G947" s="184"/>
      <c r="H947" s="184"/>
      <c r="I947" s="184"/>
      <c r="J947" s="184"/>
      <c r="K947" s="184"/>
      <c r="L947" s="184"/>
      <c r="M947" s="184"/>
      <c r="N947" s="184"/>
      <c r="O947" s="184"/>
      <c r="AB947" s="185"/>
      <c r="AC947" s="185"/>
      <c r="AD947" s="185"/>
      <c r="AE947" s="185"/>
    </row>
    <row r="948" ht="15.75" customHeight="1">
      <c r="C948" s="184"/>
      <c r="D948" s="184"/>
      <c r="E948" s="184"/>
      <c r="F948" s="184"/>
      <c r="G948" s="184"/>
      <c r="H948" s="184"/>
      <c r="I948" s="184"/>
      <c r="J948" s="184"/>
      <c r="K948" s="184"/>
      <c r="L948" s="184"/>
      <c r="M948" s="184"/>
      <c r="N948" s="184"/>
      <c r="O948" s="184"/>
      <c r="AB948" s="185"/>
      <c r="AC948" s="185"/>
      <c r="AD948" s="185"/>
      <c r="AE948" s="185"/>
    </row>
    <row r="949" ht="15.75" customHeight="1">
      <c r="C949" s="184"/>
      <c r="D949" s="184"/>
      <c r="E949" s="184"/>
      <c r="F949" s="184"/>
      <c r="G949" s="184"/>
      <c r="H949" s="184"/>
      <c r="I949" s="184"/>
      <c r="J949" s="184"/>
      <c r="K949" s="184"/>
      <c r="L949" s="184"/>
      <c r="M949" s="184"/>
      <c r="N949" s="184"/>
      <c r="O949" s="184"/>
      <c r="AB949" s="185"/>
      <c r="AC949" s="185"/>
      <c r="AD949" s="185"/>
      <c r="AE949" s="185"/>
    </row>
    <row r="950" ht="15.75" customHeight="1">
      <c r="C950" s="184"/>
      <c r="D950" s="184"/>
      <c r="E950" s="184"/>
      <c r="F950" s="184"/>
      <c r="G950" s="184"/>
      <c r="H950" s="184"/>
      <c r="I950" s="184"/>
      <c r="J950" s="184"/>
      <c r="K950" s="184"/>
      <c r="L950" s="184"/>
      <c r="M950" s="184"/>
      <c r="N950" s="184"/>
      <c r="O950" s="184"/>
      <c r="AB950" s="185"/>
      <c r="AC950" s="185"/>
      <c r="AD950" s="185"/>
      <c r="AE950" s="185"/>
    </row>
    <row r="951" ht="15.75" customHeight="1">
      <c r="C951" s="184"/>
      <c r="D951" s="184"/>
      <c r="E951" s="184"/>
      <c r="F951" s="184"/>
      <c r="G951" s="184"/>
      <c r="H951" s="184"/>
      <c r="I951" s="184"/>
      <c r="J951" s="184"/>
      <c r="K951" s="184"/>
      <c r="L951" s="184"/>
      <c r="M951" s="184"/>
      <c r="N951" s="184"/>
      <c r="O951" s="184"/>
      <c r="AB951" s="185"/>
      <c r="AC951" s="185"/>
      <c r="AD951" s="185"/>
      <c r="AE951" s="185"/>
    </row>
    <row r="952" ht="15.75" customHeight="1">
      <c r="C952" s="184"/>
      <c r="D952" s="184"/>
      <c r="E952" s="184"/>
      <c r="F952" s="184"/>
      <c r="G952" s="184"/>
      <c r="H952" s="184"/>
      <c r="I952" s="184"/>
      <c r="J952" s="184"/>
      <c r="K952" s="184"/>
      <c r="L952" s="184"/>
      <c r="M952" s="184"/>
      <c r="N952" s="184"/>
      <c r="O952" s="184"/>
      <c r="AB952" s="185"/>
      <c r="AC952" s="185"/>
      <c r="AD952" s="185"/>
      <c r="AE952" s="185"/>
    </row>
    <row r="953" ht="15.75" customHeight="1">
      <c r="C953" s="184"/>
      <c r="D953" s="184"/>
      <c r="E953" s="184"/>
      <c r="F953" s="184"/>
      <c r="G953" s="184"/>
      <c r="H953" s="184"/>
      <c r="I953" s="184"/>
      <c r="J953" s="184"/>
      <c r="K953" s="184"/>
      <c r="L953" s="184"/>
      <c r="M953" s="184"/>
      <c r="N953" s="184"/>
      <c r="O953" s="184"/>
      <c r="AB953" s="185"/>
      <c r="AC953" s="185"/>
      <c r="AD953" s="185"/>
      <c r="AE953" s="185"/>
    </row>
    <row r="954" ht="15.75" customHeight="1">
      <c r="C954" s="184"/>
      <c r="D954" s="184"/>
      <c r="E954" s="184"/>
      <c r="F954" s="184"/>
      <c r="G954" s="184"/>
      <c r="H954" s="184"/>
      <c r="I954" s="184"/>
      <c r="J954" s="184"/>
      <c r="K954" s="184"/>
      <c r="L954" s="184"/>
      <c r="M954" s="184"/>
      <c r="N954" s="184"/>
      <c r="O954" s="184"/>
      <c r="AB954" s="185"/>
      <c r="AC954" s="185"/>
      <c r="AD954" s="185"/>
      <c r="AE954" s="185"/>
    </row>
    <row r="955" ht="15.75" customHeight="1">
      <c r="C955" s="184"/>
      <c r="D955" s="184"/>
      <c r="E955" s="184"/>
      <c r="F955" s="184"/>
      <c r="G955" s="184"/>
      <c r="H955" s="184"/>
      <c r="I955" s="184"/>
      <c r="J955" s="184"/>
      <c r="K955" s="184"/>
      <c r="L955" s="184"/>
      <c r="M955" s="184"/>
      <c r="N955" s="184"/>
      <c r="O955" s="184"/>
      <c r="AB955" s="185"/>
      <c r="AC955" s="185"/>
      <c r="AD955" s="185"/>
      <c r="AE955" s="185"/>
    </row>
    <row r="956" ht="15.75" customHeight="1">
      <c r="C956" s="184"/>
      <c r="D956" s="184"/>
      <c r="E956" s="184"/>
      <c r="F956" s="184"/>
      <c r="G956" s="184"/>
      <c r="H956" s="184"/>
      <c r="I956" s="184"/>
      <c r="J956" s="184"/>
      <c r="K956" s="184"/>
      <c r="L956" s="184"/>
      <c r="M956" s="184"/>
      <c r="N956" s="184"/>
      <c r="O956" s="184"/>
      <c r="AB956" s="185"/>
      <c r="AC956" s="185"/>
      <c r="AD956" s="185"/>
      <c r="AE956" s="185"/>
    </row>
    <row r="957" ht="15.75" customHeight="1">
      <c r="C957" s="184"/>
      <c r="D957" s="184"/>
      <c r="E957" s="184"/>
      <c r="F957" s="184"/>
      <c r="G957" s="184"/>
      <c r="H957" s="184"/>
      <c r="I957" s="184"/>
      <c r="J957" s="184"/>
      <c r="K957" s="184"/>
      <c r="L957" s="184"/>
      <c r="M957" s="184"/>
      <c r="N957" s="184"/>
      <c r="O957" s="184"/>
      <c r="AB957" s="185"/>
      <c r="AC957" s="185"/>
      <c r="AD957" s="185"/>
      <c r="AE957" s="185"/>
    </row>
    <row r="958" ht="15.75" customHeight="1">
      <c r="C958" s="184"/>
      <c r="D958" s="184"/>
      <c r="E958" s="184"/>
      <c r="F958" s="184"/>
      <c r="G958" s="184"/>
      <c r="H958" s="184"/>
      <c r="I958" s="184"/>
      <c r="J958" s="184"/>
      <c r="K958" s="184"/>
      <c r="L958" s="184"/>
      <c r="M958" s="184"/>
      <c r="N958" s="184"/>
      <c r="O958" s="184"/>
      <c r="AB958" s="185"/>
      <c r="AC958" s="185"/>
      <c r="AD958" s="185"/>
      <c r="AE958" s="185"/>
    </row>
    <row r="959" ht="15.75" customHeight="1">
      <c r="C959" s="184"/>
      <c r="D959" s="184"/>
      <c r="E959" s="184"/>
      <c r="F959" s="184"/>
      <c r="G959" s="184"/>
      <c r="H959" s="184"/>
      <c r="I959" s="184"/>
      <c r="J959" s="184"/>
      <c r="K959" s="184"/>
      <c r="L959" s="184"/>
      <c r="M959" s="184"/>
      <c r="N959" s="184"/>
      <c r="O959" s="184"/>
      <c r="AB959" s="185"/>
      <c r="AC959" s="185"/>
      <c r="AD959" s="185"/>
      <c r="AE959" s="185"/>
    </row>
    <row r="960" ht="15.75" customHeight="1">
      <c r="C960" s="184"/>
      <c r="D960" s="184"/>
      <c r="E960" s="184"/>
      <c r="F960" s="184"/>
      <c r="G960" s="184"/>
      <c r="H960" s="184"/>
      <c r="I960" s="184"/>
      <c r="J960" s="184"/>
      <c r="K960" s="184"/>
      <c r="L960" s="184"/>
      <c r="M960" s="184"/>
      <c r="N960" s="184"/>
      <c r="O960" s="184"/>
      <c r="AB960" s="185"/>
      <c r="AC960" s="185"/>
      <c r="AD960" s="185"/>
      <c r="AE960" s="185"/>
    </row>
    <row r="961" ht="15.75" customHeight="1">
      <c r="C961" s="184"/>
      <c r="D961" s="184"/>
      <c r="E961" s="184"/>
      <c r="F961" s="184"/>
      <c r="G961" s="184"/>
      <c r="H961" s="184"/>
      <c r="I961" s="184"/>
      <c r="J961" s="184"/>
      <c r="K961" s="184"/>
      <c r="L961" s="184"/>
      <c r="M961" s="184"/>
      <c r="N961" s="184"/>
      <c r="O961" s="184"/>
      <c r="AB961" s="185"/>
      <c r="AC961" s="185"/>
      <c r="AD961" s="185"/>
      <c r="AE961" s="185"/>
    </row>
    <row r="962" ht="15.75" customHeight="1">
      <c r="C962" s="184"/>
      <c r="D962" s="184"/>
      <c r="E962" s="184"/>
      <c r="F962" s="184"/>
      <c r="G962" s="184"/>
      <c r="H962" s="184"/>
      <c r="I962" s="184"/>
      <c r="J962" s="184"/>
      <c r="K962" s="184"/>
      <c r="L962" s="184"/>
      <c r="M962" s="184"/>
      <c r="N962" s="184"/>
      <c r="O962" s="184"/>
      <c r="AB962" s="185"/>
      <c r="AC962" s="185"/>
      <c r="AD962" s="185"/>
      <c r="AE962" s="185"/>
    </row>
    <row r="963" ht="15.75" customHeight="1">
      <c r="C963" s="184"/>
      <c r="D963" s="184"/>
      <c r="E963" s="184"/>
      <c r="F963" s="184"/>
      <c r="G963" s="184"/>
      <c r="H963" s="184"/>
      <c r="I963" s="184"/>
      <c r="J963" s="184"/>
      <c r="K963" s="184"/>
      <c r="L963" s="184"/>
      <c r="M963" s="184"/>
      <c r="N963" s="184"/>
      <c r="O963" s="184"/>
      <c r="AB963" s="185"/>
      <c r="AC963" s="185"/>
      <c r="AD963" s="185"/>
      <c r="AE963" s="185"/>
    </row>
    <row r="964" ht="15.75" customHeight="1">
      <c r="C964" s="184"/>
      <c r="D964" s="184"/>
      <c r="E964" s="184"/>
      <c r="F964" s="184"/>
      <c r="G964" s="184"/>
      <c r="H964" s="184"/>
      <c r="I964" s="184"/>
      <c r="J964" s="184"/>
      <c r="K964" s="184"/>
      <c r="L964" s="184"/>
      <c r="M964" s="184"/>
      <c r="N964" s="184"/>
      <c r="O964" s="184"/>
      <c r="AB964" s="185"/>
      <c r="AC964" s="185"/>
      <c r="AD964" s="185"/>
      <c r="AE964" s="185"/>
    </row>
    <row r="965" ht="15.75" customHeight="1">
      <c r="C965" s="184"/>
      <c r="D965" s="184"/>
      <c r="E965" s="184"/>
      <c r="F965" s="184"/>
      <c r="G965" s="184"/>
      <c r="H965" s="184"/>
      <c r="I965" s="184"/>
      <c r="J965" s="184"/>
      <c r="K965" s="184"/>
      <c r="L965" s="184"/>
      <c r="M965" s="184"/>
      <c r="N965" s="184"/>
      <c r="O965" s="184"/>
      <c r="AB965" s="185"/>
      <c r="AC965" s="185"/>
      <c r="AD965" s="185"/>
      <c r="AE965" s="185"/>
    </row>
    <row r="966" ht="15.75" customHeight="1">
      <c r="C966" s="184"/>
      <c r="D966" s="184"/>
      <c r="E966" s="184"/>
      <c r="F966" s="184"/>
      <c r="G966" s="184"/>
      <c r="H966" s="184"/>
      <c r="I966" s="184"/>
      <c r="J966" s="184"/>
      <c r="K966" s="184"/>
      <c r="L966" s="184"/>
      <c r="M966" s="184"/>
      <c r="N966" s="184"/>
      <c r="O966" s="184"/>
      <c r="AB966" s="185"/>
      <c r="AC966" s="185"/>
      <c r="AD966" s="185"/>
      <c r="AE966" s="185"/>
    </row>
    <row r="967" ht="15.75" customHeight="1">
      <c r="C967" s="184"/>
      <c r="D967" s="184"/>
      <c r="E967" s="184"/>
      <c r="F967" s="184"/>
      <c r="G967" s="184"/>
      <c r="H967" s="184"/>
      <c r="I967" s="184"/>
      <c r="J967" s="184"/>
      <c r="K967" s="184"/>
      <c r="L967" s="184"/>
      <c r="M967" s="184"/>
      <c r="N967" s="184"/>
      <c r="O967" s="184"/>
      <c r="AB967" s="185"/>
      <c r="AC967" s="185"/>
      <c r="AD967" s="185"/>
      <c r="AE967" s="185"/>
    </row>
    <row r="968" ht="15.75" customHeight="1">
      <c r="C968" s="184"/>
      <c r="D968" s="184"/>
      <c r="E968" s="184"/>
      <c r="F968" s="184"/>
      <c r="G968" s="184"/>
      <c r="H968" s="184"/>
      <c r="I968" s="184"/>
      <c r="J968" s="184"/>
      <c r="K968" s="184"/>
      <c r="L968" s="184"/>
      <c r="M968" s="184"/>
      <c r="N968" s="184"/>
      <c r="O968" s="184"/>
      <c r="AB968" s="185"/>
      <c r="AC968" s="185"/>
      <c r="AD968" s="185"/>
      <c r="AE968" s="185"/>
    </row>
    <row r="969" ht="15.75" customHeight="1">
      <c r="C969" s="184"/>
      <c r="D969" s="184"/>
      <c r="E969" s="184"/>
      <c r="F969" s="184"/>
      <c r="G969" s="184"/>
      <c r="H969" s="184"/>
      <c r="I969" s="184"/>
      <c r="J969" s="184"/>
      <c r="K969" s="184"/>
      <c r="L969" s="184"/>
      <c r="M969" s="184"/>
      <c r="N969" s="184"/>
      <c r="O969" s="184"/>
      <c r="AB969" s="185"/>
      <c r="AC969" s="185"/>
      <c r="AD969" s="185"/>
      <c r="AE969" s="185"/>
    </row>
    <row r="970" ht="15.75" customHeight="1">
      <c r="C970" s="184"/>
      <c r="D970" s="184"/>
      <c r="E970" s="184"/>
      <c r="F970" s="184"/>
      <c r="G970" s="184"/>
      <c r="H970" s="184"/>
      <c r="I970" s="184"/>
      <c r="J970" s="184"/>
      <c r="K970" s="184"/>
      <c r="L970" s="184"/>
      <c r="M970" s="184"/>
      <c r="N970" s="184"/>
      <c r="O970" s="184"/>
      <c r="AB970" s="185"/>
      <c r="AC970" s="185"/>
      <c r="AD970" s="185"/>
      <c r="AE970" s="185"/>
    </row>
    <row r="971" ht="15.75" customHeight="1">
      <c r="C971" s="184"/>
      <c r="D971" s="184"/>
      <c r="E971" s="184"/>
      <c r="F971" s="184"/>
      <c r="G971" s="184"/>
      <c r="H971" s="184"/>
      <c r="I971" s="184"/>
      <c r="J971" s="184"/>
      <c r="K971" s="184"/>
      <c r="L971" s="184"/>
      <c r="M971" s="184"/>
      <c r="N971" s="184"/>
      <c r="O971" s="184"/>
      <c r="AB971" s="185"/>
      <c r="AC971" s="185"/>
      <c r="AD971" s="185"/>
      <c r="AE971" s="185"/>
    </row>
    <row r="972" ht="15.75" customHeight="1">
      <c r="C972" s="184"/>
      <c r="D972" s="184"/>
      <c r="E972" s="184"/>
      <c r="F972" s="184"/>
      <c r="G972" s="184"/>
      <c r="H972" s="184"/>
      <c r="I972" s="184"/>
      <c r="J972" s="184"/>
      <c r="K972" s="184"/>
      <c r="L972" s="184"/>
      <c r="M972" s="184"/>
      <c r="N972" s="184"/>
      <c r="O972" s="184"/>
      <c r="AB972" s="185"/>
      <c r="AC972" s="185"/>
      <c r="AD972" s="185"/>
      <c r="AE972" s="185"/>
    </row>
    <row r="973" ht="15.75" customHeight="1">
      <c r="C973" s="184"/>
      <c r="D973" s="184"/>
      <c r="E973" s="184"/>
      <c r="F973" s="184"/>
      <c r="G973" s="184"/>
      <c r="H973" s="184"/>
      <c r="I973" s="184"/>
      <c r="J973" s="184"/>
      <c r="K973" s="184"/>
      <c r="L973" s="184"/>
      <c r="M973" s="184"/>
      <c r="N973" s="184"/>
      <c r="O973" s="184"/>
      <c r="AB973" s="185"/>
      <c r="AC973" s="185"/>
      <c r="AD973" s="185"/>
      <c r="AE973" s="185"/>
    </row>
    <row r="974" ht="15.75" customHeight="1">
      <c r="C974" s="184"/>
      <c r="D974" s="184"/>
      <c r="E974" s="184"/>
      <c r="F974" s="184"/>
      <c r="G974" s="184"/>
      <c r="H974" s="184"/>
      <c r="I974" s="184"/>
      <c r="J974" s="184"/>
      <c r="K974" s="184"/>
      <c r="L974" s="184"/>
      <c r="M974" s="184"/>
      <c r="N974" s="184"/>
      <c r="O974" s="184"/>
      <c r="AB974" s="185"/>
      <c r="AC974" s="185"/>
      <c r="AD974" s="185"/>
      <c r="AE974" s="185"/>
    </row>
    <row r="975" ht="15.75" customHeight="1">
      <c r="C975" s="184"/>
      <c r="D975" s="184"/>
      <c r="E975" s="184"/>
      <c r="F975" s="184"/>
      <c r="G975" s="184"/>
      <c r="H975" s="184"/>
      <c r="I975" s="184"/>
      <c r="J975" s="184"/>
      <c r="K975" s="184"/>
      <c r="L975" s="184"/>
      <c r="M975" s="184"/>
      <c r="N975" s="184"/>
      <c r="O975" s="184"/>
      <c r="AB975" s="185"/>
      <c r="AC975" s="185"/>
      <c r="AD975" s="185"/>
      <c r="AE975" s="185"/>
    </row>
    <row r="976" ht="15.75" customHeight="1">
      <c r="C976" s="184"/>
      <c r="D976" s="184"/>
      <c r="E976" s="184"/>
      <c r="F976" s="184"/>
      <c r="G976" s="184"/>
      <c r="H976" s="184"/>
      <c r="I976" s="184"/>
      <c r="J976" s="184"/>
      <c r="K976" s="184"/>
      <c r="L976" s="184"/>
      <c r="M976" s="184"/>
      <c r="N976" s="184"/>
      <c r="O976" s="184"/>
      <c r="AB976" s="185"/>
      <c r="AC976" s="185"/>
      <c r="AD976" s="185"/>
      <c r="AE976" s="185"/>
    </row>
    <row r="977" ht="15.75" customHeight="1">
      <c r="C977" s="184"/>
      <c r="D977" s="184"/>
      <c r="E977" s="184"/>
      <c r="F977" s="184"/>
      <c r="G977" s="184"/>
      <c r="H977" s="184"/>
      <c r="I977" s="184"/>
      <c r="J977" s="184"/>
      <c r="K977" s="184"/>
      <c r="L977" s="184"/>
      <c r="M977" s="184"/>
      <c r="N977" s="184"/>
      <c r="O977" s="184"/>
      <c r="AB977" s="185"/>
      <c r="AC977" s="185"/>
      <c r="AD977" s="185"/>
      <c r="AE977" s="185"/>
    </row>
    <row r="978" ht="15.75" customHeight="1">
      <c r="C978" s="184"/>
      <c r="D978" s="184"/>
      <c r="E978" s="184"/>
      <c r="F978" s="184"/>
      <c r="G978" s="184"/>
      <c r="H978" s="184"/>
      <c r="I978" s="184"/>
      <c r="J978" s="184"/>
      <c r="K978" s="184"/>
      <c r="L978" s="184"/>
      <c r="M978" s="184"/>
      <c r="N978" s="184"/>
      <c r="O978" s="184"/>
      <c r="AB978" s="185"/>
      <c r="AC978" s="185"/>
      <c r="AD978" s="185"/>
      <c r="AE978" s="185"/>
    </row>
    <row r="979" ht="15.75" customHeight="1">
      <c r="C979" s="184"/>
      <c r="D979" s="184"/>
      <c r="E979" s="184"/>
      <c r="F979" s="184"/>
      <c r="G979" s="184"/>
      <c r="H979" s="184"/>
      <c r="I979" s="184"/>
      <c r="J979" s="184"/>
      <c r="K979" s="184"/>
      <c r="L979" s="184"/>
      <c r="M979" s="184"/>
      <c r="N979" s="184"/>
      <c r="O979" s="184"/>
      <c r="AB979" s="185"/>
      <c r="AC979" s="185"/>
      <c r="AD979" s="185"/>
      <c r="AE979" s="185"/>
    </row>
    <row r="980" ht="15.75" customHeight="1">
      <c r="C980" s="184"/>
      <c r="D980" s="184"/>
      <c r="E980" s="184"/>
      <c r="F980" s="184"/>
      <c r="G980" s="184"/>
      <c r="H980" s="184"/>
      <c r="I980" s="184"/>
      <c r="J980" s="184"/>
      <c r="K980" s="184"/>
      <c r="L980" s="184"/>
      <c r="M980" s="184"/>
      <c r="N980" s="184"/>
      <c r="O980" s="184"/>
      <c r="AB980" s="185"/>
      <c r="AC980" s="185"/>
      <c r="AD980" s="185"/>
      <c r="AE980" s="185"/>
    </row>
    <row r="981" ht="15.75" customHeight="1">
      <c r="C981" s="184"/>
      <c r="D981" s="184"/>
      <c r="E981" s="184"/>
      <c r="F981" s="184"/>
      <c r="G981" s="184"/>
      <c r="H981" s="184"/>
      <c r="I981" s="184"/>
      <c r="J981" s="184"/>
      <c r="K981" s="184"/>
      <c r="L981" s="184"/>
      <c r="M981" s="184"/>
      <c r="N981" s="184"/>
      <c r="O981" s="184"/>
      <c r="AB981" s="185"/>
      <c r="AC981" s="185"/>
      <c r="AD981" s="185"/>
      <c r="AE981" s="185"/>
    </row>
    <row r="982" ht="15.75" customHeight="1">
      <c r="C982" s="184"/>
      <c r="D982" s="184"/>
      <c r="E982" s="184"/>
      <c r="F982" s="184"/>
      <c r="G982" s="184"/>
      <c r="H982" s="184"/>
      <c r="I982" s="184"/>
      <c r="J982" s="184"/>
      <c r="K982" s="184"/>
      <c r="L982" s="184"/>
      <c r="M982" s="184"/>
      <c r="N982" s="184"/>
      <c r="O982" s="184"/>
      <c r="AB982" s="185"/>
      <c r="AC982" s="185"/>
      <c r="AD982" s="185"/>
      <c r="AE982" s="185"/>
    </row>
    <row r="983" ht="15.75" customHeight="1">
      <c r="C983" s="184"/>
      <c r="D983" s="184"/>
      <c r="E983" s="184"/>
      <c r="F983" s="184"/>
      <c r="G983" s="184"/>
      <c r="H983" s="184"/>
      <c r="I983" s="184"/>
      <c r="J983" s="184"/>
      <c r="K983" s="184"/>
      <c r="L983" s="184"/>
      <c r="M983" s="184"/>
      <c r="N983" s="184"/>
      <c r="O983" s="184"/>
      <c r="AB983" s="185"/>
      <c r="AC983" s="185"/>
      <c r="AD983" s="185"/>
      <c r="AE983" s="185"/>
    </row>
    <row r="984" ht="15.75" customHeight="1">
      <c r="C984" s="184"/>
      <c r="D984" s="184"/>
      <c r="E984" s="184"/>
      <c r="F984" s="184"/>
      <c r="G984" s="184"/>
      <c r="H984" s="184"/>
      <c r="I984" s="184"/>
      <c r="J984" s="184"/>
      <c r="K984" s="184"/>
      <c r="L984" s="184"/>
      <c r="M984" s="184"/>
      <c r="N984" s="184"/>
      <c r="O984" s="184"/>
      <c r="AB984" s="185"/>
      <c r="AC984" s="185"/>
      <c r="AD984" s="185"/>
      <c r="AE984" s="185"/>
    </row>
    <row r="985" ht="15.75" customHeight="1">
      <c r="C985" s="184"/>
      <c r="D985" s="184"/>
      <c r="E985" s="184"/>
      <c r="F985" s="184"/>
      <c r="G985" s="184"/>
      <c r="H985" s="184"/>
      <c r="I985" s="184"/>
      <c r="J985" s="184"/>
      <c r="K985" s="184"/>
      <c r="L985" s="184"/>
      <c r="M985" s="184"/>
      <c r="N985" s="184"/>
      <c r="O985" s="184"/>
      <c r="AB985" s="185"/>
      <c r="AC985" s="185"/>
      <c r="AD985" s="185"/>
      <c r="AE985" s="185"/>
    </row>
    <row r="986" ht="15.75" customHeight="1">
      <c r="C986" s="184"/>
      <c r="D986" s="184"/>
      <c r="E986" s="184"/>
      <c r="F986" s="184"/>
      <c r="G986" s="184"/>
      <c r="H986" s="184"/>
      <c r="I986" s="184"/>
      <c r="J986" s="184"/>
      <c r="K986" s="184"/>
      <c r="L986" s="184"/>
      <c r="M986" s="184"/>
      <c r="N986" s="184"/>
      <c r="O986" s="184"/>
      <c r="AB986" s="185"/>
      <c r="AC986" s="185"/>
      <c r="AD986" s="185"/>
      <c r="AE986" s="185"/>
    </row>
    <row r="987" ht="15.75" customHeight="1">
      <c r="C987" s="184"/>
      <c r="D987" s="184"/>
      <c r="E987" s="184"/>
      <c r="F987" s="184"/>
      <c r="G987" s="184"/>
      <c r="H987" s="184"/>
      <c r="I987" s="184"/>
      <c r="J987" s="184"/>
      <c r="K987" s="184"/>
      <c r="L987" s="184"/>
      <c r="M987" s="184"/>
      <c r="N987" s="184"/>
      <c r="O987" s="184"/>
      <c r="AB987" s="185"/>
      <c r="AC987" s="185"/>
      <c r="AD987" s="185"/>
      <c r="AE987" s="185"/>
    </row>
    <row r="988" ht="15.75" customHeight="1">
      <c r="C988" s="184"/>
      <c r="D988" s="184"/>
      <c r="E988" s="184"/>
      <c r="F988" s="184"/>
      <c r="G988" s="184"/>
      <c r="H988" s="184"/>
      <c r="I988" s="184"/>
      <c r="J988" s="184"/>
      <c r="K988" s="184"/>
      <c r="L988" s="184"/>
      <c r="M988" s="184"/>
      <c r="N988" s="184"/>
      <c r="O988" s="184"/>
      <c r="AB988" s="185"/>
      <c r="AC988" s="185"/>
      <c r="AD988" s="185"/>
      <c r="AE988" s="185"/>
    </row>
    <row r="989" ht="15.75" customHeight="1">
      <c r="C989" s="184"/>
      <c r="D989" s="184"/>
      <c r="E989" s="184"/>
      <c r="F989" s="184"/>
      <c r="G989" s="184"/>
      <c r="H989" s="184"/>
      <c r="I989" s="184"/>
      <c r="J989" s="184"/>
      <c r="K989" s="184"/>
      <c r="L989" s="184"/>
      <c r="M989" s="184"/>
      <c r="N989" s="184"/>
      <c r="O989" s="184"/>
      <c r="AB989" s="185"/>
      <c r="AC989" s="185"/>
      <c r="AD989" s="185"/>
      <c r="AE989" s="185"/>
    </row>
    <row r="990" ht="15.75" customHeight="1">
      <c r="C990" s="184"/>
      <c r="D990" s="184"/>
      <c r="E990" s="184"/>
      <c r="F990" s="184"/>
      <c r="G990" s="184"/>
      <c r="H990" s="184"/>
      <c r="I990" s="184"/>
      <c r="J990" s="184"/>
      <c r="K990" s="184"/>
      <c r="L990" s="184"/>
      <c r="M990" s="184"/>
      <c r="N990" s="184"/>
      <c r="O990" s="184"/>
      <c r="AB990" s="185"/>
      <c r="AC990" s="185"/>
      <c r="AD990" s="185"/>
      <c r="AE990" s="185"/>
    </row>
    <row r="991" ht="15.75" customHeight="1">
      <c r="C991" s="184"/>
      <c r="D991" s="184"/>
      <c r="E991" s="184"/>
      <c r="F991" s="184"/>
      <c r="G991" s="184"/>
      <c r="H991" s="184"/>
      <c r="I991" s="184"/>
      <c r="J991" s="184"/>
      <c r="K991" s="184"/>
      <c r="L991" s="184"/>
      <c r="M991" s="184"/>
      <c r="N991" s="184"/>
      <c r="O991" s="184"/>
      <c r="AB991" s="185"/>
      <c r="AC991" s="185"/>
      <c r="AD991" s="185"/>
      <c r="AE991" s="185"/>
    </row>
    <row r="992" ht="15.75" customHeight="1">
      <c r="C992" s="184"/>
      <c r="D992" s="184"/>
      <c r="E992" s="184"/>
      <c r="F992" s="184"/>
      <c r="G992" s="184"/>
      <c r="H992" s="184"/>
      <c r="I992" s="184"/>
      <c r="J992" s="184"/>
      <c r="K992" s="184"/>
      <c r="L992" s="184"/>
      <c r="M992" s="184"/>
      <c r="N992" s="184"/>
      <c r="O992" s="184"/>
      <c r="AB992" s="185"/>
      <c r="AC992" s="185"/>
      <c r="AD992" s="185"/>
      <c r="AE992" s="185"/>
    </row>
    <row r="993" ht="15.75" customHeight="1">
      <c r="C993" s="184"/>
      <c r="D993" s="184"/>
      <c r="E993" s="184"/>
      <c r="F993" s="184"/>
      <c r="G993" s="184"/>
      <c r="H993" s="184"/>
      <c r="I993" s="184"/>
      <c r="J993" s="184"/>
      <c r="K993" s="184"/>
      <c r="L993" s="184"/>
      <c r="M993" s="184"/>
      <c r="N993" s="184"/>
      <c r="O993" s="184"/>
      <c r="AB993" s="185"/>
      <c r="AC993" s="185"/>
      <c r="AD993" s="185"/>
      <c r="AE993" s="185"/>
    </row>
    <row r="994" ht="15.75" customHeight="1">
      <c r="C994" s="184"/>
      <c r="D994" s="184"/>
      <c r="E994" s="184"/>
      <c r="F994" s="184"/>
      <c r="G994" s="184"/>
      <c r="H994" s="184"/>
      <c r="I994" s="184"/>
      <c r="J994" s="184"/>
      <c r="K994" s="184"/>
      <c r="L994" s="184"/>
      <c r="M994" s="184"/>
      <c r="N994" s="184"/>
      <c r="O994" s="184"/>
      <c r="AB994" s="185"/>
      <c r="AC994" s="185"/>
      <c r="AD994" s="185"/>
      <c r="AE994" s="185"/>
    </row>
    <row r="995" ht="15.75" customHeight="1">
      <c r="C995" s="184"/>
      <c r="D995" s="184"/>
      <c r="E995" s="184"/>
      <c r="F995" s="184"/>
      <c r="G995" s="184"/>
      <c r="H995" s="184"/>
      <c r="I995" s="184"/>
      <c r="J995" s="184"/>
      <c r="K995" s="184"/>
      <c r="L995" s="184"/>
      <c r="M995" s="184"/>
      <c r="N995" s="184"/>
      <c r="O995" s="184"/>
      <c r="AB995" s="185"/>
      <c r="AC995" s="185"/>
      <c r="AD995" s="185"/>
      <c r="AE995" s="185"/>
    </row>
    <row r="996" ht="15.75" customHeight="1">
      <c r="C996" s="184"/>
      <c r="D996" s="184"/>
      <c r="E996" s="184"/>
      <c r="F996" s="184"/>
      <c r="G996" s="184"/>
      <c r="H996" s="184"/>
      <c r="I996" s="184"/>
      <c r="J996" s="184"/>
      <c r="K996" s="184"/>
      <c r="L996" s="184"/>
      <c r="M996" s="184"/>
      <c r="N996" s="184"/>
      <c r="O996" s="184"/>
      <c r="AB996" s="185"/>
      <c r="AC996" s="185"/>
      <c r="AD996" s="185"/>
      <c r="AE996" s="185"/>
    </row>
    <row r="997" ht="15.75" customHeight="1">
      <c r="C997" s="184"/>
      <c r="D997" s="184"/>
      <c r="E997" s="184"/>
      <c r="F997" s="184"/>
      <c r="G997" s="184"/>
      <c r="H997" s="184"/>
      <c r="I997" s="184"/>
      <c r="J997" s="184"/>
      <c r="K997" s="184"/>
      <c r="L997" s="184"/>
      <c r="M997" s="184"/>
      <c r="N997" s="184"/>
      <c r="O997" s="184"/>
      <c r="AB997" s="185"/>
      <c r="AC997" s="185"/>
      <c r="AD997" s="185"/>
      <c r="AE997" s="185"/>
    </row>
    <row r="998" ht="15.75" customHeight="1">
      <c r="C998" s="184"/>
      <c r="D998" s="184"/>
      <c r="E998" s="184"/>
      <c r="F998" s="184"/>
      <c r="G998" s="184"/>
      <c r="H998" s="184"/>
      <c r="I998" s="184"/>
      <c r="J998" s="184"/>
      <c r="K998" s="184"/>
      <c r="L998" s="184"/>
      <c r="M998" s="184"/>
      <c r="N998" s="184"/>
      <c r="O998" s="184"/>
      <c r="AB998" s="185"/>
      <c r="AC998" s="185"/>
      <c r="AD998" s="185"/>
      <c r="AE998" s="185"/>
    </row>
    <row r="999" ht="15.75" customHeight="1">
      <c r="C999" s="184"/>
      <c r="D999" s="184"/>
      <c r="E999" s="184"/>
      <c r="F999" s="184"/>
      <c r="G999" s="184"/>
      <c r="H999" s="184"/>
      <c r="I999" s="184"/>
      <c r="J999" s="184"/>
      <c r="K999" s="184"/>
      <c r="L999" s="184"/>
      <c r="M999" s="184"/>
      <c r="N999" s="184"/>
      <c r="O999" s="184"/>
      <c r="AB999" s="185"/>
      <c r="AC999" s="185"/>
      <c r="AD999" s="185"/>
      <c r="AE999" s="185"/>
    </row>
    <row r="1000" ht="15.75" customHeight="1">
      <c r="C1000" s="184"/>
      <c r="D1000" s="184"/>
      <c r="E1000" s="184"/>
      <c r="F1000" s="184"/>
      <c r="G1000" s="184"/>
      <c r="H1000" s="184"/>
      <c r="I1000" s="184"/>
      <c r="J1000" s="184"/>
      <c r="K1000" s="184"/>
      <c r="L1000" s="184"/>
      <c r="M1000" s="184"/>
      <c r="N1000" s="184"/>
      <c r="O1000" s="184"/>
      <c r="AB1000" s="185"/>
      <c r="AC1000" s="185"/>
      <c r="AD1000" s="185"/>
      <c r="AE1000" s="185"/>
    </row>
    <row r="1001" ht="15.75" customHeight="1">
      <c r="C1001" s="184"/>
      <c r="D1001" s="184"/>
      <c r="E1001" s="184"/>
      <c r="F1001" s="184"/>
      <c r="G1001" s="184"/>
      <c r="H1001" s="184"/>
      <c r="I1001" s="184"/>
      <c r="J1001" s="184"/>
      <c r="K1001" s="184"/>
      <c r="L1001" s="184"/>
      <c r="M1001" s="184"/>
      <c r="N1001" s="184"/>
      <c r="O1001" s="184"/>
      <c r="AB1001" s="185"/>
      <c r="AC1001" s="185"/>
      <c r="AD1001" s="185"/>
      <c r="AE1001" s="185"/>
    </row>
    <row r="1002" ht="15.75" customHeight="1">
      <c r="C1002" s="184"/>
      <c r="D1002" s="184"/>
      <c r="E1002" s="184"/>
      <c r="F1002" s="184"/>
      <c r="G1002" s="184"/>
      <c r="H1002" s="184"/>
      <c r="I1002" s="184"/>
      <c r="J1002" s="184"/>
      <c r="K1002" s="184"/>
      <c r="L1002" s="184"/>
      <c r="M1002" s="184"/>
      <c r="N1002" s="184"/>
      <c r="O1002" s="184"/>
      <c r="AB1002" s="185"/>
      <c r="AC1002" s="185"/>
      <c r="AD1002" s="185"/>
      <c r="AE1002" s="185"/>
    </row>
    <row r="1003" ht="15.75" customHeight="1">
      <c r="C1003" s="184"/>
      <c r="D1003" s="184"/>
      <c r="E1003" s="184"/>
      <c r="F1003" s="184"/>
      <c r="G1003" s="184"/>
      <c r="H1003" s="184"/>
      <c r="I1003" s="184"/>
      <c r="J1003" s="184"/>
      <c r="K1003" s="184"/>
      <c r="L1003" s="184"/>
      <c r="M1003" s="184"/>
      <c r="N1003" s="184"/>
      <c r="O1003" s="184"/>
      <c r="AB1003" s="185"/>
      <c r="AC1003" s="185"/>
      <c r="AD1003" s="185"/>
      <c r="AE1003" s="185"/>
    </row>
    <row r="1004" ht="15.75" customHeight="1">
      <c r="C1004" s="184"/>
      <c r="D1004" s="184"/>
      <c r="E1004" s="184"/>
      <c r="F1004" s="184"/>
      <c r="G1004" s="184"/>
      <c r="H1004" s="184"/>
      <c r="I1004" s="184"/>
      <c r="J1004" s="184"/>
      <c r="K1004" s="184"/>
      <c r="L1004" s="184"/>
      <c r="M1004" s="184"/>
      <c r="N1004" s="184"/>
      <c r="O1004" s="184"/>
      <c r="AB1004" s="185"/>
      <c r="AC1004" s="185"/>
      <c r="AD1004" s="185"/>
      <c r="AE1004" s="185"/>
    </row>
    <row r="1005" ht="15.75" customHeight="1">
      <c r="C1005" s="184"/>
      <c r="D1005" s="184"/>
      <c r="E1005" s="184"/>
      <c r="F1005" s="184"/>
      <c r="G1005" s="184"/>
      <c r="H1005" s="184"/>
      <c r="I1005" s="184"/>
      <c r="J1005" s="184"/>
      <c r="K1005" s="184"/>
      <c r="L1005" s="184"/>
      <c r="M1005" s="184"/>
      <c r="N1005" s="184"/>
      <c r="O1005" s="184"/>
      <c r="AB1005" s="185"/>
      <c r="AC1005" s="185"/>
      <c r="AD1005" s="185"/>
      <c r="AE1005" s="185"/>
    </row>
    <row r="1006" ht="15.75" customHeight="1">
      <c r="C1006" s="184"/>
      <c r="D1006" s="184"/>
      <c r="E1006" s="184"/>
      <c r="F1006" s="184"/>
      <c r="G1006" s="184"/>
      <c r="H1006" s="184"/>
      <c r="I1006" s="184"/>
      <c r="J1006" s="184"/>
      <c r="K1006" s="184"/>
      <c r="L1006" s="184"/>
      <c r="M1006" s="184"/>
      <c r="N1006" s="184"/>
      <c r="O1006" s="184"/>
      <c r="AB1006" s="185"/>
      <c r="AC1006" s="185"/>
      <c r="AD1006" s="185"/>
      <c r="AE1006" s="185"/>
    </row>
    <row r="1007" ht="15.75" customHeight="1">
      <c r="C1007" s="184"/>
      <c r="D1007" s="184"/>
      <c r="E1007" s="184"/>
      <c r="F1007" s="184"/>
      <c r="G1007" s="184"/>
      <c r="H1007" s="184"/>
      <c r="I1007" s="184"/>
      <c r="J1007" s="184"/>
      <c r="K1007" s="184"/>
      <c r="L1007" s="184"/>
      <c r="M1007" s="184"/>
      <c r="N1007" s="184"/>
      <c r="O1007" s="184"/>
      <c r="AB1007" s="185"/>
      <c r="AC1007" s="185"/>
      <c r="AD1007" s="185"/>
      <c r="AE1007" s="185"/>
    </row>
    <row r="1008" ht="15.75" customHeight="1">
      <c r="C1008" s="184"/>
      <c r="D1008" s="184"/>
      <c r="E1008" s="184"/>
      <c r="F1008" s="184"/>
      <c r="G1008" s="184"/>
      <c r="H1008" s="184"/>
      <c r="I1008" s="184"/>
      <c r="J1008" s="184"/>
      <c r="K1008" s="184"/>
      <c r="L1008" s="184"/>
      <c r="M1008" s="184"/>
      <c r="N1008" s="184"/>
      <c r="O1008" s="184"/>
      <c r="AB1008" s="185"/>
      <c r="AC1008" s="185"/>
      <c r="AD1008" s="185"/>
      <c r="AE1008" s="185"/>
    </row>
    <row r="1009" ht="15.75" customHeight="1">
      <c r="C1009" s="184"/>
      <c r="D1009" s="184"/>
      <c r="E1009" s="184"/>
      <c r="F1009" s="184"/>
      <c r="G1009" s="184"/>
      <c r="H1009" s="184"/>
      <c r="I1009" s="184"/>
      <c r="J1009" s="184"/>
      <c r="K1009" s="184"/>
      <c r="L1009" s="184"/>
      <c r="M1009" s="184"/>
      <c r="N1009" s="184"/>
      <c r="O1009" s="184"/>
      <c r="AB1009" s="185"/>
      <c r="AC1009" s="185"/>
      <c r="AD1009" s="185"/>
      <c r="AE1009" s="185"/>
    </row>
    <row r="1010" ht="15.75" customHeight="1">
      <c r="C1010" s="184"/>
      <c r="D1010" s="184"/>
      <c r="E1010" s="184"/>
      <c r="F1010" s="184"/>
      <c r="G1010" s="184"/>
      <c r="H1010" s="184"/>
      <c r="I1010" s="184"/>
      <c r="J1010" s="184"/>
      <c r="K1010" s="184"/>
      <c r="L1010" s="184"/>
      <c r="M1010" s="184"/>
      <c r="N1010" s="184"/>
      <c r="O1010" s="184"/>
      <c r="AB1010" s="185"/>
      <c r="AC1010" s="185"/>
      <c r="AD1010" s="185"/>
      <c r="AE1010" s="185"/>
    </row>
    <row r="1011" ht="15.75" customHeight="1">
      <c r="C1011" s="184"/>
      <c r="D1011" s="184"/>
      <c r="E1011" s="184"/>
      <c r="F1011" s="184"/>
      <c r="G1011" s="184"/>
      <c r="H1011" s="184"/>
      <c r="I1011" s="184"/>
      <c r="J1011" s="184"/>
      <c r="K1011" s="184"/>
      <c r="L1011" s="184"/>
      <c r="M1011" s="184"/>
      <c r="N1011" s="184"/>
      <c r="O1011" s="184"/>
      <c r="AB1011" s="185"/>
      <c r="AC1011" s="185"/>
      <c r="AD1011" s="185"/>
      <c r="AE1011" s="185"/>
    </row>
    <row r="1012" ht="15.75" customHeight="1">
      <c r="C1012" s="184"/>
      <c r="D1012" s="184"/>
      <c r="E1012" s="184"/>
      <c r="F1012" s="184"/>
      <c r="G1012" s="184"/>
      <c r="H1012" s="184"/>
      <c r="I1012" s="184"/>
      <c r="J1012" s="184"/>
      <c r="K1012" s="184"/>
      <c r="L1012" s="184"/>
      <c r="M1012" s="184"/>
      <c r="N1012" s="184"/>
      <c r="O1012" s="184"/>
      <c r="AB1012" s="185"/>
      <c r="AC1012" s="185"/>
      <c r="AD1012" s="185"/>
      <c r="AE1012" s="185"/>
    </row>
    <row r="1013" ht="15.75" customHeight="1">
      <c r="C1013" s="184"/>
      <c r="D1013" s="184"/>
      <c r="E1013" s="184"/>
      <c r="F1013" s="184"/>
      <c r="G1013" s="184"/>
      <c r="H1013" s="184"/>
      <c r="I1013" s="184"/>
      <c r="J1013" s="184"/>
      <c r="K1013" s="184"/>
      <c r="L1013" s="184"/>
      <c r="M1013" s="184"/>
      <c r="N1013" s="184"/>
      <c r="O1013" s="184"/>
      <c r="AB1013" s="185"/>
      <c r="AC1013" s="185"/>
      <c r="AD1013" s="185"/>
      <c r="AE1013" s="185"/>
    </row>
    <row r="1014" ht="15.75" customHeight="1">
      <c r="C1014" s="184"/>
      <c r="D1014" s="184"/>
      <c r="E1014" s="184"/>
      <c r="F1014" s="184"/>
      <c r="G1014" s="184"/>
      <c r="H1014" s="184"/>
      <c r="I1014" s="184"/>
      <c r="J1014" s="184"/>
      <c r="K1014" s="184"/>
      <c r="L1014" s="184"/>
      <c r="M1014" s="184"/>
      <c r="N1014" s="184"/>
      <c r="O1014" s="184"/>
      <c r="AB1014" s="185"/>
      <c r="AC1014" s="185"/>
      <c r="AD1014" s="185"/>
      <c r="AE1014" s="185"/>
    </row>
    <row r="1015" ht="15.75" customHeight="1">
      <c r="C1015" s="184"/>
      <c r="D1015" s="184"/>
      <c r="E1015" s="184"/>
      <c r="F1015" s="184"/>
      <c r="G1015" s="184"/>
      <c r="H1015" s="184"/>
      <c r="I1015" s="184"/>
      <c r="J1015" s="184"/>
      <c r="K1015" s="184"/>
      <c r="L1015" s="184"/>
      <c r="M1015" s="184"/>
      <c r="N1015" s="184"/>
      <c r="O1015" s="184"/>
      <c r="AB1015" s="185"/>
      <c r="AC1015" s="185"/>
      <c r="AD1015" s="185"/>
      <c r="AE1015" s="185"/>
    </row>
    <row r="1016" ht="15.75" customHeight="1">
      <c r="C1016" s="184"/>
      <c r="D1016" s="184"/>
      <c r="E1016" s="184"/>
      <c r="F1016" s="184"/>
      <c r="G1016" s="184"/>
      <c r="H1016" s="184"/>
      <c r="I1016" s="184"/>
      <c r="J1016" s="184"/>
      <c r="K1016" s="184"/>
      <c r="L1016" s="184"/>
      <c r="M1016" s="184"/>
      <c r="N1016" s="184"/>
      <c r="O1016" s="184"/>
      <c r="AB1016" s="185"/>
      <c r="AC1016" s="185"/>
      <c r="AD1016" s="185"/>
      <c r="AE1016" s="185"/>
    </row>
  </sheetData>
  <mergeCells count="18">
    <mergeCell ref="E2:F2"/>
    <mergeCell ref="H2:I2"/>
    <mergeCell ref="A5:A19"/>
    <mergeCell ref="B11:B12"/>
    <mergeCell ref="B13:B14"/>
    <mergeCell ref="B15:B16"/>
    <mergeCell ref="B17:B18"/>
    <mergeCell ref="K69:L69"/>
    <mergeCell ref="K70:L70"/>
    <mergeCell ref="K71:L71"/>
    <mergeCell ref="K72:L72"/>
    <mergeCell ref="A20:A28"/>
    <mergeCell ref="A29:A36"/>
    <mergeCell ref="A37:A46"/>
    <mergeCell ref="A47:A62"/>
    <mergeCell ref="K65:L65"/>
    <mergeCell ref="K66:L66"/>
    <mergeCell ref="K67:L67"/>
  </mergeCells>
  <dataValidations>
    <dataValidation type="list" allowBlank="1" sqref="C15">
      <formula1>"POSITIVO,NEGATIVO,N/E"</formula1>
    </dataValidation>
    <dataValidation type="decimal" allowBlank="1" showDropDown="1" showInputMessage="1" showErrorMessage="1" prompt="Los decimales van luego de una COMA" sqref="C27:AD27">
      <formula1>0.0</formula1>
      <formula2>1.0</formula2>
    </dataValidation>
    <dataValidation type="decimal" allowBlank="1" showDropDown="1" showInputMessage="1" showErrorMessage="1" prompt="Los decimales van luego de una COMA" sqref="C20:AD26">
      <formula1>-1000.0</formula1>
      <formula2>1000.0</formula2>
    </dataValidation>
    <dataValidation type="list" allowBlank="1" sqref="C12:AD12">
      <formula1>"FNT,MORF,FNT/MORF,DOLOFRIX,REMI,AINES,OTROS"</formula1>
    </dataValidation>
    <dataValidation type="list" allowBlank="1" sqref="C14:AD14">
      <formula1>"MDZ,PROPO,DEXMEDETO,MDZ/PROPO,KETA,OTROS"</formula1>
    </dataValidation>
    <dataValidation type="decimal" allowBlank="1" showDropDown="1" showInputMessage="1" prompt="0= No analgesia/Tramadol 1= Si analgesia (FNT/Morf)" sqref="AE12">
      <formula1>0.0</formula1>
      <formula2>1.0</formula2>
    </dataValidation>
    <dataValidation type="decimal" allowBlank="1" showDropDown="1" showInputMessage="1" prompt="0= No 1= Sí" sqref="AE16 AE18:AE19">
      <formula1>0.0</formula1>
      <formula2>1.0</formula2>
    </dataValidation>
    <dataValidation type="custom" allowBlank="1" showDropDown="1" showErrorMessage="1" sqref="C5:AE5">
      <formula1>OR(NOT(ISERROR(DATEVALUE(C5))), AND(ISNUMBER(C5), LEFT(CELL("format", C5))="D"))</formula1>
    </dataValidation>
    <dataValidation type="list" allowBlank="1" sqref="C18:AD18">
      <formula1>"ATRA,ROCU"</formula1>
    </dataValidation>
    <dataValidation type="decimal" allowBlank="1" showDropDown="1" showInputMessage="1" prompt="0= No sedación 1= Sedaciòn" sqref="AE14">
      <formula1>0.0</formula1>
      <formula2>1.0</formula2>
    </dataValidation>
    <dataValidation type="decimal" allowBlank="1" showDropDown="1" showInputMessage="1" prompt="0= Negativo/NE 1=Positivo" sqref="AE15">
      <formula1>0.0</formula1>
      <formula2>1.0</formula2>
    </dataValidation>
    <dataValidation type="list" allowBlank="1" sqref="C16:AD16">
      <formula1>"QTP,HLP,QTP/HLP"</formula1>
    </dataValidation>
    <dataValidation type="list" allowBlank="1" sqref="C36:AD36">
      <formula1>"Cuadrada,Desacelerada"</formula1>
    </dataValidation>
    <dataValidation type="list" allowBlank="1" sqref="C29:AD29">
      <formula1>"VC-CMV,PC-CMV,PC-CSV,CPAP,APRV,PC-SIMV,VMNI,CNAFO,MR,VENTURI,CN,A/A,OTROS"</formula1>
    </dataValidation>
    <dataValidation type="list" allowBlank="1" sqref="C43:AD43">
      <formula1>"SI,NO"</formula1>
    </dataValidation>
    <dataValidation type="list" allowBlank="1" sqref="C19:AD19">
      <formula1>"NORA,VASOPRESINA,DOPA,NORA/VASO,DOBUTA,MILRI,OTROS"</formula1>
    </dataValidation>
    <dataValidation type="list" allowBlank="1" showInputMessage="1" prompt="0= Negativo/NE 1=Positivo" sqref="D15:AD15">
      <formula1>"POSITIVO,NEGATIVO,N/E"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3" max="3" width="6.57"/>
    <col customWidth="1" min="4" max="4" width="8.86"/>
    <col customWidth="1" min="5" max="5" width="9.0"/>
    <col customWidth="1" min="6" max="6" width="7.86"/>
    <col customWidth="1" min="7" max="7" width="5.43"/>
    <col customWidth="1" min="8" max="8" width="9.14"/>
    <col customWidth="1" min="9" max="9" width="10.0"/>
    <col customWidth="1" min="10" max="10" width="10.57"/>
    <col customWidth="1" min="11" max="11" width="10.14"/>
    <col customWidth="1" min="12" max="12" width="9.43"/>
    <col customWidth="1" min="13" max="13" width="11.86"/>
    <col customWidth="1" min="14" max="14" width="8.71"/>
    <col customWidth="1" min="15" max="15" width="7.57"/>
    <col customWidth="1" min="16" max="17" width="6.29"/>
    <col customWidth="1" min="18" max="20" width="8.86"/>
    <col customWidth="1" min="21" max="21" width="12.57"/>
    <col customWidth="1" min="24" max="68" width="7.29"/>
    <col customWidth="1" min="69" max="70" width="8.0"/>
    <col customWidth="1" min="71" max="80" width="7.29"/>
    <col customWidth="1" min="81" max="81" width="12.14"/>
    <col customWidth="1" min="82" max="84" width="7.29"/>
    <col customWidth="1" min="85" max="86" width="8.14"/>
    <col customWidth="1" min="87" max="88" width="7.29"/>
    <col customWidth="1" min="89" max="90" width="8.14"/>
    <col customWidth="1" min="91" max="118" width="7.29"/>
    <col customWidth="1" min="119" max="119" width="5.57"/>
    <col customWidth="1" min="120" max="120" width="5.29"/>
    <col customWidth="1" min="121" max="121" width="5.57"/>
    <col customWidth="1" min="122" max="122" width="6.71"/>
    <col customWidth="1" min="123" max="123" width="7.29"/>
    <col customWidth="1" min="124" max="124" width="8.0"/>
    <col customWidth="1" min="125" max="126" width="7.29"/>
    <col customWidth="1" min="127" max="127" width="6.29"/>
    <col customWidth="1" min="128" max="128" width="7.57"/>
    <col customWidth="1" min="129" max="173" width="7.29"/>
    <col customWidth="1" min="174" max="178" width="6.14"/>
    <col customWidth="1" min="179" max="193" width="4.86"/>
    <col customWidth="1" min="194" max="233" width="5.0"/>
    <col customWidth="1" min="234" max="238" width="5.57"/>
    <col customWidth="1" min="239" max="263" width="4.86"/>
    <col customWidth="1" min="264" max="283" width="5.57"/>
    <col customWidth="1" min="284" max="313" width="6.14"/>
    <col customWidth="1" min="314" max="318" width="7.0"/>
    <col customWidth="1" min="319" max="325" width="7.29"/>
  </cols>
  <sheetData>
    <row r="1" ht="12.0" customHeight="1"/>
    <row r="2" ht="12.0" customHeight="1">
      <c r="EG2" s="504"/>
      <c r="EH2" s="504"/>
      <c r="EI2" s="504"/>
      <c r="EJ2" s="504"/>
      <c r="EK2" s="504"/>
      <c r="EL2" s="504"/>
      <c r="EM2" s="504"/>
      <c r="EN2" s="504"/>
      <c r="EO2" s="504"/>
      <c r="EP2" s="504"/>
      <c r="EQ2" s="504"/>
      <c r="ER2" s="504"/>
      <c r="ES2" s="504"/>
      <c r="ET2" s="504"/>
      <c r="EU2" s="504"/>
      <c r="EV2" s="504"/>
      <c r="EW2" s="504"/>
      <c r="EX2" s="504"/>
      <c r="EY2" s="504"/>
      <c r="EZ2" s="504"/>
      <c r="FA2" s="504"/>
      <c r="FB2" s="504"/>
      <c r="FC2" s="504"/>
      <c r="FD2" s="504"/>
      <c r="FE2" s="504"/>
      <c r="FF2" s="504"/>
      <c r="FG2" s="504"/>
      <c r="FH2" s="504"/>
      <c r="FI2" s="504"/>
      <c r="FJ2" s="504"/>
      <c r="FK2" s="504"/>
      <c r="FL2" s="504"/>
      <c r="FM2" s="505" t="s">
        <v>219</v>
      </c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52"/>
      <c r="HA2" s="505" t="s">
        <v>219</v>
      </c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52"/>
      <c r="JD2" s="506" t="s">
        <v>219</v>
      </c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507" t="s">
        <v>220</v>
      </c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52"/>
    </row>
    <row r="3" ht="12.0" customHeight="1">
      <c r="EG3" s="504"/>
      <c r="EH3" s="504"/>
      <c r="EI3" s="504"/>
      <c r="EJ3" s="504"/>
      <c r="EK3" s="504"/>
      <c r="EL3" s="504"/>
      <c r="EM3" s="504"/>
      <c r="EN3" s="504"/>
      <c r="EO3" s="504"/>
      <c r="EP3" s="504"/>
      <c r="EQ3" s="504"/>
      <c r="ER3" s="504"/>
      <c r="ES3" s="504"/>
      <c r="ET3" s="504"/>
      <c r="EU3" s="504"/>
      <c r="EV3" s="504"/>
      <c r="EW3" s="504"/>
      <c r="EX3" s="504"/>
      <c r="EY3" s="504"/>
      <c r="EZ3" s="504"/>
      <c r="FA3" s="504"/>
      <c r="FB3" s="504"/>
      <c r="FC3" s="504"/>
      <c r="FD3" s="504"/>
      <c r="FE3" s="504"/>
      <c r="FF3" s="504"/>
      <c r="FG3" s="504"/>
      <c r="FH3" s="504"/>
      <c r="FI3" s="504"/>
      <c r="FJ3" s="504"/>
      <c r="FK3" s="504"/>
      <c r="FL3" s="504"/>
      <c r="FM3" s="307"/>
      <c r="FN3" s="59"/>
      <c r="FO3" s="59"/>
      <c r="FP3" s="59"/>
      <c r="FQ3" s="59"/>
      <c r="FR3" s="59"/>
      <c r="FS3" s="59"/>
      <c r="FT3" s="59"/>
      <c r="FU3" s="59"/>
      <c r="FV3" s="59"/>
      <c r="FW3" s="59"/>
      <c r="FX3" s="59"/>
      <c r="FY3" s="59"/>
      <c r="FZ3" s="59"/>
      <c r="GA3" s="59"/>
      <c r="GB3" s="59"/>
      <c r="GC3" s="59"/>
      <c r="GD3" s="59"/>
      <c r="GE3" s="59"/>
      <c r="GF3" s="59"/>
      <c r="GG3" s="59"/>
      <c r="GH3" s="59"/>
      <c r="GI3" s="59"/>
      <c r="GJ3" s="59"/>
      <c r="GK3" s="59"/>
      <c r="GL3" s="59"/>
      <c r="GM3" s="59"/>
      <c r="GN3" s="59"/>
      <c r="GO3" s="59"/>
      <c r="GP3" s="59"/>
      <c r="GQ3" s="59"/>
      <c r="GR3" s="59"/>
      <c r="GS3" s="59"/>
      <c r="GT3" s="59"/>
      <c r="GU3" s="59"/>
      <c r="GV3" s="59"/>
      <c r="GW3" s="59"/>
      <c r="GX3" s="59"/>
      <c r="GY3" s="59"/>
      <c r="GZ3" s="60"/>
      <c r="HA3" s="307"/>
      <c r="HB3" s="59"/>
      <c r="HC3" s="59"/>
      <c r="HD3" s="59"/>
      <c r="HE3" s="59"/>
      <c r="HF3" s="59"/>
      <c r="HG3" s="59"/>
      <c r="HH3" s="59"/>
      <c r="HI3" s="59"/>
      <c r="HJ3" s="59"/>
      <c r="HK3" s="59"/>
      <c r="HL3" s="59"/>
      <c r="HM3" s="59"/>
      <c r="HN3" s="59"/>
      <c r="HO3" s="59"/>
      <c r="HP3" s="59"/>
      <c r="HQ3" s="59"/>
      <c r="HR3" s="59"/>
      <c r="HS3" s="59"/>
      <c r="HT3" s="59"/>
      <c r="HU3" s="59"/>
      <c r="HV3" s="59"/>
      <c r="HW3" s="59"/>
      <c r="HX3" s="59"/>
      <c r="HY3" s="59"/>
      <c r="HZ3" s="59"/>
      <c r="IA3" s="59"/>
      <c r="IB3" s="59"/>
      <c r="IC3" s="59"/>
      <c r="ID3" s="59"/>
      <c r="IE3" s="59"/>
      <c r="IF3" s="59"/>
      <c r="IG3" s="59"/>
      <c r="IH3" s="59"/>
      <c r="II3" s="59"/>
      <c r="IJ3" s="59"/>
      <c r="IK3" s="59"/>
      <c r="IL3" s="59"/>
      <c r="IM3" s="59"/>
      <c r="IN3" s="59"/>
      <c r="IO3" s="59"/>
      <c r="IP3" s="59"/>
      <c r="IQ3" s="59"/>
      <c r="IR3" s="59"/>
      <c r="IS3" s="59"/>
      <c r="IT3" s="59"/>
      <c r="IU3" s="59"/>
      <c r="IV3" s="59"/>
      <c r="IW3" s="59"/>
      <c r="IX3" s="59"/>
      <c r="IY3" s="59"/>
      <c r="IZ3" s="59"/>
      <c r="JA3" s="59"/>
      <c r="JB3" s="59"/>
      <c r="JC3" s="60"/>
      <c r="KC3" s="307"/>
      <c r="KD3" s="59"/>
      <c r="KE3" s="59"/>
      <c r="KF3" s="59"/>
      <c r="KG3" s="59"/>
      <c r="KH3" s="59"/>
      <c r="KI3" s="59"/>
      <c r="KJ3" s="59"/>
      <c r="KK3" s="59"/>
      <c r="KL3" s="59"/>
      <c r="KM3" s="59"/>
      <c r="KN3" s="59"/>
      <c r="KO3" s="59"/>
      <c r="KP3" s="59"/>
      <c r="KQ3" s="59"/>
      <c r="KR3" s="59"/>
      <c r="KS3" s="59"/>
      <c r="KT3" s="59"/>
      <c r="KU3" s="59"/>
      <c r="KV3" s="59"/>
      <c r="KW3" s="59"/>
      <c r="KX3" s="59"/>
      <c r="KY3" s="59"/>
      <c r="KZ3" s="59"/>
      <c r="LA3" s="59"/>
      <c r="LB3" s="59"/>
      <c r="LC3" s="59"/>
      <c r="LD3" s="59"/>
      <c r="LE3" s="59"/>
      <c r="LF3" s="60"/>
    </row>
    <row r="4" ht="24.75" customHeight="1">
      <c r="A4" s="508" t="s">
        <v>221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7"/>
      <c r="X4" s="509" t="s">
        <v>222</v>
      </c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126"/>
      <c r="AN4" s="126"/>
      <c r="AO4" s="126"/>
      <c r="AP4" s="126"/>
      <c r="AQ4" s="126"/>
      <c r="AR4" s="126"/>
      <c r="AS4" s="126"/>
      <c r="AT4" s="126"/>
      <c r="AU4" s="126"/>
      <c r="AV4" s="126"/>
      <c r="AW4" s="126"/>
      <c r="AX4" s="126"/>
      <c r="AY4" s="126"/>
      <c r="AZ4" s="126"/>
      <c r="BA4" s="126"/>
      <c r="BB4" s="127"/>
      <c r="BC4" s="510" t="s">
        <v>223</v>
      </c>
      <c r="BD4" s="126"/>
      <c r="BE4" s="126"/>
      <c r="BF4" s="126"/>
      <c r="BG4" s="126"/>
      <c r="BH4" s="126"/>
      <c r="BI4" s="126"/>
      <c r="BJ4" s="126"/>
      <c r="BK4" s="126"/>
      <c r="BL4" s="126"/>
      <c r="BM4" s="126"/>
      <c r="BN4" s="126"/>
      <c r="BO4" s="127"/>
      <c r="BP4" s="511" t="s">
        <v>61</v>
      </c>
      <c r="BQ4" s="126"/>
      <c r="BR4" s="126"/>
      <c r="BS4" s="126"/>
      <c r="BT4" s="126"/>
      <c r="BU4" s="126"/>
      <c r="BV4" s="126"/>
      <c r="BW4" s="126"/>
      <c r="BX4" s="126"/>
      <c r="BY4" s="126"/>
      <c r="BZ4" s="126"/>
      <c r="CA4" s="126"/>
      <c r="CB4" s="126"/>
      <c r="CC4" s="127"/>
      <c r="CD4" s="512" t="s">
        <v>83</v>
      </c>
      <c r="CE4" s="126"/>
      <c r="CF4" s="126"/>
      <c r="CG4" s="126"/>
      <c r="CH4" s="126"/>
      <c r="CI4" s="126"/>
      <c r="CJ4" s="126"/>
      <c r="CK4" s="126"/>
      <c r="CL4" s="127"/>
      <c r="CM4" s="513" t="s">
        <v>224</v>
      </c>
      <c r="CN4" s="126"/>
      <c r="CO4" s="126"/>
      <c r="CP4" s="126"/>
      <c r="CQ4" s="126"/>
      <c r="CR4" s="126"/>
      <c r="CS4" s="126"/>
      <c r="CT4" s="126"/>
      <c r="CU4" s="126"/>
      <c r="CV4" s="126"/>
      <c r="CW4" s="126"/>
      <c r="CX4" s="126"/>
      <c r="CY4" s="126"/>
      <c r="CZ4" s="127"/>
      <c r="DA4" s="514" t="s">
        <v>225</v>
      </c>
      <c r="DB4" s="126"/>
      <c r="DC4" s="126"/>
      <c r="DD4" s="126"/>
      <c r="DE4" s="126"/>
      <c r="DF4" s="126"/>
      <c r="DG4" s="126"/>
      <c r="DH4" s="126"/>
      <c r="DI4" s="126"/>
      <c r="DJ4" s="126"/>
      <c r="DK4" s="126"/>
      <c r="DL4" s="126"/>
      <c r="DM4" s="126"/>
      <c r="DN4" s="127"/>
      <c r="DO4" s="515" t="s">
        <v>226</v>
      </c>
      <c r="DP4" s="126"/>
      <c r="DQ4" s="126"/>
      <c r="DR4" s="126"/>
      <c r="DS4" s="126"/>
      <c r="DT4" s="126"/>
      <c r="DU4" s="126"/>
      <c r="DV4" s="126"/>
      <c r="DW4" s="126"/>
      <c r="DX4" s="126"/>
      <c r="DY4" s="126"/>
      <c r="DZ4" s="126"/>
      <c r="EA4" s="126"/>
      <c r="EB4" s="126"/>
      <c r="EC4" s="126"/>
      <c r="ED4" s="126"/>
      <c r="EE4" s="126"/>
      <c r="EF4" s="127"/>
      <c r="EG4" s="516" t="s">
        <v>227</v>
      </c>
      <c r="EH4" s="126"/>
      <c r="EI4" s="126"/>
      <c r="EJ4" s="126"/>
      <c r="EK4" s="126"/>
      <c r="EL4" s="126"/>
      <c r="EM4" s="126"/>
      <c r="EN4" s="126"/>
      <c r="EO4" s="126"/>
      <c r="EP4" s="126"/>
      <c r="EQ4" s="126"/>
      <c r="ER4" s="126"/>
      <c r="ES4" s="126"/>
      <c r="ET4" s="126"/>
      <c r="EU4" s="126"/>
      <c r="EV4" s="126"/>
      <c r="EW4" s="126"/>
      <c r="EX4" s="126"/>
      <c r="EY4" s="126"/>
      <c r="EZ4" s="126"/>
      <c r="FA4" s="126"/>
      <c r="FB4" s="126"/>
      <c r="FC4" s="126"/>
      <c r="FD4" s="126"/>
      <c r="FE4" s="126"/>
      <c r="FF4" s="126"/>
      <c r="FG4" s="126"/>
      <c r="FH4" s="126"/>
      <c r="FI4" s="126"/>
      <c r="FJ4" s="517" t="s">
        <v>107</v>
      </c>
      <c r="FK4" s="126"/>
      <c r="FL4" s="127"/>
      <c r="FM4" s="514" t="s">
        <v>228</v>
      </c>
      <c r="FN4" s="126"/>
      <c r="FO4" s="126"/>
      <c r="FP4" s="126"/>
      <c r="FQ4" s="127"/>
      <c r="FR4" s="508" t="s">
        <v>229</v>
      </c>
      <c r="FS4" s="126"/>
      <c r="FT4" s="126"/>
      <c r="FU4" s="126"/>
      <c r="FV4" s="127"/>
      <c r="FW4" s="515" t="s">
        <v>230</v>
      </c>
      <c r="FX4" s="126"/>
      <c r="FY4" s="126"/>
      <c r="FZ4" s="126"/>
      <c r="GA4" s="127"/>
      <c r="GB4" s="509" t="s">
        <v>231</v>
      </c>
      <c r="GC4" s="126"/>
      <c r="GD4" s="126"/>
      <c r="GE4" s="126"/>
      <c r="GF4" s="127"/>
      <c r="GG4" s="518" t="s">
        <v>232</v>
      </c>
      <c r="GH4" s="126"/>
      <c r="GI4" s="126"/>
      <c r="GJ4" s="126"/>
      <c r="GK4" s="127"/>
      <c r="GL4" s="517" t="s">
        <v>233</v>
      </c>
      <c r="GM4" s="126"/>
      <c r="GN4" s="126"/>
      <c r="GO4" s="126"/>
      <c r="GP4" s="127"/>
      <c r="GQ4" s="519" t="s">
        <v>234</v>
      </c>
      <c r="GR4" s="126"/>
      <c r="GS4" s="126"/>
      <c r="GT4" s="126"/>
      <c r="GU4" s="127"/>
      <c r="GV4" s="520" t="s">
        <v>235</v>
      </c>
      <c r="GW4" s="126"/>
      <c r="GX4" s="126"/>
      <c r="GY4" s="126"/>
      <c r="GZ4" s="127"/>
      <c r="HA4" s="516" t="s">
        <v>236</v>
      </c>
      <c r="HB4" s="126"/>
      <c r="HC4" s="126"/>
      <c r="HD4" s="126"/>
      <c r="HE4" s="127"/>
      <c r="HF4" s="515" t="s">
        <v>237</v>
      </c>
      <c r="HG4" s="126"/>
      <c r="HH4" s="126"/>
      <c r="HI4" s="126"/>
      <c r="HJ4" s="127"/>
      <c r="HK4" s="520" t="s">
        <v>238</v>
      </c>
      <c r="HL4" s="126"/>
      <c r="HM4" s="126"/>
      <c r="HN4" s="126"/>
      <c r="HO4" s="127"/>
      <c r="HP4" s="517" t="s">
        <v>174</v>
      </c>
      <c r="HQ4" s="126"/>
      <c r="HR4" s="126"/>
      <c r="HS4" s="126"/>
      <c r="HT4" s="127"/>
      <c r="HU4" s="521" t="s">
        <v>239</v>
      </c>
      <c r="HV4" s="126"/>
      <c r="HW4" s="126"/>
      <c r="HX4" s="126"/>
      <c r="HY4" s="127"/>
      <c r="HZ4" s="522" t="s">
        <v>240</v>
      </c>
      <c r="IA4" s="126"/>
      <c r="IB4" s="126"/>
      <c r="IC4" s="126"/>
      <c r="ID4" s="127"/>
      <c r="IE4" s="512" t="s">
        <v>241</v>
      </c>
      <c r="IF4" s="126"/>
      <c r="IG4" s="126"/>
      <c r="IH4" s="126"/>
      <c r="II4" s="127"/>
      <c r="IJ4" s="523" t="s">
        <v>242</v>
      </c>
      <c r="IK4" s="126"/>
      <c r="IL4" s="126"/>
      <c r="IM4" s="126"/>
      <c r="IN4" s="127"/>
      <c r="IO4" s="524" t="s">
        <v>243</v>
      </c>
      <c r="IP4" s="126"/>
      <c r="IQ4" s="126"/>
      <c r="IR4" s="126"/>
      <c r="IS4" s="127"/>
      <c r="IT4" s="524" t="s">
        <v>244</v>
      </c>
      <c r="IU4" s="126"/>
      <c r="IV4" s="126"/>
      <c r="IW4" s="126"/>
      <c r="IX4" s="127"/>
      <c r="IY4" s="508" t="s">
        <v>245</v>
      </c>
      <c r="IZ4" s="126"/>
      <c r="JA4" s="126"/>
      <c r="JB4" s="126"/>
      <c r="JC4" s="127"/>
      <c r="JD4" s="521" t="s">
        <v>246</v>
      </c>
      <c r="JE4" s="126"/>
      <c r="JF4" s="126"/>
      <c r="JG4" s="126"/>
      <c r="JH4" s="127"/>
      <c r="JI4" s="517" t="s">
        <v>247</v>
      </c>
      <c r="JJ4" s="126"/>
      <c r="JK4" s="126"/>
      <c r="JL4" s="126"/>
      <c r="JM4" s="127"/>
      <c r="JN4" s="520" t="s">
        <v>170</v>
      </c>
      <c r="JO4" s="126"/>
      <c r="JP4" s="126"/>
      <c r="JQ4" s="126"/>
      <c r="JR4" s="127"/>
      <c r="JS4" s="518" t="s">
        <v>171</v>
      </c>
      <c r="JT4" s="126"/>
      <c r="JU4" s="126"/>
      <c r="JV4" s="126"/>
      <c r="JW4" s="127"/>
      <c r="JX4" s="516" t="s">
        <v>248</v>
      </c>
      <c r="JY4" s="126"/>
      <c r="JZ4" s="126"/>
      <c r="KA4" s="126"/>
      <c r="KB4" s="127"/>
      <c r="KC4" s="522" t="s">
        <v>249</v>
      </c>
      <c r="KD4" s="126"/>
      <c r="KE4" s="126"/>
      <c r="KF4" s="126"/>
      <c r="KG4" s="127"/>
      <c r="KH4" s="522" t="s">
        <v>141</v>
      </c>
      <c r="KI4" s="126"/>
      <c r="KJ4" s="126"/>
      <c r="KK4" s="126"/>
      <c r="KL4" s="127"/>
      <c r="KM4" s="522" t="s">
        <v>140</v>
      </c>
      <c r="KN4" s="126"/>
      <c r="KO4" s="126"/>
      <c r="KP4" s="126"/>
      <c r="KQ4" s="127"/>
      <c r="KR4" s="522" t="s">
        <v>144</v>
      </c>
      <c r="KS4" s="126"/>
      <c r="KT4" s="126"/>
      <c r="KU4" s="126"/>
      <c r="KV4" s="127"/>
      <c r="KW4" s="522" t="s">
        <v>125</v>
      </c>
      <c r="KX4" s="126"/>
      <c r="KY4" s="126"/>
      <c r="KZ4" s="126"/>
      <c r="LA4" s="127"/>
      <c r="LB4" s="522" t="s">
        <v>250</v>
      </c>
      <c r="LC4" s="126"/>
      <c r="LD4" s="126"/>
      <c r="LE4" s="126"/>
      <c r="LF4" s="127"/>
      <c r="LG4" s="525"/>
      <c r="LH4" s="525"/>
      <c r="LI4" s="525"/>
      <c r="LJ4" s="525"/>
      <c r="LK4" s="525"/>
      <c r="LL4" s="525"/>
      <c r="LM4" s="526"/>
    </row>
    <row r="5" ht="42.0" customHeight="1">
      <c r="A5" s="527" t="s">
        <v>251</v>
      </c>
      <c r="B5" s="528" t="s">
        <v>252</v>
      </c>
      <c r="C5" s="528" t="s">
        <v>253</v>
      </c>
      <c r="D5" s="528" t="s">
        <v>254</v>
      </c>
      <c r="E5" s="528" t="s">
        <v>255</v>
      </c>
      <c r="F5" s="528" t="s">
        <v>13</v>
      </c>
      <c r="G5" s="528" t="s">
        <v>256</v>
      </c>
      <c r="H5" s="528" t="s">
        <v>16</v>
      </c>
      <c r="I5" s="528" t="s">
        <v>8</v>
      </c>
      <c r="J5" s="528" t="s">
        <v>257</v>
      </c>
      <c r="K5" s="528" t="s">
        <v>258</v>
      </c>
      <c r="L5" s="528" t="s">
        <v>259</v>
      </c>
      <c r="M5" s="528" t="s">
        <v>260</v>
      </c>
      <c r="N5" s="528" t="s">
        <v>261</v>
      </c>
      <c r="O5" s="528" t="s">
        <v>262</v>
      </c>
      <c r="P5" s="528" t="s">
        <v>99</v>
      </c>
      <c r="Q5" s="528" t="s">
        <v>263</v>
      </c>
      <c r="R5" s="528" t="s">
        <v>264</v>
      </c>
      <c r="S5" s="528" t="s">
        <v>265</v>
      </c>
      <c r="T5" s="528" t="s">
        <v>266</v>
      </c>
      <c r="U5" s="528" t="s">
        <v>267</v>
      </c>
      <c r="V5" s="529" t="s">
        <v>17</v>
      </c>
      <c r="W5" s="530" t="s">
        <v>268</v>
      </c>
      <c r="X5" s="531" t="s">
        <v>22</v>
      </c>
      <c r="Y5" s="532" t="s">
        <v>269</v>
      </c>
      <c r="Z5" s="532" t="s">
        <v>270</v>
      </c>
      <c r="AA5" s="532" t="s">
        <v>271</v>
      </c>
      <c r="AB5" s="532" t="s">
        <v>272</v>
      </c>
      <c r="AC5" s="532" t="s">
        <v>273</v>
      </c>
      <c r="AD5" s="532" t="s">
        <v>274</v>
      </c>
      <c r="AE5" s="532" t="s">
        <v>275</v>
      </c>
      <c r="AF5" s="532" t="s">
        <v>276</v>
      </c>
      <c r="AG5" s="532" t="s">
        <v>49</v>
      </c>
      <c r="AH5" s="532" t="s">
        <v>277</v>
      </c>
      <c r="AI5" s="533" t="s">
        <v>278</v>
      </c>
      <c r="AJ5" s="533" t="s">
        <v>279</v>
      </c>
      <c r="AK5" s="533" t="s">
        <v>280</v>
      </c>
      <c r="AL5" s="533" t="s">
        <v>281</v>
      </c>
      <c r="AM5" s="533" t="s">
        <v>282</v>
      </c>
      <c r="AN5" s="533" t="s">
        <v>283</v>
      </c>
      <c r="AO5" s="533" t="s">
        <v>284</v>
      </c>
      <c r="AP5" s="533" t="s">
        <v>285</v>
      </c>
      <c r="AQ5" s="533" t="s">
        <v>286</v>
      </c>
      <c r="AR5" s="533" t="s">
        <v>287</v>
      </c>
      <c r="AS5" s="533" t="s">
        <v>288</v>
      </c>
      <c r="AT5" s="533" t="s">
        <v>289</v>
      </c>
      <c r="AU5" s="533" t="s">
        <v>290</v>
      </c>
      <c r="AV5" s="533" t="s">
        <v>291</v>
      </c>
      <c r="AW5" s="533" t="s">
        <v>292</v>
      </c>
      <c r="AX5" s="532" t="s">
        <v>293</v>
      </c>
      <c r="AY5" s="532" t="s">
        <v>294</v>
      </c>
      <c r="AZ5" s="532" t="s">
        <v>295</v>
      </c>
      <c r="BA5" s="532" t="s">
        <v>21</v>
      </c>
      <c r="BB5" s="534" t="s">
        <v>296</v>
      </c>
      <c r="BC5" s="535" t="s">
        <v>297</v>
      </c>
      <c r="BD5" s="536" t="s">
        <v>298</v>
      </c>
      <c r="BE5" s="536" t="s">
        <v>299</v>
      </c>
      <c r="BF5" s="536" t="s">
        <v>300</v>
      </c>
      <c r="BG5" s="536" t="s">
        <v>301</v>
      </c>
      <c r="BH5" s="536" t="s">
        <v>302</v>
      </c>
      <c r="BI5" s="536" t="s">
        <v>43</v>
      </c>
      <c r="BJ5" s="536" t="s">
        <v>44</v>
      </c>
      <c r="BK5" s="536" t="s">
        <v>303</v>
      </c>
      <c r="BL5" s="537" t="s">
        <v>304</v>
      </c>
      <c r="BM5" s="536" t="s">
        <v>56</v>
      </c>
      <c r="BN5" s="536" t="s">
        <v>305</v>
      </c>
      <c r="BO5" s="538" t="s">
        <v>306</v>
      </c>
      <c r="BP5" s="539" t="s">
        <v>307</v>
      </c>
      <c r="BQ5" s="540" t="s">
        <v>308</v>
      </c>
      <c r="BR5" s="540" t="s">
        <v>309</v>
      </c>
      <c r="BS5" s="540" t="s">
        <v>310</v>
      </c>
      <c r="BT5" s="540" t="s">
        <v>311</v>
      </c>
      <c r="BU5" s="540" t="s">
        <v>312</v>
      </c>
      <c r="BV5" s="540" t="s">
        <v>313</v>
      </c>
      <c r="BW5" s="540" t="s">
        <v>314</v>
      </c>
      <c r="BX5" s="541" t="s">
        <v>315</v>
      </c>
      <c r="BY5" s="541" t="s">
        <v>316</v>
      </c>
      <c r="BZ5" s="541" t="s">
        <v>82</v>
      </c>
      <c r="CA5" s="541" t="s">
        <v>67</v>
      </c>
      <c r="CB5" s="540" t="s">
        <v>317</v>
      </c>
      <c r="CC5" s="542" t="s">
        <v>318</v>
      </c>
      <c r="CD5" s="543" t="s">
        <v>42</v>
      </c>
      <c r="CE5" s="544" t="s">
        <v>319</v>
      </c>
      <c r="CF5" s="544" t="s">
        <v>320</v>
      </c>
      <c r="CG5" s="544" t="s">
        <v>321</v>
      </c>
      <c r="CH5" s="544" t="s">
        <v>322</v>
      </c>
      <c r="CI5" s="544" t="s">
        <v>323</v>
      </c>
      <c r="CJ5" s="544" t="s">
        <v>324</v>
      </c>
      <c r="CK5" s="545" t="s">
        <v>325</v>
      </c>
      <c r="CL5" s="546" t="s">
        <v>326</v>
      </c>
      <c r="CM5" s="547" t="s">
        <v>30</v>
      </c>
      <c r="CN5" s="548" t="s">
        <v>327</v>
      </c>
      <c r="CO5" s="548" t="s">
        <v>307</v>
      </c>
      <c r="CP5" s="548" t="s">
        <v>328</v>
      </c>
      <c r="CQ5" s="548" t="s">
        <v>33</v>
      </c>
      <c r="CR5" s="548" t="s">
        <v>329</v>
      </c>
      <c r="CS5" s="548" t="s">
        <v>330</v>
      </c>
      <c r="CT5" s="548" t="s">
        <v>35</v>
      </c>
      <c r="CU5" s="548" t="s">
        <v>331</v>
      </c>
      <c r="CV5" s="548" t="s">
        <v>307</v>
      </c>
      <c r="CW5" s="548" t="s">
        <v>328</v>
      </c>
      <c r="CX5" s="548" t="s">
        <v>33</v>
      </c>
      <c r="CY5" s="549" t="s">
        <v>329</v>
      </c>
      <c r="CZ5" s="550" t="s">
        <v>332</v>
      </c>
      <c r="DA5" s="551" t="s">
        <v>30</v>
      </c>
      <c r="DB5" s="552" t="s">
        <v>48</v>
      </c>
      <c r="DC5" s="552" t="s">
        <v>307</v>
      </c>
      <c r="DD5" s="552" t="s">
        <v>328</v>
      </c>
      <c r="DE5" s="552" t="s">
        <v>33</v>
      </c>
      <c r="DF5" s="552" t="s">
        <v>333</v>
      </c>
      <c r="DG5" s="552" t="s">
        <v>330</v>
      </c>
      <c r="DH5" s="552" t="s">
        <v>35</v>
      </c>
      <c r="DI5" s="552" t="s">
        <v>48</v>
      </c>
      <c r="DJ5" s="552" t="s">
        <v>307</v>
      </c>
      <c r="DK5" s="552" t="s">
        <v>328</v>
      </c>
      <c r="DL5" s="553" t="s">
        <v>33</v>
      </c>
      <c r="DM5" s="553" t="s">
        <v>334</v>
      </c>
      <c r="DN5" s="554" t="s">
        <v>332</v>
      </c>
      <c r="DO5" s="555" t="s">
        <v>335</v>
      </c>
      <c r="DP5" s="556" t="s">
        <v>269</v>
      </c>
      <c r="DQ5" s="556" t="s">
        <v>271</v>
      </c>
      <c r="DR5" s="556" t="s">
        <v>104</v>
      </c>
      <c r="DS5" s="556" t="s">
        <v>336</v>
      </c>
      <c r="DT5" s="556" t="s">
        <v>337</v>
      </c>
      <c r="DU5" s="557" t="s">
        <v>191</v>
      </c>
      <c r="DV5" s="556" t="s">
        <v>338</v>
      </c>
      <c r="DW5" s="556" t="s">
        <v>339</v>
      </c>
      <c r="DX5" s="557" t="s">
        <v>340</v>
      </c>
      <c r="DY5" s="557" t="s">
        <v>107</v>
      </c>
      <c r="DZ5" s="556" t="s">
        <v>341</v>
      </c>
      <c r="EA5" s="556" t="s">
        <v>105</v>
      </c>
      <c r="EB5" s="556" t="s">
        <v>342</v>
      </c>
      <c r="EC5" s="556" t="s">
        <v>343</v>
      </c>
      <c r="ED5" s="556" t="s">
        <v>344</v>
      </c>
      <c r="EE5" s="556" t="s">
        <v>345</v>
      </c>
      <c r="EF5" s="558" t="s">
        <v>346</v>
      </c>
      <c r="EG5" s="559" t="s">
        <v>347</v>
      </c>
      <c r="EH5" s="559" t="s">
        <v>132</v>
      </c>
      <c r="EI5" s="559" t="s">
        <v>129</v>
      </c>
      <c r="EJ5" s="559" t="s">
        <v>130</v>
      </c>
      <c r="EK5" s="559" t="s">
        <v>131</v>
      </c>
      <c r="EL5" s="559" t="s">
        <v>348</v>
      </c>
      <c r="EM5" s="559" t="s">
        <v>349</v>
      </c>
      <c r="EN5" s="560" t="s">
        <v>350</v>
      </c>
      <c r="EO5" s="560" t="s">
        <v>127</v>
      </c>
      <c r="EP5" s="560" t="s">
        <v>351</v>
      </c>
      <c r="EQ5" s="560" t="s">
        <v>352</v>
      </c>
      <c r="ER5" s="560" t="s">
        <v>353</v>
      </c>
      <c r="ES5" s="560" t="s">
        <v>210</v>
      </c>
      <c r="ET5" s="560" t="s">
        <v>354</v>
      </c>
      <c r="EU5" s="561" t="s">
        <v>355</v>
      </c>
      <c r="EV5" s="561" t="s">
        <v>137</v>
      </c>
      <c r="EW5" s="561" t="s">
        <v>356</v>
      </c>
      <c r="EX5" s="561" t="s">
        <v>357</v>
      </c>
      <c r="EY5" s="561" t="s">
        <v>358</v>
      </c>
      <c r="EZ5" s="561" t="s">
        <v>359</v>
      </c>
      <c r="FA5" s="561" t="s">
        <v>360</v>
      </c>
      <c r="FB5" s="561" t="s">
        <v>361</v>
      </c>
      <c r="FC5" s="562" t="s">
        <v>208</v>
      </c>
      <c r="FD5" s="562" t="s">
        <v>362</v>
      </c>
      <c r="FE5" s="562" t="s">
        <v>363</v>
      </c>
      <c r="FF5" s="562" t="s">
        <v>218</v>
      </c>
      <c r="FG5" s="563" t="s">
        <v>103</v>
      </c>
      <c r="FH5" s="563" t="s">
        <v>136</v>
      </c>
      <c r="FI5" s="563" t="s">
        <v>364</v>
      </c>
      <c r="FJ5" s="564" t="s">
        <v>365</v>
      </c>
      <c r="FK5" s="564" t="s">
        <v>366</v>
      </c>
      <c r="FL5" s="565" t="s">
        <v>134</v>
      </c>
      <c r="FM5" s="566">
        <v>1.0</v>
      </c>
      <c r="FN5" s="552">
        <v>2.0</v>
      </c>
      <c r="FO5" s="552">
        <v>3.0</v>
      </c>
      <c r="FP5" s="552">
        <v>5.0</v>
      </c>
      <c r="FQ5" s="552">
        <v>7.0</v>
      </c>
      <c r="FR5" s="567">
        <v>1.0</v>
      </c>
      <c r="FS5" s="568">
        <v>2.0</v>
      </c>
      <c r="FT5" s="568">
        <v>3.0</v>
      </c>
      <c r="FU5" s="568">
        <v>5.0</v>
      </c>
      <c r="FV5" s="568">
        <v>7.0</v>
      </c>
      <c r="FW5" s="569">
        <v>1.0</v>
      </c>
      <c r="FX5" s="570">
        <v>2.0</v>
      </c>
      <c r="FY5" s="570">
        <v>3.0</v>
      </c>
      <c r="FZ5" s="570">
        <v>5.0</v>
      </c>
      <c r="GA5" s="570">
        <v>7.0</v>
      </c>
      <c r="GB5" s="571">
        <v>1.0</v>
      </c>
      <c r="GC5" s="572">
        <v>2.0</v>
      </c>
      <c r="GD5" s="572">
        <v>3.0</v>
      </c>
      <c r="GE5" s="572">
        <v>5.0</v>
      </c>
      <c r="GF5" s="572">
        <v>7.0</v>
      </c>
      <c r="GG5" s="573">
        <v>1.0</v>
      </c>
      <c r="GH5" s="574">
        <v>2.0</v>
      </c>
      <c r="GI5" s="574">
        <v>3.0</v>
      </c>
      <c r="GJ5" s="574">
        <v>5.0</v>
      </c>
      <c r="GK5" s="574">
        <v>7.0</v>
      </c>
      <c r="GL5" s="575">
        <v>1.0</v>
      </c>
      <c r="GM5" s="576">
        <v>2.0</v>
      </c>
      <c r="GN5" s="576">
        <v>3.0</v>
      </c>
      <c r="GO5" s="576">
        <v>5.0</v>
      </c>
      <c r="GP5" s="576">
        <v>7.0</v>
      </c>
      <c r="GQ5" s="577">
        <v>1.0</v>
      </c>
      <c r="GR5" s="578">
        <v>2.0</v>
      </c>
      <c r="GS5" s="578">
        <v>3.0</v>
      </c>
      <c r="GT5" s="578">
        <v>5.0</v>
      </c>
      <c r="GU5" s="578">
        <v>7.0</v>
      </c>
      <c r="GV5" s="547">
        <v>1.0</v>
      </c>
      <c r="GW5" s="548">
        <v>2.0</v>
      </c>
      <c r="GX5" s="548">
        <v>3.0</v>
      </c>
      <c r="GY5" s="548">
        <v>5.0</v>
      </c>
      <c r="GZ5" s="548">
        <v>7.0</v>
      </c>
      <c r="HA5" s="567">
        <v>1.0</v>
      </c>
      <c r="HB5" s="568">
        <v>2.0</v>
      </c>
      <c r="HC5" s="568">
        <v>3.0</v>
      </c>
      <c r="HD5" s="568">
        <v>5.0</v>
      </c>
      <c r="HE5" s="568">
        <v>7.0</v>
      </c>
      <c r="HF5" s="573">
        <v>1.0</v>
      </c>
      <c r="HG5" s="574">
        <v>2.0</v>
      </c>
      <c r="HH5" s="574">
        <v>3.0</v>
      </c>
      <c r="HI5" s="574">
        <v>5.0</v>
      </c>
      <c r="HJ5" s="574">
        <v>7.0</v>
      </c>
      <c r="HK5" s="579">
        <v>1.0</v>
      </c>
      <c r="HL5" s="548">
        <v>2.0</v>
      </c>
      <c r="HM5" s="548">
        <v>3.0</v>
      </c>
      <c r="HN5" s="548">
        <v>5.0</v>
      </c>
      <c r="HO5" s="548">
        <v>7.0</v>
      </c>
      <c r="HP5" s="580">
        <v>1.0</v>
      </c>
      <c r="HQ5" s="581">
        <v>2.0</v>
      </c>
      <c r="HR5" s="581">
        <v>3.0</v>
      </c>
      <c r="HS5" s="581">
        <v>5.0</v>
      </c>
      <c r="HT5" s="582">
        <v>7.0</v>
      </c>
      <c r="HU5" s="583">
        <v>1.0</v>
      </c>
      <c r="HV5" s="584">
        <v>2.0</v>
      </c>
      <c r="HW5" s="584">
        <v>3.0</v>
      </c>
      <c r="HX5" s="584">
        <v>5.0</v>
      </c>
      <c r="HY5" s="585">
        <v>7.0</v>
      </c>
      <c r="HZ5" s="586">
        <v>1.0</v>
      </c>
      <c r="IA5" s="587">
        <v>2.0</v>
      </c>
      <c r="IB5" s="587">
        <v>3.0</v>
      </c>
      <c r="IC5" s="587">
        <v>5.0</v>
      </c>
      <c r="ID5" s="588">
        <v>7.0</v>
      </c>
      <c r="IE5" s="551">
        <v>1.0</v>
      </c>
      <c r="IF5" s="552">
        <v>2.0</v>
      </c>
      <c r="IG5" s="552">
        <v>3.0</v>
      </c>
      <c r="IH5" s="552">
        <v>5.0</v>
      </c>
      <c r="II5" s="554">
        <v>7.0</v>
      </c>
      <c r="IJ5" s="580">
        <v>1.0</v>
      </c>
      <c r="IK5" s="581">
        <v>2.0</v>
      </c>
      <c r="IL5" s="581">
        <v>3.0</v>
      </c>
      <c r="IM5" s="581">
        <v>5.0</v>
      </c>
      <c r="IN5" s="581">
        <v>7.0</v>
      </c>
      <c r="IO5" s="580">
        <v>1.0</v>
      </c>
      <c r="IP5" s="581">
        <v>2.0</v>
      </c>
      <c r="IQ5" s="581">
        <v>3.0</v>
      </c>
      <c r="IR5" s="581">
        <v>5.0</v>
      </c>
      <c r="IS5" s="581">
        <v>7.0</v>
      </c>
      <c r="IT5" s="580">
        <v>1.0</v>
      </c>
      <c r="IU5" s="581">
        <v>2.0</v>
      </c>
      <c r="IV5" s="581">
        <v>3.0</v>
      </c>
      <c r="IW5" s="581">
        <v>5.0</v>
      </c>
      <c r="IX5" s="581">
        <v>7.0</v>
      </c>
      <c r="IY5" s="589">
        <v>1.0</v>
      </c>
      <c r="IZ5" s="568">
        <v>2.0</v>
      </c>
      <c r="JA5" s="568">
        <v>3.0</v>
      </c>
      <c r="JB5" s="568">
        <v>5.0</v>
      </c>
      <c r="JC5" s="568">
        <v>7.0</v>
      </c>
      <c r="JD5" s="590">
        <v>1.0</v>
      </c>
      <c r="JE5" s="584">
        <v>2.0</v>
      </c>
      <c r="JF5" s="584">
        <v>3.0</v>
      </c>
      <c r="JG5" s="584">
        <v>5.0</v>
      </c>
      <c r="JH5" s="584">
        <v>7.0</v>
      </c>
      <c r="JI5" s="591">
        <v>1.0</v>
      </c>
      <c r="JJ5" s="576">
        <v>2.0</v>
      </c>
      <c r="JK5" s="576">
        <v>3.0</v>
      </c>
      <c r="JL5" s="576">
        <v>5.0</v>
      </c>
      <c r="JM5" s="576">
        <v>7.0</v>
      </c>
      <c r="JN5" s="592">
        <v>1.0</v>
      </c>
      <c r="JO5" s="593">
        <v>2.0</v>
      </c>
      <c r="JP5" s="593">
        <v>3.0</v>
      </c>
      <c r="JQ5" s="593">
        <v>5.0</v>
      </c>
      <c r="JR5" s="593">
        <v>7.0</v>
      </c>
      <c r="JS5" s="594">
        <v>1.0</v>
      </c>
      <c r="JT5" s="574">
        <v>2.0</v>
      </c>
      <c r="JU5" s="574">
        <v>3.0</v>
      </c>
      <c r="JV5" s="574">
        <v>5.0</v>
      </c>
      <c r="JW5" s="595">
        <v>7.0</v>
      </c>
      <c r="JX5" s="567">
        <v>1.0</v>
      </c>
      <c r="JY5" s="568">
        <v>2.0</v>
      </c>
      <c r="JZ5" s="568">
        <v>3.0</v>
      </c>
      <c r="KA5" s="568">
        <v>5.0</v>
      </c>
      <c r="KB5" s="596">
        <v>7.0</v>
      </c>
      <c r="KC5" s="597">
        <v>1.0</v>
      </c>
      <c r="KD5" s="586">
        <v>2.0</v>
      </c>
      <c r="KE5" s="586">
        <v>3.0</v>
      </c>
      <c r="KF5" s="586">
        <v>5.0</v>
      </c>
      <c r="KG5" s="598">
        <v>7.0</v>
      </c>
      <c r="KH5" s="597">
        <v>1.0</v>
      </c>
      <c r="KI5" s="586">
        <v>2.0</v>
      </c>
      <c r="KJ5" s="586">
        <v>3.0</v>
      </c>
      <c r="KK5" s="586">
        <v>5.0</v>
      </c>
      <c r="KL5" s="599">
        <v>7.0</v>
      </c>
      <c r="KM5" s="586">
        <v>1.0</v>
      </c>
      <c r="KN5" s="586">
        <v>2.0</v>
      </c>
      <c r="KO5" s="586">
        <v>3.0</v>
      </c>
      <c r="KP5" s="586">
        <v>5.0</v>
      </c>
      <c r="KQ5" s="588">
        <v>7.0</v>
      </c>
      <c r="KR5" s="597">
        <v>1.0</v>
      </c>
      <c r="KS5" s="587">
        <v>2.0</v>
      </c>
      <c r="KT5" s="587">
        <v>3.0</v>
      </c>
      <c r="KU5" s="587">
        <v>5.0</v>
      </c>
      <c r="KV5" s="600">
        <v>7.0</v>
      </c>
      <c r="KW5" s="586">
        <v>1.0</v>
      </c>
      <c r="KX5" s="587">
        <v>2.0</v>
      </c>
      <c r="KY5" s="587">
        <v>3.0</v>
      </c>
      <c r="KZ5" s="587">
        <v>5.0</v>
      </c>
      <c r="LA5" s="588">
        <v>7.0</v>
      </c>
      <c r="LB5" s="597">
        <v>1.0</v>
      </c>
      <c r="LC5" s="587">
        <v>2.0</v>
      </c>
      <c r="LD5" s="587">
        <v>3.0</v>
      </c>
      <c r="LE5" s="587">
        <v>5.0</v>
      </c>
      <c r="LF5" s="600">
        <v>7.0</v>
      </c>
      <c r="LG5" s="601"/>
      <c r="LH5" s="602"/>
      <c r="LI5" s="602"/>
      <c r="LJ5" s="602"/>
      <c r="LK5" s="602"/>
      <c r="LL5" s="602"/>
      <c r="LM5" s="603"/>
    </row>
    <row r="6">
      <c r="A6" s="28">
        <f>+General!D3</f>
        <v>164778</v>
      </c>
      <c r="B6" s="28" t="str">
        <f>+General!B4</f>
        <v>Dario Enrique Figini</v>
      </c>
      <c r="C6" s="28">
        <f>+General!B5</f>
        <v>82</v>
      </c>
      <c r="D6" s="28" t="str">
        <f>+General!D5</f>
        <v>Hombre</v>
      </c>
      <c r="E6" s="604">
        <f>+General!B6</f>
        <v>180</v>
      </c>
      <c r="F6" s="28">
        <f>+General!G5</f>
        <v>85</v>
      </c>
      <c r="H6" s="604">
        <f>+General!D6</f>
        <v>75.116</v>
      </c>
      <c r="I6" s="605">
        <f>+General!G4</f>
        <v>44212</v>
      </c>
      <c r="J6" s="606">
        <f>+General!D38</f>
        <v>44222</v>
      </c>
      <c r="K6" s="28" t="str">
        <f>+General!B38</f>
        <v>MUERTO</v>
      </c>
      <c r="L6" s="28" t="str">
        <f>+General!J38</f>
        <v>Muerto</v>
      </c>
      <c r="M6" s="605">
        <f>+General!G3</f>
        <v>44200</v>
      </c>
      <c r="P6" s="28" t="str">
        <f>+General!B39</f>
        <v>SI</v>
      </c>
      <c r="Q6" s="28">
        <f>+General!I5</f>
        <v>43</v>
      </c>
      <c r="R6" s="28">
        <f>+General!J5</f>
        <v>30.5</v>
      </c>
      <c r="S6" s="28">
        <f>+General!I4</f>
        <v>13</v>
      </c>
      <c r="T6" s="28">
        <f>+General!J4</f>
        <v>16.5</v>
      </c>
      <c r="U6" s="28">
        <f>+General!J6</f>
        <v>2</v>
      </c>
      <c r="V6" s="28" t="str">
        <f>+General!G6</f>
        <v>MÉDICO</v>
      </c>
      <c r="W6" s="28" t="str">
        <f>+General!B10</f>
        <v>COVID</v>
      </c>
      <c r="X6" s="28" t="str">
        <f>+General!B7</f>
        <v>ONCOLOGICOS</v>
      </c>
      <c r="Y6" s="28" t="str">
        <f>+General!C7</f>
        <v/>
      </c>
      <c r="Z6" s="28" t="str">
        <f>+General!D7</f>
        <v/>
      </c>
      <c r="AA6" s="28" t="str">
        <f>+General!E7</f>
        <v/>
      </c>
      <c r="AB6" s="28" t="str">
        <f>+General!F7</f>
        <v/>
      </c>
      <c r="AC6" s="28" t="str">
        <f>+General!G7</f>
        <v/>
      </c>
      <c r="AD6" s="28" t="str">
        <f>+General!H7</f>
        <v/>
      </c>
      <c r="AE6" s="28" t="str">
        <f>+General!I7</f>
        <v/>
      </c>
      <c r="AF6" s="28" t="str">
        <f>+General!J7</f>
        <v/>
      </c>
      <c r="AG6" s="28" t="str">
        <f>+General!A8</f>
        <v>HTA</v>
      </c>
      <c r="AH6" s="28" t="str">
        <f>+General!B8</f>
        <v/>
      </c>
      <c r="AI6" s="28" t="str">
        <f>+General!C8</f>
        <v/>
      </c>
      <c r="AJ6" s="28" t="str">
        <f>+General!D8</f>
        <v/>
      </c>
      <c r="AK6" s="28" t="str">
        <f>+General!E8</f>
        <v/>
      </c>
      <c r="AL6" s="28" t="str">
        <f>+General!F8</f>
        <v/>
      </c>
      <c r="AM6" s="28" t="str">
        <f>+General!G8</f>
        <v/>
      </c>
      <c r="AN6" s="28" t="str">
        <f>+General!H8</f>
        <v/>
      </c>
      <c r="AO6" s="28" t="str">
        <f>+General!I8</f>
        <v/>
      </c>
      <c r="AP6" s="28" t="str">
        <f>+General!J8</f>
        <v/>
      </c>
      <c r="AQ6" s="28" t="str">
        <f>+General!A9</f>
        <v>ExTBQ</v>
      </c>
      <c r="AR6" s="28" t="str">
        <f>+General!B9</f>
        <v/>
      </c>
      <c r="AS6" s="28" t="str">
        <f>+General!C9</f>
        <v/>
      </c>
      <c r="AT6" s="28" t="str">
        <f>+General!D9</f>
        <v/>
      </c>
      <c r="AU6" s="28" t="str">
        <f>+General!E9</f>
        <v/>
      </c>
      <c r="AV6" s="28" t="str">
        <f>+General!F9</f>
        <v/>
      </c>
      <c r="AW6" s="28" t="str">
        <f>+General!G9</f>
        <v/>
      </c>
      <c r="AX6" s="28" t="str">
        <f>+General!H9</f>
        <v/>
      </c>
      <c r="AY6" s="28" t="str">
        <f>+General!I9</f>
        <v/>
      </c>
      <c r="AZ6" s="28" t="str">
        <f>+General!J9</f>
        <v/>
      </c>
      <c r="BC6" s="607">
        <f>+General!B22</f>
        <v>44213</v>
      </c>
      <c r="BD6" s="607">
        <f>+General!H22</f>
        <v>44213</v>
      </c>
      <c r="BE6" s="607">
        <f>+General!J22</f>
        <v>44222</v>
      </c>
      <c r="BF6" s="146">
        <f>IFS(OR(BD6="",BE6=""),"N/C",BE6-BD6=0,"1",AND(ISDATE(BD6),ISDATE(BE6)),BE6-BD6)</f>
        <v>9</v>
      </c>
      <c r="BG6" s="28">
        <f>+General!H43</f>
        <v>9</v>
      </c>
      <c r="BH6" s="28" t="str">
        <f>+General!B25</f>
        <v>NMN</v>
      </c>
      <c r="BI6" s="28" t="str">
        <f>+General!D23</f>
        <v/>
      </c>
      <c r="BJ6" s="28" t="str">
        <f>+General!F23</f>
        <v/>
      </c>
      <c r="BK6" s="28" t="str">
        <f>+General!H23</f>
        <v/>
      </c>
      <c r="BL6" s="28">
        <f>IFS(AND(ISDATE(BD6),K6="MUERTO"),0,AND(ISDATE(BD6),AND(K6="VIVO",BF6&gt;28)),0,AND(ISDATE(BD6),AND(K6="VIVO",BF6&lt;=28)),28-BF6,K6="","")</f>
        <v>0</v>
      </c>
      <c r="BM6" s="28" t="str">
        <f>+General!B27</f>
        <v/>
      </c>
      <c r="BN6" s="605" t="str">
        <f>+General!D27</f>
        <v/>
      </c>
      <c r="BO6" s="605" t="str">
        <f>+General!F27</f>
        <v/>
      </c>
      <c r="BP6" s="608">
        <f>+General!B29</f>
        <v>44216</v>
      </c>
      <c r="BQ6" s="28" t="str">
        <f>+General!D29</f>
        <v>PSV</v>
      </c>
      <c r="BR6" s="28" t="str">
        <f>+General!F29</f>
        <v/>
      </c>
      <c r="BS6" s="608" t="str">
        <f>+General!B30</f>
        <v/>
      </c>
      <c r="BT6" s="28" t="str">
        <f>+General!D30</f>
        <v/>
      </c>
      <c r="BU6" s="28" t="str">
        <f>+General!F30</f>
        <v/>
      </c>
      <c r="BV6" s="28" t="str">
        <f>+General!I30</f>
        <v/>
      </c>
      <c r="BW6" s="28" t="str">
        <f>+General!B33</f>
        <v/>
      </c>
      <c r="BX6" s="28" t="str">
        <f>+General!D33</f>
        <v/>
      </c>
      <c r="BY6" s="28" t="str">
        <f>+General!F33</f>
        <v/>
      </c>
      <c r="BZ6" s="28" t="str">
        <f>+General!I33</f>
        <v/>
      </c>
      <c r="CA6" s="28" t="str">
        <f>+General!J29</f>
        <v>No destete</v>
      </c>
      <c r="CB6" s="28" t="str">
        <f>+General!H29</f>
        <v/>
      </c>
      <c r="CC6" s="28" t="str">
        <f>+General!H38</f>
        <v>SI</v>
      </c>
      <c r="CD6" s="28" t="str">
        <f>+General!B23</f>
        <v/>
      </c>
      <c r="CE6" s="606" t="str">
        <f>+General!C35</f>
        <v/>
      </c>
      <c r="CF6" s="28" t="str">
        <f>+General!E35</f>
        <v/>
      </c>
      <c r="CG6" s="28" t="str">
        <f>+General!H35</f>
        <v/>
      </c>
      <c r="CH6" s="28" t="str">
        <f>+General!J35</f>
        <v/>
      </c>
      <c r="CI6" s="28" t="str">
        <f>+General!C36</f>
        <v/>
      </c>
      <c r="CJ6" s="605" t="str">
        <f>+General!E36</f>
        <v/>
      </c>
      <c r="CN6" s="28" t="str">
        <f>+General!B19</f>
        <v/>
      </c>
      <c r="CO6" s="605" t="str">
        <f>+General!D19</f>
        <v/>
      </c>
      <c r="CP6" s="605" t="str">
        <f>+General!F19</f>
        <v/>
      </c>
      <c r="CQ6" s="28" t="str">
        <f>+General!H19</f>
        <v/>
      </c>
      <c r="CR6" s="28" t="str">
        <f>+General!J19</f>
        <v/>
      </c>
      <c r="CS6" s="18"/>
      <c r="CT6" s="28" t="str">
        <f>+General!B20</f>
        <v/>
      </c>
      <c r="CV6" s="605" t="str">
        <f>+General!D20</f>
        <v/>
      </c>
      <c r="CW6" s="605" t="str">
        <f>+General!F20</f>
        <v/>
      </c>
      <c r="CX6" s="28" t="str">
        <f>+General!H20</f>
        <v/>
      </c>
      <c r="CY6" s="609" t="str">
        <f>+General!J20</f>
        <v/>
      </c>
      <c r="DA6" s="18" t="str">
        <f>+General!B32</f>
        <v/>
      </c>
      <c r="DC6" s="608" t="str">
        <f>+General!D32</f>
        <v/>
      </c>
      <c r="DD6" s="608" t="str">
        <f>+General!F32</f>
        <v/>
      </c>
      <c r="DE6" s="28" t="str">
        <f>+General!H32</f>
        <v/>
      </c>
      <c r="DF6" s="28" t="str">
        <f>+General!J32</f>
        <v/>
      </c>
      <c r="DI6" s="28" t="str">
        <f>+General!B31</f>
        <v/>
      </c>
      <c r="DJ6" s="605" t="str">
        <f>+General!D31</f>
        <v/>
      </c>
      <c r="DK6" s="605" t="str">
        <f>+General!F31</f>
        <v/>
      </c>
      <c r="DL6" s="28" t="str">
        <f>+General!H31</f>
        <v/>
      </c>
      <c r="DM6" s="28" t="str">
        <f>+General!J31</f>
        <v/>
      </c>
      <c r="DO6" s="28" t="str">
        <f>+General!B40</f>
        <v>BNM</v>
      </c>
      <c r="DP6" s="28" t="str">
        <f>+General!C40</f>
        <v>SDRA</v>
      </c>
      <c r="DQ6" s="28" t="str">
        <f>+General!D40</f>
        <v>SHOCK/SEPSIS</v>
      </c>
      <c r="DR6" s="28" t="str">
        <f>+General!E40</f>
        <v>PAFI&lt;200</v>
      </c>
      <c r="DS6" s="28" t="str">
        <f>+General!F40</f>
        <v>DELIRIUM</v>
      </c>
      <c r="DT6" s="28" t="str">
        <f>+General!G40</f>
        <v/>
      </c>
      <c r="DU6" s="28" t="str">
        <f>+General!H40</f>
        <v/>
      </c>
      <c r="DV6" s="28" t="str">
        <f>+General!I40</f>
        <v/>
      </c>
      <c r="DW6" s="28" t="str">
        <f>+General!J40</f>
        <v/>
      </c>
      <c r="DX6" s="28" t="str">
        <f>+General!B41</f>
        <v/>
      </c>
      <c r="DY6" s="28" t="str">
        <f>+General!C41</f>
        <v/>
      </c>
      <c r="DZ6" s="28" t="str">
        <f>+General!D41</f>
        <v/>
      </c>
      <c r="EA6" s="28" t="str">
        <f>+General!E41</f>
        <v/>
      </c>
      <c r="EB6" s="28" t="str">
        <f>+General!F41</f>
        <v/>
      </c>
      <c r="EC6" s="28" t="str">
        <f>+General!G41</f>
        <v/>
      </c>
      <c r="ED6" s="28" t="str">
        <f>+General!H41</f>
        <v/>
      </c>
      <c r="EE6" s="28" t="str">
        <f>+General!I41</f>
        <v/>
      </c>
      <c r="EF6" s="28" t="str">
        <f>+General!J41</f>
        <v/>
      </c>
      <c r="FM6" s="28" t="str">
        <f>+Monitoreo!C29</f>
        <v>VC-CMV</v>
      </c>
      <c r="FN6" s="28" t="str">
        <f>+Monitoreo!D29</f>
        <v>VC-CMV</v>
      </c>
      <c r="FO6" s="28" t="str">
        <f>+Monitoreo!E29</f>
        <v>VC-CMV</v>
      </c>
      <c r="FP6" s="28" t="str">
        <f>+Monitoreo!F29</f>
        <v>PC-CMV</v>
      </c>
      <c r="FQ6" s="28" t="str">
        <f>+Monitoreo!G29</f>
        <v>PC-CMV</v>
      </c>
    </row>
    <row r="7">
      <c r="W7" s="28" t="str">
        <f>+General!F10</f>
        <v/>
      </c>
      <c r="BH7" s="28" t="str">
        <f>+General!B26</f>
        <v/>
      </c>
      <c r="DS7" s="28" t="str">
        <f>IF(DS14&gt;0,"BNM","")</f>
        <v>BNM</v>
      </c>
      <c r="DT7" s="28" t="str">
        <f>IF(DT14&lt;&gt;"","PRONO","")</f>
        <v/>
      </c>
      <c r="DU7" s="28" t="str">
        <f>IF(DU14="SI","DAUCI","")</f>
        <v/>
      </c>
      <c r="DX7" s="28" t="str">
        <f>IF(OR(DX14="Accidental",DX14="AutoEOT"),"EOT NO PROGRAMADA","")</f>
        <v/>
      </c>
      <c r="DY7" s="28" t="str">
        <f>IF(DY14&gt;0,"DELIRIUM","")</f>
        <v/>
      </c>
      <c r="DZ7" s="28" t="str">
        <f>IF(DZ14&gt;0,"PAFI&lt;200","")</f>
        <v>PAFI&lt;200</v>
      </c>
    </row>
    <row r="8">
      <c r="W8" s="28" t="str">
        <f>+General!B11</f>
        <v/>
      </c>
      <c r="DO8" s="610" t="str">
        <f>HLOOKUP("TEP",$DO$6:$EF$6,1,0)</f>
        <v>#N/A</v>
      </c>
      <c r="DP8" s="610" t="str">
        <f>HLOOKUP("IAM",$DO$6:$EF$6,1,0)</f>
        <v>#N/A</v>
      </c>
      <c r="DQ8" s="610" t="str">
        <f>HLOOKUP("PCR",$DO$6:$EF$6,1,0)</f>
        <v>#N/A</v>
      </c>
      <c r="DR8" s="610" t="str">
        <f>HLOOKUP("SDRA",$DO$6:$EF$6,1,0)</f>
        <v>SDRA</v>
      </c>
      <c r="DS8" s="610" t="str">
        <f>HLOOKUP("BNM",$DO$6:$EF$6,1,0)</f>
        <v>BNM</v>
      </c>
      <c r="DT8" s="610" t="str">
        <f>HLOOKUP("PRONO",$DO$6:$EF$6,1,0)</f>
        <v>#N/A</v>
      </c>
      <c r="DU8" s="610" t="str">
        <f>HLOOKUP("DAUCI",$DO$6:$EF$6,1,0)</f>
        <v>#N/A</v>
      </c>
      <c r="DV8" s="610" t="str">
        <f>HLOOKUP("BAROTRAUMA",$DO$6:$EF$6,1,0)</f>
        <v>#N/A</v>
      </c>
      <c r="DW8" s="610" t="str">
        <f>HLOOKUP("FMO",$DO$6:$EF$6,1,0)</f>
        <v>#N/A</v>
      </c>
      <c r="DX8" s="610" t="str">
        <f>HLOOKUP("EOT NO PROGRAMADA",$DO$6:$EF$6,1,0)</f>
        <v>#N/A</v>
      </c>
      <c r="DY8" s="610" t="str">
        <f>HLOOKUP("DELIRIUM",$DO$6:$EF$6,1,0)</f>
        <v>DELIRIUM</v>
      </c>
      <c r="DZ8" s="610" t="str">
        <f>HLOOKUP("PAFI&lt;200",$DO$6:$EF$6,1,0)</f>
        <v>PAFI&lt;200</v>
      </c>
      <c r="EA8" s="610" t="str">
        <f>HLOOKUP("SHOCK/SEPSIS",$DO$6:$EF$6,1,0)</f>
        <v>SHOCK/SEPSIS</v>
      </c>
      <c r="EB8" s="610" t="str">
        <f>HLOOKUP("I RENAL",$DO$6:$EF$6,1,0)</f>
        <v>#N/A</v>
      </c>
      <c r="EC8" s="610" t="str">
        <f>HLOOKUP("NAVM",$DO$6:$EF$6,1,0)</f>
        <v>#N/A</v>
      </c>
      <c r="ED8" s="610" t="str">
        <f>HLOOKUP("LESIONES FACIALES",$DO$6:$EF$6,1,0)</f>
        <v>#N/A</v>
      </c>
      <c r="EE8" s="610" t="str">
        <f>HLOOKUP("CAMBIO DE INTERFAZ POR DISCOMFORT",$DO$6:$EF$6,1,0)</f>
        <v>#N/A</v>
      </c>
    </row>
    <row r="9">
      <c r="A9" s="184"/>
      <c r="B9" s="184"/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84"/>
      <c r="W9" s="184" t="str">
        <f>+General!F11</f>
        <v/>
      </c>
      <c r="X9" s="184" t="str">
        <f>HLOOKUP("HTA",X6:BB6,1,0)</f>
        <v>HTA</v>
      </c>
      <c r="Y9" s="184" t="str">
        <f>HLOOKUP("IAM",$X$6:$BB$6,1,0)</f>
        <v>#N/A</v>
      </c>
      <c r="Z9" s="184" t="str">
        <f>HLOOKUP("IC",$X$6:$BB$6,1,0)</f>
        <v>#N/A</v>
      </c>
      <c r="AA9" s="184" t="str">
        <f>HLOOKUP("PCR",$X$6:$BB$6,1,0)</f>
        <v>#N/A</v>
      </c>
      <c r="AB9" s="184" t="str">
        <f>HLOOKUP("EPOC",$X$6:$BB$6,1,0)</f>
        <v>#N/A</v>
      </c>
      <c r="AC9" s="184" t="str">
        <f>HLOOKUP("TBQ",$X$6:$BB$6,1,0)</f>
        <v>#N/A</v>
      </c>
      <c r="AD9" s="184" t="str">
        <f>HLOOKUP("ExTBQ",$X$6:$BB$6,1,0)</f>
        <v>ExTBQ</v>
      </c>
      <c r="AE9" s="184" t="str">
        <f>HLOOKUP("ASMA",$X$6:$BB$6,1,0)</f>
        <v>#N/A</v>
      </c>
      <c r="AF9" s="184" t="str">
        <f>HLOOKUP("OCD",$X$6:$BB$6,1,0)</f>
        <v>#N/A</v>
      </c>
      <c r="AG9" s="184" t="str">
        <f>HLOOKUP("NMN",$X$6:$BB$6,1,0)</f>
        <v>#N/A</v>
      </c>
      <c r="AH9" s="184" t="str">
        <f>HLOOKUP("VMI PREVIA",$X$6:$BB$6,1,0)</f>
        <v>#N/A</v>
      </c>
      <c r="AI9" s="184" t="str">
        <f>HLOOKUP("VNI DOMIC",$X$6:$BB$6,1,0)</f>
        <v>#N/A</v>
      </c>
      <c r="AJ9" s="184" t="str">
        <f>HLOOKUP("ACV",$X$6:$BB$6,1,0)</f>
        <v>#N/A</v>
      </c>
      <c r="AK9" s="184" t="str">
        <f>HLOOKUP("TEC",$X$6:$BB$6,1,0)</f>
        <v>#N/A</v>
      </c>
      <c r="AL9" s="184" t="str">
        <f>HLOOKUP("ANEURISMA",$X$6:$BB$6,1,0)</f>
        <v>#N/A</v>
      </c>
      <c r="AM9" s="184" t="str">
        <f>HLOOKUP("ENF NEUROM",$X$6:$BB$6,1,0)</f>
        <v>#N/A</v>
      </c>
      <c r="AN9" s="184" t="str">
        <f>HLOOKUP("DBT",$X$6:$BB$6,1,0)</f>
        <v>#N/A</v>
      </c>
      <c r="AO9" s="184" t="str">
        <f>HLOOKUP("OBESIDAD",$X$6:$BB$6,1,0)</f>
        <v>#N/A</v>
      </c>
      <c r="AP9" s="184" t="str">
        <f>HLOOKUP("HIPOTIR",$X$6:$BB$6,1,0)</f>
        <v>#N/A</v>
      </c>
      <c r="AQ9" s="184" t="str">
        <f>HLOOKUP("HIPERTIR",$X$6:$BB$6,1,0)</f>
        <v>#N/A</v>
      </c>
      <c r="AR9" s="184" t="str">
        <f>HLOOKUP("INSUF RENAL",$X$6:$BB$6,1,0)</f>
        <v>#N/A</v>
      </c>
      <c r="AS9" s="184" t="str">
        <f>HLOOKUP("POP",$X$6:$BB$6,1,0)</f>
        <v>#N/A</v>
      </c>
      <c r="AT9" s="184" t="str">
        <f>HLOOKUP("TBC",$X$6:$BB$6,1,0)</f>
        <v>#N/A</v>
      </c>
      <c r="AU9" s="184" t="str">
        <f>HLOOKUP("HIV",$X$6:$BB$6,1,0)</f>
        <v>#N/A</v>
      </c>
      <c r="AV9" s="184" t="str">
        <f>HLOOKUP("HEPATITIS",$X$6:$BB$6,1,0)</f>
        <v>#N/A</v>
      </c>
      <c r="AW9" s="184" t="str">
        <f>HLOOKUP("CHAGAS",$X$6:$BB$6,1,0)</f>
        <v>#N/A</v>
      </c>
      <c r="AX9" s="184" t="str">
        <f>HLOOKUP("CONSUMO",$X$6:$BB$6,1,0)</f>
        <v>#N/A</v>
      </c>
      <c r="AY9" s="184" t="str">
        <f>HLOOKUP("REUMATOLOGICOS",$X$6:$BB$6,1,0)</f>
        <v>#N/A</v>
      </c>
      <c r="AZ9" s="184" t="str">
        <f>HLOOKUP("PSIQUIATRICOS",$X$6:$BB$6,1,0)</f>
        <v>#N/A</v>
      </c>
      <c r="BA9" s="184" t="str">
        <f>HLOOKUP("ONCOLOGICOS",$X$6:$BB$6,1,0)</f>
        <v>ONCOLOGICOS</v>
      </c>
      <c r="BB9" s="184" t="str">
        <f>HLOOKUP("OTROS",$X$6:$BB$6,1,0)</f>
        <v>#N/A</v>
      </c>
      <c r="BC9" s="184"/>
      <c r="BD9" s="184"/>
      <c r="BE9" s="184"/>
      <c r="BF9" s="184"/>
      <c r="BG9" s="184"/>
      <c r="BH9" s="184"/>
      <c r="BI9" s="184"/>
      <c r="BJ9" s="184"/>
      <c r="BK9" s="184"/>
      <c r="BL9" s="184"/>
      <c r="BM9" s="184"/>
      <c r="BN9" s="184"/>
      <c r="BO9" s="184"/>
      <c r="BP9" s="184"/>
      <c r="BQ9" s="184"/>
      <c r="BR9" s="184"/>
      <c r="BS9" s="184"/>
      <c r="BT9" s="184"/>
      <c r="BU9" s="184"/>
      <c r="BV9" s="184"/>
      <c r="BW9" s="184"/>
      <c r="BX9" s="184"/>
      <c r="BY9" s="184"/>
      <c r="BZ9" s="184"/>
      <c r="CA9" s="184"/>
      <c r="CB9" s="184"/>
      <c r="CC9" s="184"/>
      <c r="CD9" s="184"/>
      <c r="CE9" s="184"/>
      <c r="CF9" s="184"/>
      <c r="CG9" s="184"/>
      <c r="CH9" s="184"/>
      <c r="CI9" s="184"/>
      <c r="CJ9" s="184"/>
      <c r="CK9" s="184"/>
      <c r="CL9" s="184"/>
      <c r="CM9" s="184"/>
      <c r="CN9" s="184"/>
      <c r="CO9" s="184"/>
      <c r="CP9" s="184"/>
      <c r="CQ9" s="184"/>
      <c r="CR9" s="184"/>
      <c r="CS9" s="184"/>
      <c r="CT9" s="184"/>
      <c r="CU9" s="184"/>
      <c r="CV9" s="184"/>
      <c r="CW9" s="184"/>
      <c r="CX9" s="184"/>
      <c r="CY9" s="184"/>
      <c r="CZ9" s="184"/>
      <c r="DA9" s="184"/>
      <c r="DB9" s="184"/>
      <c r="DC9" s="184"/>
      <c r="DD9" s="184"/>
      <c r="DE9" s="184"/>
      <c r="DF9" s="184"/>
      <c r="DG9" s="184"/>
      <c r="DH9" s="184"/>
      <c r="DI9" s="184"/>
      <c r="DJ9" s="184"/>
      <c r="DK9" s="184"/>
      <c r="DL9" s="184"/>
      <c r="DM9" s="184"/>
      <c r="DN9" s="184"/>
      <c r="DO9" s="610" t="str">
        <f>HLOOKUP("TEP",$DO$7:$EF$7,1,0)</f>
        <v>#N/A</v>
      </c>
      <c r="DP9" s="610" t="str">
        <f>HLOOKUP("IAM",$DO$7:$EF$7,1,0)</f>
        <v>#N/A</v>
      </c>
      <c r="DQ9" s="610" t="str">
        <f>HLOOKUP("PCR",$DO$7:$EF$7,1,0)</f>
        <v>#N/A</v>
      </c>
      <c r="DR9" s="610" t="str">
        <f>HLOOKUP("SDRA",$DO$7:$EF$7,1,0)</f>
        <v>#N/A</v>
      </c>
      <c r="DS9" s="610" t="str">
        <f>HLOOKUP("BNM",$DO$7:$EF$7,1,0)</f>
        <v>BNM</v>
      </c>
      <c r="DT9" s="610" t="str">
        <f>HLOOKUP("PRONO",$DO$7:$EF$7,1,0)</f>
        <v>#N/A</v>
      </c>
      <c r="DU9" s="610" t="str">
        <f>HLOOKUP("DAUCI",$DO$7:$EF$7,1,0)</f>
        <v>#N/A</v>
      </c>
      <c r="DV9" s="610" t="str">
        <f>HLOOKUP("BAROTRAUMA",$DO$7:$EF$7,1,0)</f>
        <v>#N/A</v>
      </c>
      <c r="DW9" s="610" t="str">
        <f>HLOOKUP("FMO",$DO$7:$EF$7,1,0)</f>
        <v>#N/A</v>
      </c>
      <c r="DX9" s="610" t="str">
        <f>HLOOKUP("EOT NO PROGRAMADA",$DO$7:$EF$7,1,0)</f>
        <v>#N/A</v>
      </c>
      <c r="DY9" s="610" t="str">
        <f>HLOOKUP("DELIRIUM",$DO$7:$EF$7,1,0)</f>
        <v>#N/A</v>
      </c>
      <c r="DZ9" s="610" t="str">
        <f>HLOOKUP("PAFI&lt;200",$DO$7:$EF$7,1,0)</f>
        <v>PAFI&lt;200</v>
      </c>
      <c r="EA9" s="610" t="str">
        <f>HLOOKUP("SHOCK/SEPSIS",$DO$7:$EF$7,1,0)</f>
        <v>#N/A</v>
      </c>
      <c r="EB9" s="610" t="str">
        <f>HLOOKUP("I RENAL",$DO$7:$EF$7,1,0)</f>
        <v>#N/A</v>
      </c>
      <c r="EC9" s="610" t="str">
        <f>HLOOKUP("NAVM",$DO$7:$EF$7,1,0)</f>
        <v>#N/A</v>
      </c>
      <c r="ED9" s="610" t="str">
        <f>HLOOKUP("LESIONES FACIALES",$DO$7:$EF$7,1,0)</f>
        <v>#N/A</v>
      </c>
      <c r="EE9" s="610" t="str">
        <f>HLOOKUP("CAMBIO DE INTERFAZ POR DISCOMFORT",$DO$7:$EF$7,1,0)</f>
        <v>#N/A</v>
      </c>
      <c r="EF9" s="184"/>
      <c r="EG9" s="184"/>
      <c r="EH9" s="184"/>
      <c r="EI9" s="184"/>
      <c r="EJ9" s="184"/>
      <c r="EK9" s="184"/>
      <c r="EL9" s="184"/>
      <c r="EM9" s="184"/>
      <c r="EN9" s="184"/>
      <c r="EO9" s="184"/>
      <c r="EP9" s="184"/>
      <c r="EQ9" s="184"/>
      <c r="ER9" s="184"/>
      <c r="ES9" s="184"/>
      <c r="ET9" s="184"/>
      <c r="EU9" s="184"/>
      <c r="EV9" s="184"/>
      <c r="EW9" s="184"/>
      <c r="EX9" s="184"/>
      <c r="EY9" s="184"/>
      <c r="EZ9" s="184"/>
      <c r="FA9" s="184"/>
      <c r="FB9" s="184"/>
      <c r="FC9" s="184"/>
      <c r="FD9" s="184"/>
      <c r="FE9" s="184"/>
      <c r="FF9" s="184"/>
      <c r="FG9" s="184"/>
      <c r="FH9" s="184"/>
      <c r="FI9" s="184"/>
      <c r="FJ9" s="184"/>
      <c r="FK9" s="184"/>
      <c r="FL9" s="184"/>
      <c r="FM9" s="184"/>
      <c r="FN9" s="184"/>
      <c r="FO9" s="184"/>
      <c r="FP9" s="184"/>
      <c r="FQ9" s="184"/>
      <c r="FR9" s="184"/>
      <c r="FS9" s="184"/>
      <c r="FT9" s="184"/>
      <c r="FU9" s="184"/>
      <c r="FV9" s="184"/>
      <c r="FW9" s="184"/>
      <c r="FX9" s="184"/>
      <c r="FY9" s="184"/>
      <c r="FZ9" s="184"/>
      <c r="GA9" s="184"/>
      <c r="GB9" s="184"/>
      <c r="GC9" s="184"/>
      <c r="GD9" s="184"/>
      <c r="GE9" s="184"/>
      <c r="GF9" s="184"/>
      <c r="GG9" s="184"/>
      <c r="GH9" s="184"/>
      <c r="GI9" s="184"/>
      <c r="GJ9" s="184"/>
      <c r="GK9" s="184"/>
      <c r="GL9" s="184"/>
      <c r="GM9" s="184"/>
      <c r="GN9" s="184"/>
      <c r="GO9" s="184"/>
      <c r="GP9" s="184"/>
      <c r="GQ9" s="184"/>
      <c r="GR9" s="184"/>
      <c r="GS9" s="184"/>
      <c r="GT9" s="184"/>
      <c r="GU9" s="184"/>
      <c r="GV9" s="184"/>
      <c r="GW9" s="184"/>
      <c r="GX9" s="184"/>
      <c r="GY9" s="184"/>
      <c r="GZ9" s="184"/>
      <c r="HA9" s="184"/>
      <c r="HB9" s="184"/>
      <c r="HC9" s="184"/>
      <c r="HD9" s="184"/>
      <c r="HE9" s="184"/>
      <c r="HF9" s="184"/>
      <c r="HG9" s="184"/>
      <c r="HH9" s="184"/>
      <c r="HI9" s="184"/>
      <c r="HJ9" s="184"/>
      <c r="HK9" s="184"/>
      <c r="HL9" s="184"/>
      <c r="HM9" s="184"/>
      <c r="HN9" s="184"/>
      <c r="HO9" s="184"/>
      <c r="HP9" s="184"/>
      <c r="HQ9" s="184"/>
      <c r="HR9" s="184"/>
      <c r="HS9" s="184"/>
      <c r="HT9" s="184"/>
      <c r="HU9" s="184"/>
      <c r="HV9" s="184"/>
      <c r="HW9" s="184"/>
      <c r="HX9" s="184"/>
      <c r="HY9" s="184"/>
      <c r="HZ9" s="184"/>
      <c r="IA9" s="184"/>
      <c r="IB9" s="184"/>
      <c r="IC9" s="184"/>
      <c r="ID9" s="184"/>
      <c r="IE9" s="184"/>
      <c r="IF9" s="184"/>
      <c r="IG9" s="184"/>
      <c r="IH9" s="184"/>
      <c r="II9" s="184"/>
      <c r="IJ9" s="184"/>
      <c r="IK9" s="184"/>
      <c r="IL9" s="184"/>
      <c r="IM9" s="184"/>
      <c r="IN9" s="184"/>
      <c r="IO9" s="184"/>
      <c r="IP9" s="184"/>
      <c r="IQ9" s="184"/>
      <c r="IR9" s="184"/>
      <c r="IS9" s="184"/>
      <c r="IT9" s="184"/>
      <c r="IU9" s="184"/>
      <c r="IV9" s="184"/>
      <c r="IW9" s="184"/>
      <c r="IX9" s="184"/>
      <c r="IY9" s="184"/>
      <c r="IZ9" s="184"/>
      <c r="JA9" s="184"/>
      <c r="JB9" s="184"/>
      <c r="JC9" s="184"/>
      <c r="JD9" s="184"/>
      <c r="JE9" s="184"/>
      <c r="JF9" s="184"/>
      <c r="JG9" s="184"/>
      <c r="JH9" s="184"/>
      <c r="JI9" s="184"/>
      <c r="JJ9" s="184"/>
      <c r="JK9" s="184"/>
      <c r="JL9" s="184"/>
      <c r="JM9" s="184"/>
      <c r="JN9" s="184"/>
      <c r="JO9" s="184"/>
      <c r="JP9" s="184"/>
      <c r="JQ9" s="184"/>
      <c r="JR9" s="184"/>
      <c r="JS9" s="184"/>
      <c r="JT9" s="184"/>
      <c r="JU9" s="184"/>
      <c r="JV9" s="184"/>
      <c r="JW9" s="184"/>
      <c r="JX9" s="184"/>
      <c r="JY9" s="184"/>
      <c r="JZ9" s="184"/>
      <c r="KA9" s="184"/>
      <c r="KB9" s="184"/>
      <c r="KC9" s="184"/>
      <c r="KD9" s="184"/>
      <c r="KE9" s="184"/>
      <c r="KF9" s="184"/>
      <c r="KG9" s="184"/>
      <c r="KH9" s="184"/>
      <c r="KI9" s="184"/>
      <c r="KJ9" s="184"/>
      <c r="KK9" s="184"/>
      <c r="KL9" s="184"/>
      <c r="KM9" s="184"/>
      <c r="KN9" s="184"/>
      <c r="KO9" s="184"/>
      <c r="KP9" s="184"/>
      <c r="KQ9" s="184"/>
      <c r="KR9" s="184"/>
      <c r="KS9" s="184"/>
      <c r="KT9" s="184"/>
      <c r="KU9" s="184"/>
      <c r="KV9" s="184"/>
      <c r="KW9" s="184"/>
      <c r="KX9" s="184"/>
      <c r="KY9" s="184"/>
      <c r="KZ9" s="184"/>
      <c r="LA9" s="184"/>
      <c r="LB9" s="184"/>
      <c r="LC9" s="184"/>
      <c r="LD9" s="184"/>
      <c r="LE9" s="184"/>
      <c r="LF9" s="184"/>
      <c r="LG9" s="184"/>
      <c r="LH9" s="184"/>
      <c r="LI9" s="184"/>
      <c r="LJ9" s="184"/>
      <c r="LK9" s="184"/>
      <c r="LL9" s="184"/>
      <c r="LM9" s="184"/>
    </row>
    <row r="10">
      <c r="A10" s="184"/>
      <c r="B10" s="184"/>
      <c r="C10" s="184"/>
      <c r="D10" s="184"/>
      <c r="E10" s="184"/>
      <c r="F10" s="184"/>
      <c r="G10" s="184"/>
      <c r="H10" s="184"/>
      <c r="I10" s="184"/>
      <c r="J10" s="184"/>
      <c r="K10" s="184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184"/>
      <c r="X10" s="184" t="str">
        <f t="shared" ref="X10:BB10" si="1">IFNA(X9,"0")</f>
        <v>HTA</v>
      </c>
      <c r="Y10" s="184" t="str">
        <f t="shared" si="1"/>
        <v>0</v>
      </c>
      <c r="Z10" s="184" t="str">
        <f t="shared" si="1"/>
        <v>0</v>
      </c>
      <c r="AA10" s="184" t="str">
        <f t="shared" si="1"/>
        <v>0</v>
      </c>
      <c r="AB10" s="184" t="str">
        <f t="shared" si="1"/>
        <v>0</v>
      </c>
      <c r="AC10" s="184" t="str">
        <f t="shared" si="1"/>
        <v>0</v>
      </c>
      <c r="AD10" s="184" t="str">
        <f t="shared" si="1"/>
        <v>ExTBQ</v>
      </c>
      <c r="AE10" s="184" t="str">
        <f t="shared" si="1"/>
        <v>0</v>
      </c>
      <c r="AF10" s="184" t="str">
        <f t="shared" si="1"/>
        <v>0</v>
      </c>
      <c r="AG10" s="184" t="str">
        <f t="shared" si="1"/>
        <v>0</v>
      </c>
      <c r="AH10" s="184" t="str">
        <f t="shared" si="1"/>
        <v>0</v>
      </c>
      <c r="AI10" s="184" t="str">
        <f t="shared" si="1"/>
        <v>0</v>
      </c>
      <c r="AJ10" s="184" t="str">
        <f t="shared" si="1"/>
        <v>0</v>
      </c>
      <c r="AK10" s="184" t="str">
        <f t="shared" si="1"/>
        <v>0</v>
      </c>
      <c r="AL10" s="184" t="str">
        <f t="shared" si="1"/>
        <v>0</v>
      </c>
      <c r="AM10" s="184" t="str">
        <f t="shared" si="1"/>
        <v>0</v>
      </c>
      <c r="AN10" s="184" t="str">
        <f t="shared" si="1"/>
        <v>0</v>
      </c>
      <c r="AO10" s="184" t="str">
        <f t="shared" si="1"/>
        <v>0</v>
      </c>
      <c r="AP10" s="184" t="str">
        <f t="shared" si="1"/>
        <v>0</v>
      </c>
      <c r="AQ10" s="184" t="str">
        <f t="shared" si="1"/>
        <v>0</v>
      </c>
      <c r="AR10" s="184" t="str">
        <f t="shared" si="1"/>
        <v>0</v>
      </c>
      <c r="AS10" s="184" t="str">
        <f t="shared" si="1"/>
        <v>0</v>
      </c>
      <c r="AT10" s="184" t="str">
        <f t="shared" si="1"/>
        <v>0</v>
      </c>
      <c r="AU10" s="184" t="str">
        <f t="shared" si="1"/>
        <v>0</v>
      </c>
      <c r="AV10" s="184" t="str">
        <f t="shared" si="1"/>
        <v>0</v>
      </c>
      <c r="AW10" s="184" t="str">
        <f t="shared" si="1"/>
        <v>0</v>
      </c>
      <c r="AX10" s="184" t="str">
        <f t="shared" si="1"/>
        <v>0</v>
      </c>
      <c r="AY10" s="184" t="str">
        <f t="shared" si="1"/>
        <v>0</v>
      </c>
      <c r="AZ10" s="184" t="str">
        <f t="shared" si="1"/>
        <v>0</v>
      </c>
      <c r="BA10" s="184" t="str">
        <f t="shared" si="1"/>
        <v>ONCOLOGICOS</v>
      </c>
      <c r="BB10" s="184" t="str">
        <f t="shared" si="1"/>
        <v>0</v>
      </c>
      <c r="BC10" s="184"/>
      <c r="BD10" s="184"/>
      <c r="BE10" s="184"/>
      <c r="BF10" s="184"/>
      <c r="BG10" s="184"/>
      <c r="BH10" s="184"/>
      <c r="BI10" s="184"/>
      <c r="BJ10" s="184"/>
      <c r="BK10" s="184"/>
      <c r="BL10" s="184"/>
      <c r="BM10" s="184"/>
      <c r="BN10" s="184"/>
      <c r="BO10" s="184"/>
      <c r="BP10" s="184"/>
      <c r="BQ10" s="184"/>
      <c r="BR10" s="184"/>
      <c r="BS10" s="184"/>
      <c r="BT10" s="184"/>
      <c r="BU10" s="184"/>
      <c r="BV10" s="184"/>
      <c r="BW10" s="184"/>
      <c r="BX10" s="184"/>
      <c r="BY10" s="184"/>
      <c r="BZ10" s="184"/>
      <c r="CA10" s="184"/>
      <c r="CB10" s="184"/>
      <c r="CC10" s="184"/>
      <c r="CD10" s="184"/>
      <c r="CE10" s="184"/>
      <c r="CF10" s="184"/>
      <c r="CG10" s="184"/>
      <c r="CH10" s="184"/>
      <c r="CI10" s="184"/>
      <c r="CJ10" s="184"/>
      <c r="CK10" s="184"/>
      <c r="CL10" s="184"/>
      <c r="CM10" s="184"/>
      <c r="CN10" s="184"/>
      <c r="CO10" s="184"/>
      <c r="CP10" s="184"/>
      <c r="CQ10" s="184"/>
      <c r="CR10" s="184"/>
      <c r="CS10" s="184"/>
      <c r="CT10" s="184"/>
      <c r="CU10" s="184"/>
      <c r="CV10" s="184"/>
      <c r="CW10" s="184"/>
      <c r="CX10" s="184"/>
      <c r="CY10" s="184"/>
      <c r="CZ10" s="184"/>
      <c r="DA10" s="184"/>
      <c r="DB10" s="184"/>
      <c r="DC10" s="184"/>
      <c r="DD10" s="184"/>
      <c r="DE10" s="184"/>
      <c r="DF10" s="184"/>
      <c r="DG10" s="184"/>
      <c r="DH10" s="184"/>
      <c r="DI10" s="184"/>
      <c r="DJ10" s="184"/>
      <c r="DK10" s="184"/>
      <c r="DL10" s="184"/>
      <c r="DM10" s="184"/>
      <c r="DN10" s="184"/>
      <c r="DO10" s="184" t="str">
        <f t="shared" ref="DO10:EE10" si="2">IFNA(DO8,"0")</f>
        <v>0</v>
      </c>
      <c r="DP10" s="184" t="str">
        <f t="shared" si="2"/>
        <v>0</v>
      </c>
      <c r="DQ10" s="184" t="str">
        <f t="shared" si="2"/>
        <v>0</v>
      </c>
      <c r="DR10" s="184" t="str">
        <f t="shared" si="2"/>
        <v>SDRA</v>
      </c>
      <c r="DS10" s="184" t="str">
        <f t="shared" si="2"/>
        <v>BNM</v>
      </c>
      <c r="DT10" s="184" t="str">
        <f t="shared" si="2"/>
        <v>0</v>
      </c>
      <c r="DU10" s="184" t="str">
        <f t="shared" si="2"/>
        <v>0</v>
      </c>
      <c r="DV10" s="184" t="str">
        <f t="shared" si="2"/>
        <v>0</v>
      </c>
      <c r="DW10" s="184" t="str">
        <f t="shared" si="2"/>
        <v>0</v>
      </c>
      <c r="DX10" s="184" t="str">
        <f t="shared" si="2"/>
        <v>0</v>
      </c>
      <c r="DY10" s="184" t="str">
        <f t="shared" si="2"/>
        <v>DELIRIUM</v>
      </c>
      <c r="DZ10" s="184" t="str">
        <f t="shared" si="2"/>
        <v>PAFI&lt;200</v>
      </c>
      <c r="EA10" s="184" t="str">
        <f t="shared" si="2"/>
        <v>SHOCK/SEPSIS</v>
      </c>
      <c r="EB10" s="184" t="str">
        <f t="shared" si="2"/>
        <v>0</v>
      </c>
      <c r="EC10" s="184" t="str">
        <f t="shared" si="2"/>
        <v>0</v>
      </c>
      <c r="ED10" s="184" t="str">
        <f t="shared" si="2"/>
        <v>0</v>
      </c>
      <c r="EE10" s="184" t="str">
        <f t="shared" si="2"/>
        <v>0</v>
      </c>
      <c r="EF10" s="184"/>
      <c r="EG10" s="184"/>
      <c r="EH10" s="184"/>
      <c r="EI10" s="184"/>
      <c r="EJ10" s="184"/>
      <c r="EK10" s="184"/>
      <c r="EL10" s="184"/>
      <c r="EM10" s="184"/>
      <c r="EN10" s="184"/>
      <c r="EO10" s="184"/>
      <c r="EP10" s="184"/>
      <c r="EQ10" s="184"/>
      <c r="ER10" s="184"/>
      <c r="ES10" s="184"/>
      <c r="ET10" s="184"/>
      <c r="EU10" s="184"/>
      <c r="EV10" s="184"/>
      <c r="EW10" s="184"/>
      <c r="EX10" s="184"/>
      <c r="EY10" s="184"/>
      <c r="EZ10" s="184"/>
      <c r="FA10" s="184"/>
      <c r="FB10" s="184"/>
      <c r="FC10" s="184"/>
      <c r="FD10" s="184"/>
      <c r="FE10" s="184"/>
      <c r="FF10" s="184"/>
      <c r="FG10" s="184"/>
      <c r="FH10" s="184"/>
      <c r="FI10" s="184"/>
      <c r="FJ10" s="184"/>
      <c r="FK10" s="184"/>
      <c r="FL10" s="184"/>
      <c r="FM10" s="184"/>
      <c r="FN10" s="184"/>
      <c r="FO10" s="184"/>
      <c r="FP10" s="184"/>
      <c r="FQ10" s="184"/>
      <c r="FR10" s="184"/>
      <c r="FS10" s="184"/>
      <c r="FT10" s="184"/>
      <c r="FU10" s="184"/>
      <c r="FV10" s="184"/>
      <c r="FW10" s="184"/>
      <c r="FX10" s="184"/>
      <c r="FY10" s="184"/>
      <c r="FZ10" s="184"/>
      <c r="GA10" s="184"/>
      <c r="GB10" s="184"/>
      <c r="GC10" s="184"/>
      <c r="GD10" s="184"/>
      <c r="GE10" s="184"/>
      <c r="GF10" s="184"/>
      <c r="GG10" s="184"/>
      <c r="GH10" s="184"/>
      <c r="GI10" s="184"/>
      <c r="GJ10" s="184"/>
      <c r="GK10" s="184"/>
      <c r="GL10" s="184"/>
      <c r="GM10" s="184"/>
      <c r="GN10" s="184"/>
      <c r="GO10" s="184"/>
      <c r="GP10" s="184"/>
      <c r="GQ10" s="184"/>
      <c r="GR10" s="184"/>
      <c r="GS10" s="184"/>
      <c r="GT10" s="184"/>
      <c r="GU10" s="184"/>
      <c r="GV10" s="184"/>
      <c r="GW10" s="184"/>
      <c r="GX10" s="184"/>
      <c r="GY10" s="184"/>
      <c r="GZ10" s="184"/>
      <c r="HA10" s="184"/>
      <c r="HB10" s="184"/>
      <c r="HC10" s="184"/>
      <c r="HD10" s="184"/>
      <c r="HE10" s="184"/>
      <c r="HF10" s="184"/>
      <c r="HG10" s="184"/>
      <c r="HH10" s="184"/>
      <c r="HI10" s="184"/>
      <c r="HJ10" s="184"/>
      <c r="HK10" s="184"/>
      <c r="HL10" s="184"/>
      <c r="HM10" s="184"/>
      <c r="HN10" s="184"/>
      <c r="HO10" s="184"/>
      <c r="HP10" s="184"/>
      <c r="HQ10" s="184"/>
      <c r="HR10" s="184"/>
      <c r="HS10" s="184"/>
      <c r="HT10" s="184"/>
      <c r="HU10" s="184"/>
      <c r="HV10" s="184"/>
      <c r="HW10" s="184"/>
      <c r="HX10" s="184"/>
      <c r="HY10" s="184"/>
      <c r="HZ10" s="184"/>
      <c r="IA10" s="184"/>
      <c r="IB10" s="184"/>
      <c r="IC10" s="184"/>
      <c r="ID10" s="184"/>
      <c r="IE10" s="184"/>
      <c r="IF10" s="184"/>
      <c r="IG10" s="184"/>
      <c r="IH10" s="184"/>
      <c r="II10" s="184"/>
      <c r="IJ10" s="184"/>
      <c r="IK10" s="184"/>
      <c r="IL10" s="184"/>
      <c r="IM10" s="184"/>
      <c r="IN10" s="184"/>
      <c r="IO10" s="184"/>
      <c r="IP10" s="184"/>
      <c r="IQ10" s="184"/>
      <c r="IR10" s="184"/>
      <c r="IS10" s="184"/>
      <c r="IT10" s="184"/>
      <c r="IU10" s="184"/>
      <c r="IV10" s="184"/>
      <c r="IW10" s="184"/>
      <c r="IX10" s="184"/>
      <c r="IY10" s="184"/>
      <c r="IZ10" s="184"/>
      <c r="JA10" s="184"/>
      <c r="JB10" s="184"/>
      <c r="JC10" s="184"/>
      <c r="JD10" s="184"/>
      <c r="JE10" s="184"/>
      <c r="JF10" s="184"/>
      <c r="JG10" s="184"/>
      <c r="JH10" s="184"/>
      <c r="JI10" s="184"/>
      <c r="JJ10" s="184"/>
      <c r="JK10" s="184"/>
      <c r="JL10" s="184"/>
      <c r="JM10" s="184"/>
      <c r="JN10" s="184"/>
      <c r="JO10" s="184"/>
      <c r="JP10" s="184"/>
      <c r="JQ10" s="184"/>
      <c r="JR10" s="184"/>
      <c r="JS10" s="184"/>
      <c r="JT10" s="184"/>
      <c r="JU10" s="184"/>
      <c r="JV10" s="184"/>
      <c r="JW10" s="184"/>
      <c r="JX10" s="184"/>
      <c r="JY10" s="184"/>
      <c r="JZ10" s="184"/>
      <c r="KA10" s="184"/>
      <c r="KB10" s="184"/>
      <c r="KC10" s="184"/>
      <c r="KD10" s="184"/>
      <c r="KE10" s="184"/>
      <c r="KF10" s="184"/>
      <c r="KG10" s="184"/>
      <c r="KH10" s="184"/>
      <c r="KI10" s="184"/>
      <c r="KJ10" s="184"/>
      <c r="KK10" s="184"/>
      <c r="KL10" s="184"/>
      <c r="KM10" s="184"/>
      <c r="KN10" s="184"/>
      <c r="KO10" s="184"/>
      <c r="KP10" s="184"/>
      <c r="KQ10" s="184"/>
      <c r="KR10" s="184"/>
      <c r="KS10" s="184"/>
      <c r="KT10" s="184"/>
      <c r="KU10" s="184"/>
      <c r="KV10" s="184"/>
      <c r="KW10" s="184"/>
      <c r="KX10" s="184"/>
      <c r="KY10" s="184"/>
      <c r="KZ10" s="184"/>
      <c r="LA10" s="184"/>
      <c r="LB10" s="184"/>
      <c r="LC10" s="184"/>
      <c r="LD10" s="184"/>
      <c r="LE10" s="184"/>
      <c r="LF10" s="184"/>
      <c r="LG10" s="184"/>
      <c r="LH10" s="184"/>
      <c r="LI10" s="184"/>
      <c r="LJ10" s="184"/>
      <c r="LK10" s="184"/>
      <c r="LL10" s="184"/>
      <c r="LM10" s="184"/>
    </row>
    <row r="11">
      <c r="DO11" s="184" t="str">
        <f t="shared" ref="DO11:EE11" si="3">IFNA(DO9,"0")</f>
        <v>0</v>
      </c>
      <c r="DP11" s="184" t="str">
        <f t="shared" si="3"/>
        <v>0</v>
      </c>
      <c r="DQ11" s="184" t="str">
        <f t="shared" si="3"/>
        <v>0</v>
      </c>
      <c r="DR11" s="184" t="str">
        <f t="shared" si="3"/>
        <v>0</v>
      </c>
      <c r="DS11" s="184" t="str">
        <f t="shared" si="3"/>
        <v>BNM</v>
      </c>
      <c r="DT11" s="184" t="str">
        <f t="shared" si="3"/>
        <v>0</v>
      </c>
      <c r="DU11" s="184" t="str">
        <f t="shared" si="3"/>
        <v>0</v>
      </c>
      <c r="DV11" s="184" t="str">
        <f t="shared" si="3"/>
        <v>0</v>
      </c>
      <c r="DW11" s="184" t="str">
        <f t="shared" si="3"/>
        <v>0</v>
      </c>
      <c r="DX11" s="184" t="str">
        <f t="shared" si="3"/>
        <v>0</v>
      </c>
      <c r="DY11" s="184" t="str">
        <f t="shared" si="3"/>
        <v>0</v>
      </c>
      <c r="DZ11" s="184" t="str">
        <f t="shared" si="3"/>
        <v>PAFI&lt;200</v>
      </c>
      <c r="EA11" s="184" t="str">
        <f t="shared" si="3"/>
        <v>0</v>
      </c>
      <c r="EB11" s="184" t="str">
        <f t="shared" si="3"/>
        <v>0</v>
      </c>
      <c r="EC11" s="184" t="str">
        <f t="shared" si="3"/>
        <v>0</v>
      </c>
      <c r="ED11" s="184" t="str">
        <f t="shared" si="3"/>
        <v>0</v>
      </c>
      <c r="EE11" s="184" t="str">
        <f t="shared" si="3"/>
        <v>0</v>
      </c>
    </row>
    <row r="12">
      <c r="A12" s="611">
        <f>+General!D3</f>
        <v>164778</v>
      </c>
      <c r="B12" s="611" t="str">
        <f>+General!B4</f>
        <v>Dario Enrique Figini</v>
      </c>
      <c r="C12" s="611">
        <f>+General!B5</f>
        <v>82</v>
      </c>
      <c r="D12" s="611" t="str">
        <f>+General!D5</f>
        <v>Hombre</v>
      </c>
      <c r="E12" s="612">
        <f>+General!B6</f>
        <v>180</v>
      </c>
      <c r="F12" s="611">
        <f>+General!G5</f>
        <v>85</v>
      </c>
      <c r="G12" s="613">
        <f>IF(AND(E12&lt;&gt;"",F12&lt;&gt;""),F12/(E12/100)^2,"")</f>
        <v>26.2345679</v>
      </c>
      <c r="H12" s="612">
        <f>+General!D6</f>
        <v>75.116</v>
      </c>
      <c r="I12" s="614">
        <f>+General!G4</f>
        <v>44212</v>
      </c>
      <c r="J12" s="615">
        <f>+General!D38</f>
        <v>44222</v>
      </c>
      <c r="K12" s="611" t="str">
        <f>+General!B38</f>
        <v>MUERTO</v>
      </c>
      <c r="L12" s="611" t="str">
        <f>IF(L6&lt;&gt;"",L6,"N/C")</f>
        <v>Muerto</v>
      </c>
      <c r="M12" s="614">
        <f>+General!G3</f>
        <v>44200</v>
      </c>
      <c r="N12" s="611">
        <f>IFS(OR(M12="",I12=""),"",M12=I12,"1",AND(ISDATE(M12),ISDATE(I12)),I12-M12)</f>
        <v>12</v>
      </c>
      <c r="O12" s="611">
        <f>IFS(AND(I12="",J12=""),"",AND(ISDATE(I12),J12=""),"",J12=I12,"1",AND(ISDATE(I12),ISDATE(J12)),J12-I12)</f>
        <v>10</v>
      </c>
      <c r="P12" s="611" t="str">
        <f>IF(P6="SI","SI","NO")</f>
        <v>SI</v>
      </c>
      <c r="Q12" s="611">
        <f>+General!I5</f>
        <v>43</v>
      </c>
      <c r="R12" s="611">
        <f>+General!J5</f>
        <v>30.5</v>
      </c>
      <c r="S12" s="611">
        <f>+General!I4</f>
        <v>13</v>
      </c>
      <c r="T12" s="611">
        <f>+General!J4</f>
        <v>16.5</v>
      </c>
      <c r="U12" s="611">
        <f>+General!J6</f>
        <v>2</v>
      </c>
      <c r="V12" s="611" t="str">
        <f>+General!G6</f>
        <v>MÉDICO</v>
      </c>
      <c r="W12" s="611" t="str">
        <f>IFS(W6&lt;&gt;"",W6,W7&lt;&gt;"",W7,W8&lt;&gt;"",W8,W9&lt;&gt;"",W9,W10="","")</f>
        <v>COVID</v>
      </c>
      <c r="X12" s="611" t="str">
        <f>IF(X10="HTA","SI","NO")</f>
        <v>SI</v>
      </c>
      <c r="Y12" s="611" t="str">
        <f>IF(Y10="IAM","SI","NO")</f>
        <v>NO</v>
      </c>
      <c r="Z12" s="611" t="str">
        <f>IF(Z10="IC","SI","NO")</f>
        <v>NO</v>
      </c>
      <c r="AA12" s="611" t="str">
        <f>IF(AA10="PCR","SI","NO")</f>
        <v>NO</v>
      </c>
      <c r="AB12" s="611" t="str">
        <f>IF(AB10="EPOC","SI","NO")</f>
        <v>NO</v>
      </c>
      <c r="AC12" s="611" t="str">
        <f>IF(AC10="TBQ","SI","NO")</f>
        <v>NO</v>
      </c>
      <c r="AD12" s="611" t="str">
        <f>IF(AD10="ExTBQ","SI","NO")</f>
        <v>SI</v>
      </c>
      <c r="AE12" s="611" t="str">
        <f>IF(AE10="ASMA","SI","NO")</f>
        <v>NO</v>
      </c>
      <c r="AF12" s="611" t="str">
        <f>IF(AF10="OCD","SI","NO")</f>
        <v>NO</v>
      </c>
      <c r="AG12" s="611" t="str">
        <f>IF(AG10="NMN","SI","NO")</f>
        <v>NO</v>
      </c>
      <c r="AH12" s="611" t="str">
        <f>IF(AH10="VMI PREVIA","SI","NO")</f>
        <v>NO</v>
      </c>
      <c r="AI12" s="611" t="str">
        <f>IF(AI10="VNI DOMIC","SI","NO")</f>
        <v>NO</v>
      </c>
      <c r="AJ12" s="611" t="str">
        <f>IF(AJ10="ACV","SI","NO")</f>
        <v>NO</v>
      </c>
      <c r="AK12" s="611" t="str">
        <f>IF(AK10="TEC","SI","NO")</f>
        <v>NO</v>
      </c>
      <c r="AL12" s="611" t="str">
        <f>IF(AL10="ASMA","SI","NO")</f>
        <v>NO</v>
      </c>
      <c r="AM12" s="611" t="str">
        <f>IF(AM10="ENF NEUROM","SI","NO")</f>
        <v>NO</v>
      </c>
      <c r="AN12" s="611" t="str">
        <f>IF(AN10="DBT","SI","NO")</f>
        <v>NO</v>
      </c>
      <c r="AO12" s="611" t="str">
        <f>IF(AO10="OBESIDAD","SI","NO")</f>
        <v>NO</v>
      </c>
      <c r="AP12" s="611" t="str">
        <f>IF(AP10="HIPOTIR","SI","NO")</f>
        <v>NO</v>
      </c>
      <c r="AQ12" s="611" t="str">
        <f>IF(AQ10="HIPERTIR","SI","NO")</f>
        <v>NO</v>
      </c>
      <c r="AR12" s="611" t="str">
        <f>IF(AR10="INSUF RENAL","SI","NO")</f>
        <v>NO</v>
      </c>
      <c r="AS12" s="611" t="str">
        <f>IF(AS10="POP","SI","NO")</f>
        <v>NO</v>
      </c>
      <c r="AT12" s="611" t="str">
        <f>IF(AT10="TBC","SI","NO")</f>
        <v>NO</v>
      </c>
      <c r="AU12" s="611" t="str">
        <f>IF(AU10="HIV","SI","NO")</f>
        <v>NO</v>
      </c>
      <c r="AV12" s="611" t="str">
        <f>IF(AV10="HEPATITIS","SI","NO")</f>
        <v>NO</v>
      </c>
      <c r="AW12" s="611" t="str">
        <f>IF(AW10="CHAGAS","SI","NO")</f>
        <v>NO</v>
      </c>
      <c r="AX12" s="611" t="str">
        <f>IF(AX10="CONSUMO","SI","NO")</f>
        <v>NO</v>
      </c>
      <c r="AY12" s="611" t="str">
        <f>IF(AY10="REUMATOLOGICOS","SI","NO")</f>
        <v>NO</v>
      </c>
      <c r="AZ12" s="611" t="str">
        <f>IF(AZ10="PSIQUIATRICOS","SI","NO")</f>
        <v>NO</v>
      </c>
      <c r="BA12" s="611" t="str">
        <f>IF(BA10="ONCOLOGICOS","SI","NO")</f>
        <v>SI</v>
      </c>
      <c r="BB12" s="611" t="str">
        <f>IF(BB10="OTROS","SI","NO")</f>
        <v>NO</v>
      </c>
      <c r="BC12" s="616">
        <f>IF(ISDATE(BC6),BC6,"N/C")</f>
        <v>44213</v>
      </c>
      <c r="BD12" s="616">
        <f>IF(BD6&lt;&gt;"",BD6,"N/C")</f>
        <v>44213</v>
      </c>
      <c r="BE12" s="616">
        <f>IF(ISDATE(BE6),BE6,"N/C")</f>
        <v>44222</v>
      </c>
      <c r="BF12" s="617">
        <f>IFS(OR(BD6="",BE6=""),"N/C",BE6-BD6=0,"1",AND(ISDATE(BD6),ISDATE(BE6)),BE6-BD6)</f>
        <v>9</v>
      </c>
      <c r="BG12" s="611">
        <f t="shared" ref="BG12:BH12" si="4">IF(BG6&lt;&gt;"",BG6,"N/C")</f>
        <v>9</v>
      </c>
      <c r="BH12" s="611" t="str">
        <f t="shared" si="4"/>
        <v>NMN</v>
      </c>
      <c r="BI12" s="611" t="str">
        <f t="shared" ref="BI12:BJ12" si="5">IF(BI6="SI","SI","NO")</f>
        <v>NO</v>
      </c>
      <c r="BJ12" s="611" t="str">
        <f t="shared" si="5"/>
        <v>NO</v>
      </c>
      <c r="BK12" s="611" t="str">
        <f>IF(BK6&lt;&gt;"",BK6,"N/C")</f>
        <v>N/C</v>
      </c>
      <c r="BL12" s="611">
        <f>+BL6</f>
        <v>0</v>
      </c>
      <c r="BM12" s="611" t="str">
        <f>IF(BM6="SI","SI","NO")</f>
        <v>NO</v>
      </c>
      <c r="BN12" s="611" t="str">
        <f t="shared" ref="BN12:BP12" si="6">IF(ISDATE(BN6),BN6,"N/C")</f>
        <v>N/C</v>
      </c>
      <c r="BO12" s="611" t="str">
        <f t="shared" si="6"/>
        <v>N/C</v>
      </c>
      <c r="BP12" s="618">
        <f t="shared" si="6"/>
        <v>44216</v>
      </c>
      <c r="BQ12" s="611" t="str">
        <f>IF(BQ6&lt;&gt;"",BQ6,"N/C")</f>
        <v>PSV</v>
      </c>
      <c r="BR12" s="611" t="str">
        <f>IF(BR6&gt;0,BR6,"N/C")</f>
        <v>N/C</v>
      </c>
      <c r="BS12" s="611" t="str">
        <f>IF(ISDATE(BS6),BS6,"N/C")</f>
        <v>N/C</v>
      </c>
      <c r="BT12" s="611" t="str">
        <f>IF(BT6&lt;&gt;"",BT6,"N/C")</f>
        <v>N/C</v>
      </c>
      <c r="BU12" s="611" t="str">
        <f>IFS(BU6="NO","NO",BU6="SI","SI",BU6="","N/C")</f>
        <v>N/C</v>
      </c>
      <c r="BV12" s="611" t="str">
        <f t="shared" ref="BV12:CC12" si="7">IF(BV6&lt;&gt;"",BV6,"N/C")</f>
        <v>N/C</v>
      </c>
      <c r="BW12" s="611" t="str">
        <f t="shared" si="7"/>
        <v>N/C</v>
      </c>
      <c r="BX12" s="611" t="str">
        <f t="shared" si="7"/>
        <v>N/C</v>
      </c>
      <c r="BY12" s="611" t="str">
        <f t="shared" si="7"/>
        <v>N/C</v>
      </c>
      <c r="BZ12" s="611" t="str">
        <f t="shared" si="7"/>
        <v>N/C</v>
      </c>
      <c r="CA12" s="611" t="str">
        <f t="shared" si="7"/>
        <v>No destete</v>
      </c>
      <c r="CB12" s="611" t="str">
        <f t="shared" si="7"/>
        <v>N/C</v>
      </c>
      <c r="CC12" s="611" t="str">
        <f t="shared" si="7"/>
        <v>SI</v>
      </c>
      <c r="CD12" s="611" t="str">
        <f>IF(CD6="SI","SI","NO")</f>
        <v>NO</v>
      </c>
      <c r="CE12" s="611" t="str">
        <f>IF(AND(ISDATE(CE6),CD6=""),CE6,"N/C")</f>
        <v>N/C</v>
      </c>
      <c r="CF12" s="611" t="str">
        <f>IFS(AND(CF6&lt;&gt;"",CE6=""),"N/C",AND(CF6&lt;&gt;"",ISDATE(CE6)),CF6,AND(CF6="",CE6=""),"N/C",AND(CE6&lt;&gt;"",CF6=""),"DATO PERDIDO")</f>
        <v>N/C</v>
      </c>
      <c r="CG12" s="611" t="str">
        <f>IFS(CG6="SI","SI",AND(ISDATE(CE6),CG6=""),"NO",AND(CD6="SI",CG6=""),"NO",CE6="","N/C")</f>
        <v>N/C</v>
      </c>
      <c r="CH12" s="611" t="str">
        <f>IFS(AND(CG6="",CH6=""),"N/C", AND(CG6="SI",CH6&lt;&gt;""),CH6,AND(CG6="SI",CH6=""),"0")</f>
        <v>N/C</v>
      </c>
      <c r="CI12" s="611" t="str">
        <f>IFS(OR(CI6="SI",CJ6&lt;&gt;""),"SI",CI6="NO","NO",CI6="","N/C")</f>
        <v>N/C</v>
      </c>
      <c r="CJ12" s="611" t="str">
        <f>IF(ISDATE(CJ6),CJ6,"N/C")</f>
        <v>N/C</v>
      </c>
      <c r="CK12" s="611" t="str">
        <f>IFS(AND(CD6="SI",ISDATE(CJ6)),CJ6-I6,AND(CD6="SI",CJ6=""),J6-I6,AND(ISDATE(CE6),ISDATE(CJ6)),CJ6-CE6,AND(ISDATE(CE6),CJ6=""),J6-CE6,AND(CD6="",AND(CE6="",CJ6="")),"N/C")</f>
        <v>N/C</v>
      </c>
      <c r="CL12" s="611" t="str">
        <f>IF(AND(ISDATE(CE6),ISDATE(BC6)),CE6-BC6,"N/C")</f>
        <v>N/C</v>
      </c>
      <c r="CM12" s="611" t="str">
        <f>IFS(OR(CN6&lt;&gt;"",ISDATE(CO6)),"SI",AND(CN6="",CO6=""),"NO")</f>
        <v>NO</v>
      </c>
      <c r="CN12" s="611" t="str">
        <f>IF(CN6&lt;&gt;"",CN6,"N/C")</f>
        <v>N/C</v>
      </c>
      <c r="CO12" s="611" t="str">
        <f>IF(ISDATE(CO6),CO6,"N/C")</f>
        <v>N/C</v>
      </c>
      <c r="CP12" s="611" t="str">
        <f>IF(CP6&lt;&gt;"",CP6,"N/C")</f>
        <v>N/C</v>
      </c>
      <c r="CQ12" s="611" t="str">
        <f>IFS(CQ6&lt;&gt;"",CQ6,CQ6="","N/C")</f>
        <v>N/C</v>
      </c>
      <c r="CR12" s="611" t="str">
        <f>IF(CR6&lt;&gt;"",CR6,"N/C")</f>
        <v>N/C</v>
      </c>
      <c r="CS12" s="611" t="str">
        <f>IFS(AND(CP6="",CO6=""),"N/C",CP6-CO6=0,"1",AND(ISDATE(CO6),ISDATE(CP6)),CP6-CO6)</f>
        <v>N/C</v>
      </c>
      <c r="CT12" s="611" t="str">
        <f>IFS(OR(CT6&lt;&gt;"",ISDATE(CV6)),"SI",AND(CT6="",CV6=""),"NO")</f>
        <v>NO</v>
      </c>
      <c r="CU12" s="611" t="str">
        <f>IF(CT6&lt;&gt;"",CT6,"N/C")</f>
        <v>N/C</v>
      </c>
      <c r="CV12" s="611" t="str">
        <f t="shared" ref="CV12:CW12" si="8">IF(ISDATE(CV6),CV6,"N/C")</f>
        <v>N/C</v>
      </c>
      <c r="CW12" s="611" t="str">
        <f t="shared" si="8"/>
        <v>N/C</v>
      </c>
      <c r="CX12" s="611" t="str">
        <f t="shared" ref="CX12:CY12" si="9">IF(CX6&lt;&gt;"",CX6,"N/C")</f>
        <v>N/C</v>
      </c>
      <c r="CY12" s="611" t="str">
        <f t="shared" si="9"/>
        <v>N/C</v>
      </c>
      <c r="CZ12" s="611" t="str">
        <f>IFS(AND(CV6="",CW6=""),"N/C",CW6-CV6=0,"1",AND(ISDATE(CV6),ISDATE(CW6)),CW6-CV6)</f>
        <v>N/C</v>
      </c>
      <c r="DA12" s="611" t="str">
        <f>IFS(OR(DA6&lt;&gt;"",ISDATE(DC6)),"SI",AND(DA6="",DC6=""),"NO")</f>
        <v>NO</v>
      </c>
      <c r="DB12" s="611" t="str">
        <f>IF(DA6&lt;&gt;"",DA6,"N/C")</f>
        <v>N/C</v>
      </c>
      <c r="DC12" s="611" t="str">
        <f t="shared" ref="DC12:DD12" si="10">IF(ISDATE(DC6),DC6,"N/C")</f>
        <v>N/C</v>
      </c>
      <c r="DD12" s="611" t="str">
        <f t="shared" si="10"/>
        <v>N/C</v>
      </c>
      <c r="DE12" s="611" t="str">
        <f>IFS(DE6&lt;&gt;"",DE6,AND(ISDATE(DD6),ISDATE(DC6)),"DATO PERDIDO",AND(DC6="",DD6=""),"N/C")</f>
        <v>N/C</v>
      </c>
      <c r="DF12" s="611" t="str">
        <f>IF(DF6&lt;&gt;"",DF6,"N/C")</f>
        <v>N/C</v>
      </c>
      <c r="DG12" s="611" t="str">
        <f>IFS(OR(DD6="",DC6=""),"N/C",DD6-DC6=0,"1",AND(ISDATE(DD6),ISDATE(DC6)),DD6-DC6)</f>
        <v>N/C</v>
      </c>
      <c r="DH12" s="611" t="str">
        <f>IFS(OR(DI6&lt;&gt;"",ISDATE(DJ6)),"SI",AND(DI6="",DJ6=""),"N/C")</f>
        <v>N/C</v>
      </c>
      <c r="DI12" s="611" t="str">
        <f>IF(DI6&lt;&gt;"",DI6,"N/C")</f>
        <v>N/C</v>
      </c>
      <c r="DJ12" s="611" t="str">
        <f t="shared" ref="DJ12:DK12" si="11">IF(ISDATE(DJ6),DJ6,"N/C")</f>
        <v>N/C</v>
      </c>
      <c r="DK12" s="611" t="str">
        <f t="shared" si="11"/>
        <v>N/C</v>
      </c>
      <c r="DL12" s="611" t="str">
        <f>IFS(DL6&lt;&gt;"",DL6,AND(ISDATE(DK6),ISDATE(DJ6)),"DATO PERDIDO",AND(DJ6="",DK6=""),"N/C")</f>
        <v>N/C</v>
      </c>
      <c r="DM12" s="611" t="str">
        <f>IF(DM6&lt;&gt;"",DM6,"N/C")</f>
        <v>N/C</v>
      </c>
      <c r="DN12" s="611" t="str">
        <f>IFS(AND(DJ6="",DK6=""),"N/C",DK6-DJ6=0,"1",AND(ISDATE(DJ6),ISDATE(DK6)),DK6-DJ6)</f>
        <v>N/C</v>
      </c>
      <c r="DO12" s="617" t="str">
        <f>IF(OR(DO10="TEP",DO11="TEP"),"SI","NO")</f>
        <v>NO</v>
      </c>
      <c r="DP12" s="617" t="str">
        <f>IF(OR(DP10="IAM",DP11="IAM"),"SI","NO")</f>
        <v>NO</v>
      </c>
      <c r="DQ12" s="617" t="str">
        <f>IF(OR(DQ10="PCR",DQ11="PCR"),"SI","NO")</f>
        <v>NO</v>
      </c>
      <c r="DR12" s="617" t="str">
        <f>IF(OR(DR10="SDRA",DR11="SDRA"),"SI","NO")</f>
        <v>SI</v>
      </c>
      <c r="DS12" s="617" t="str">
        <f>IF(OR(DS10="BNM",DS11="BNM"),"SI","NO")</f>
        <v>SI</v>
      </c>
      <c r="DT12" s="617" t="str">
        <f>IF(OR(DT10="PRONO",DT11="PRONO"),"SI","NO")</f>
        <v>NO</v>
      </c>
      <c r="DU12" s="617" t="str">
        <f>IF(OR(DU10="DAUCI",DU11="DAUCI"),"SI","NO")</f>
        <v>NO</v>
      </c>
      <c r="DV12" s="617" t="str">
        <f>IF(OR(DV10="BAROTRAUMA",DV11="BAROTRAUMA"),"SI","NO")</f>
        <v>NO</v>
      </c>
      <c r="DW12" s="617" t="str">
        <f>IF(OR(DW10="FMO",DW11="FMO"),"SI","NO")</f>
        <v>NO</v>
      </c>
      <c r="DX12" s="617" t="str">
        <f>IF(OR(DX10="EOT NO PROGRAMADA",DX11="EOT NO PROGRAMADA"),"SI","NO")</f>
        <v>NO</v>
      </c>
      <c r="DY12" s="617" t="str">
        <f>IF(OR(DY10="DELIRIUM",DY11="DELIRIUM"),"SI","NO")</f>
        <v>SI</v>
      </c>
      <c r="DZ12" s="617" t="str">
        <f>IF(OR(DZ10="PAFI&lt;200",DZ11="PAFI&lt;200"),"SI","NO")</f>
        <v>SI</v>
      </c>
      <c r="EA12" s="617" t="str">
        <f>IF(OR(EA10="SHOCK/SEPSIS",EA11="SHOCK/SEPSIS"),"SI","NO")</f>
        <v>SI</v>
      </c>
      <c r="EB12" s="617" t="str">
        <f t="shared" ref="EB12:EC12" si="12">IF(OR(EB10="I RENAL",EB11="I RENAL"),"SI","NO")</f>
        <v>NO</v>
      </c>
      <c r="EC12" s="617" t="str">
        <f t="shared" si="12"/>
        <v>NO</v>
      </c>
      <c r="ED12" s="617" t="str">
        <f>IF(OR(ED10="LESIONES FACIALES",ED11="LESIONES FACIALES"),"SI","NO")</f>
        <v>NO</v>
      </c>
      <c r="EE12" s="617" t="str">
        <f>IF(OR(EE10="CAMBIO DE INTERFAZ POR DISCOMFORT",EE11="CAMBIO DE INTERFAZ POR DISCOMFORT"),"SI","NO")</f>
        <v>NO</v>
      </c>
      <c r="EF12" s="611">
        <f>COUNTIF(DO12:EE12,"SI")</f>
        <v>5</v>
      </c>
      <c r="EG12" s="619">
        <f>+Monitoreo!C65</f>
        <v>8</v>
      </c>
      <c r="EH12" s="619">
        <f>+Monitoreo!C66</f>
        <v>2</v>
      </c>
      <c r="EI12" s="619">
        <f>+Monitoreo!C67</f>
        <v>4</v>
      </c>
      <c r="EJ12" s="619">
        <f>+Monitoreo!C68</f>
        <v>1</v>
      </c>
      <c r="EK12" s="619">
        <f>+Monitoreo!C69</f>
        <v>1</v>
      </c>
      <c r="EL12" s="619">
        <f>+Monitoreo!C70</f>
        <v>0</v>
      </c>
      <c r="EM12" s="619">
        <f>+Monitoreo!C71</f>
        <v>0</v>
      </c>
      <c r="EN12" s="619">
        <f>+Monitoreo!F65</f>
        <v>7</v>
      </c>
      <c r="EO12" s="619">
        <f>+Monitoreo!F66</f>
        <v>7</v>
      </c>
      <c r="EP12" s="619">
        <f>+Monitoreo!F67</f>
        <v>0</v>
      </c>
      <c r="EQ12" s="619">
        <f>+Monitoreo!F68</f>
        <v>0</v>
      </c>
      <c r="ER12" s="619">
        <f>+Monitoreo!F69</f>
        <v>0</v>
      </c>
      <c r="ES12" s="619">
        <f>+Monitoreo!F70</f>
        <v>0</v>
      </c>
      <c r="ET12" s="619">
        <f>+Monitoreo!F71</f>
        <v>0</v>
      </c>
      <c r="EU12" s="619">
        <f>+Monitoreo!I65</f>
        <v>6</v>
      </c>
      <c r="EV12" s="619">
        <f>+Monitoreo!I66</f>
        <v>6</v>
      </c>
      <c r="EW12" s="619">
        <f>+Monitoreo!I67</f>
        <v>0</v>
      </c>
      <c r="EX12" s="619">
        <f>+Monitoreo!I68</f>
        <v>0</v>
      </c>
      <c r="EY12" s="619">
        <f>+Monitoreo!I69</f>
        <v>0</v>
      </c>
      <c r="EZ12" s="619">
        <f>+Monitoreo!I70</f>
        <v>0</v>
      </c>
      <c r="FA12" s="619">
        <f>+Monitoreo!I71</f>
        <v>0</v>
      </c>
      <c r="FB12" s="619">
        <f>+Monitoreo!I72</f>
        <v>0</v>
      </c>
      <c r="FC12" s="619">
        <f>+Monitoreo!M69</f>
        <v>0</v>
      </c>
      <c r="FD12" s="619">
        <f>+Monitoreo!M70</f>
        <v>0</v>
      </c>
      <c r="FE12" s="619">
        <f>+Monitoreo!M71</f>
        <v>0</v>
      </c>
      <c r="FF12" s="619">
        <f>+Monitoreo!M72</f>
        <v>0</v>
      </c>
      <c r="FG12" s="619">
        <f>+Monitoreo!P69</f>
        <v>4</v>
      </c>
      <c r="FH12" s="619">
        <f>+Monitoreo!P70</f>
        <v>4</v>
      </c>
      <c r="FI12" s="619">
        <f>+Monitoreo!P71</f>
        <v>0</v>
      </c>
      <c r="FJ12" s="619">
        <f>+Monitoreo!M65</f>
        <v>0</v>
      </c>
      <c r="FK12" s="619">
        <f>+Monitoreo!M66</f>
        <v>0</v>
      </c>
      <c r="FL12" s="619">
        <f>+Monitoreo!M67</f>
        <v>8</v>
      </c>
      <c r="FM12" s="620" t="str">
        <f>+Monitoreo!C29</f>
        <v>VC-CMV</v>
      </c>
      <c r="FN12" s="620" t="str">
        <f>+Monitoreo!D29</f>
        <v>VC-CMV</v>
      </c>
      <c r="FO12" s="620" t="str">
        <f>+Monitoreo!E29</f>
        <v>VC-CMV</v>
      </c>
      <c r="FP12" s="620" t="str">
        <f>+Monitoreo!G29</f>
        <v>PC-CMV</v>
      </c>
      <c r="FQ12" s="620" t="str">
        <f>+Monitoreo!I29</f>
        <v>VC-CMV</v>
      </c>
      <c r="FR12" s="611">
        <f>+Monitoreo!C30</f>
        <v>450</v>
      </c>
      <c r="FS12" s="611">
        <f>+Monitoreo!D30</f>
        <v>450</v>
      </c>
      <c r="FT12" s="611">
        <f>+Monitoreo!E30</f>
        <v>500</v>
      </c>
      <c r="FU12" s="611">
        <f>+Monitoreo!G30</f>
        <v>18</v>
      </c>
      <c r="FV12" s="611">
        <f>+Monitoreo!I30</f>
        <v>440</v>
      </c>
      <c r="FW12" s="611">
        <f>+Monitoreo!C31</f>
        <v>22</v>
      </c>
      <c r="FX12" s="611">
        <f>+Monitoreo!D31</f>
        <v>24</v>
      </c>
      <c r="FY12" s="611">
        <f>+Monitoreo!E31</f>
        <v>28</v>
      </c>
      <c r="FZ12" s="611">
        <f>+Monitoreo!G31</f>
        <v>19</v>
      </c>
      <c r="GA12" s="611">
        <f>+Monitoreo!I31</f>
        <v>29</v>
      </c>
      <c r="GB12" s="611">
        <f>+Monitoreo!C32</f>
        <v>12</v>
      </c>
      <c r="GC12" s="611">
        <f>+Monitoreo!D32</f>
        <v>12</v>
      </c>
      <c r="GD12" s="611">
        <f>+Monitoreo!E32</f>
        <v>12</v>
      </c>
      <c r="GE12" s="611">
        <f>+Monitoreo!G32</f>
        <v>10</v>
      </c>
      <c r="GF12" s="611">
        <f>+Monitoreo!I32</f>
        <v>12</v>
      </c>
      <c r="GG12" s="611">
        <f>+Monitoreo!C33</f>
        <v>0.4</v>
      </c>
      <c r="GH12" s="611">
        <f>+Monitoreo!D33</f>
        <v>0.3</v>
      </c>
      <c r="GI12" s="611">
        <f>+Monitoreo!E33</f>
        <v>0.3</v>
      </c>
      <c r="GJ12" s="611">
        <f>+Monitoreo!G33</f>
        <v>0.45</v>
      </c>
      <c r="GK12" s="611">
        <f>+Monitoreo!I33</f>
        <v>0.4</v>
      </c>
      <c r="GL12" s="611">
        <f>+Monitoreo!C37</f>
        <v>22</v>
      </c>
      <c r="GM12" s="611">
        <f>+Monitoreo!D37</f>
        <v>29</v>
      </c>
      <c r="GN12" s="611">
        <f>+Monitoreo!E37</f>
        <v>28</v>
      </c>
      <c r="GO12" s="611">
        <f>+Monitoreo!G37</f>
        <v>18</v>
      </c>
      <c r="GP12" s="611">
        <f>+Monitoreo!I37</f>
        <v>29</v>
      </c>
      <c r="GQ12" s="611">
        <f>+Monitoreo!C39</f>
        <v>9.4</v>
      </c>
      <c r="GR12" s="611">
        <f>+Monitoreo!D39</f>
        <v>13.1</v>
      </c>
      <c r="GS12" s="611">
        <f>+Monitoreo!E39</f>
        <v>14.3</v>
      </c>
      <c r="GT12" s="611">
        <f>+Monitoreo!G39</f>
        <v>16</v>
      </c>
      <c r="GU12" s="611">
        <f>+Monitoreo!I39</f>
        <v>12.5</v>
      </c>
      <c r="GV12" s="611">
        <f>+Monitoreo!C40</f>
        <v>28</v>
      </c>
      <c r="GW12" s="611">
        <f>+Monitoreo!D40</f>
        <v>29</v>
      </c>
      <c r="GX12" s="611">
        <f>+Monitoreo!E40</f>
        <v>34</v>
      </c>
      <c r="GY12" s="611">
        <f>+Monitoreo!G40</f>
        <v>18</v>
      </c>
      <c r="GZ12" s="611">
        <f>+Monitoreo!I40</f>
        <v>53</v>
      </c>
      <c r="HA12" s="611">
        <f>+Monitoreo!C41</f>
        <v>21</v>
      </c>
      <c r="HB12" s="611">
        <f>+Monitoreo!D41</f>
        <v>22</v>
      </c>
      <c r="HC12" s="611">
        <f>+Monitoreo!E41</f>
        <v>24</v>
      </c>
      <c r="HD12" s="611" t="str">
        <f>+Monitoreo!G41</f>
        <v/>
      </c>
      <c r="HE12" s="611">
        <f>+Monitoreo!I41</f>
        <v>33</v>
      </c>
      <c r="HF12" s="611">
        <f>+Monitoreo!C42</f>
        <v>13</v>
      </c>
      <c r="HG12" s="611">
        <f>+Monitoreo!D42</f>
        <v>12</v>
      </c>
      <c r="HH12" s="611">
        <f>+Monitoreo!E42</f>
        <v>13.6</v>
      </c>
      <c r="HI12" s="611" t="str">
        <f>+Monitoreo!G42</f>
        <v/>
      </c>
      <c r="HJ12" s="611">
        <f>+Monitoreo!I42</f>
        <v>15</v>
      </c>
      <c r="HK12" s="611">
        <f>+Monitoreo!C51</f>
        <v>8</v>
      </c>
      <c r="HL12" s="611">
        <f>+Monitoreo!D51</f>
        <v>10</v>
      </c>
      <c r="HM12" s="611">
        <f>+Monitoreo!E51</f>
        <v>10.4</v>
      </c>
      <c r="HN12" s="611" t="str">
        <f>+Monitoreo!G51</f>
        <v/>
      </c>
      <c r="HO12" s="611">
        <f>+Monitoreo!I51</f>
        <v>18</v>
      </c>
      <c r="HP12" s="613">
        <f>+Monitoreo!C47</f>
        <v>5.990734331</v>
      </c>
      <c r="HQ12" s="613">
        <f>+Monitoreo!D47</f>
        <v>5.990734331</v>
      </c>
      <c r="HR12" s="613">
        <f>+Monitoreo!E47</f>
        <v>6.656371479</v>
      </c>
      <c r="HS12" s="613">
        <f>+Monitoreo!G47</f>
        <v>12.51397838</v>
      </c>
      <c r="HT12" s="613">
        <f>+Monitoreo!I47</f>
        <v>5.857606901</v>
      </c>
      <c r="HU12" s="613">
        <f>+Monitoreo!C52</f>
        <v>54.125</v>
      </c>
      <c r="HV12" s="613">
        <f>+Monitoreo!D52</f>
        <v>70</v>
      </c>
      <c r="HW12" s="613">
        <f>+Monitoreo!E52</f>
        <v>48.07692308</v>
      </c>
      <c r="HX12" s="611" t="str">
        <f>+Monitoreo!G52</f>
        <v>#DIV/0!</v>
      </c>
      <c r="HY12" s="613">
        <f>+Monitoreo!I52</f>
        <v>24.44444444</v>
      </c>
      <c r="HZ12" s="621">
        <f>+Monitoreo!C53</f>
        <v>8.75</v>
      </c>
      <c r="IA12" s="621" t="str">
        <f>+Monitoreo!D53</f>
        <v/>
      </c>
      <c r="IB12" s="621">
        <f>+Monitoreo!E53</f>
        <v>10.90909091</v>
      </c>
      <c r="IC12" s="621" t="str">
        <f>+Monitoreo!G53</f>
        <v/>
      </c>
      <c r="ID12" s="621">
        <f>+Monitoreo!I53</f>
        <v>20</v>
      </c>
      <c r="IE12" s="611">
        <f>+Monitoreo!C50</f>
        <v>19.4</v>
      </c>
      <c r="IF12" s="611">
        <f>+Monitoreo!D50</f>
        <v>20</v>
      </c>
      <c r="IG12" s="611">
        <f>+Monitoreo!E50</f>
        <v>21.4</v>
      </c>
      <c r="IH12" s="611" t="str">
        <f>+Monitoreo!G50</f>
        <v/>
      </c>
      <c r="II12" s="611">
        <f>+Monitoreo!I50</f>
        <v>28.5</v>
      </c>
      <c r="IJ12" s="621">
        <f>+Monitoreo!C54</f>
        <v>20.29154098</v>
      </c>
      <c r="IK12" s="621" t="str">
        <f>+Monitoreo!D54</f>
        <v/>
      </c>
      <c r="IL12" s="621">
        <f>+Monitoreo!E54</f>
        <v>35.77178182</v>
      </c>
      <c r="IM12" s="621" t="str">
        <f>+Monitoreo!G54</f>
        <v/>
      </c>
      <c r="IN12" s="621">
        <f>+Monitoreo!I54</f>
        <v>44.68381867</v>
      </c>
      <c r="IO12" s="621">
        <f>+Monitoreo!C55</f>
        <v>0.37490145</v>
      </c>
      <c r="IP12" s="621" t="str">
        <f>+Monitoreo!D55</f>
        <v/>
      </c>
      <c r="IQ12" s="621">
        <f>+Monitoreo!E55</f>
        <v>0.7440530618</v>
      </c>
      <c r="IR12" s="611" t="str">
        <f>+Monitoreo!G55</f>
        <v>#DIV/0!</v>
      </c>
      <c r="IS12" s="621">
        <f>+Monitoreo!I55</f>
        <v>1.8279744</v>
      </c>
      <c r="IT12" s="621">
        <f>+Monitoreo!C56</f>
        <v>0.2701360693</v>
      </c>
      <c r="IU12" s="611" t="str">
        <f>+Monitoreo!D56</f>
        <v/>
      </c>
      <c r="IV12" s="622">
        <f>+Monitoreo!E56</f>
        <v>0.4762205365</v>
      </c>
      <c r="IW12" s="611" t="str">
        <f>+Monitoreo!G56</f>
        <v/>
      </c>
      <c r="IX12" s="621">
        <f>+Monitoreo!I56</f>
        <v>0.5948641923</v>
      </c>
      <c r="IY12" s="621">
        <f>+Monitoreo!C61</f>
        <v>176</v>
      </c>
      <c r="IZ12" s="621">
        <f>+Monitoreo!D61</f>
        <v>290</v>
      </c>
      <c r="JA12" s="621">
        <f>+Monitoreo!E61</f>
        <v>291.2</v>
      </c>
      <c r="JB12" s="621" t="str">
        <f>+Monitoreo!G61</f>
        <v/>
      </c>
      <c r="JC12" s="621">
        <f>+Monitoreo!I61</f>
        <v>522</v>
      </c>
      <c r="JD12" s="621">
        <f>+Monitoreo!C57</f>
        <v>1.468306797</v>
      </c>
      <c r="JE12" s="621">
        <f>+Monitoreo!D57</f>
        <v>1.720716403</v>
      </c>
      <c r="JF12" s="621">
        <f>+Monitoreo!E57</f>
        <v>2.99011307</v>
      </c>
      <c r="JG12" s="621">
        <f>+Monitoreo!G57</f>
        <v>1.931235245</v>
      </c>
      <c r="JH12" s="621">
        <f>+Monitoreo!I57</f>
        <v>2.351917923</v>
      </c>
      <c r="JI12" s="611" t="str">
        <f>+Monitoreo!C58</f>
        <v/>
      </c>
      <c r="JJ12" s="611" t="str">
        <f>+Monitoreo!D58</f>
        <v/>
      </c>
      <c r="JK12" s="611" t="str">
        <f>+Monitoreo!E58</f>
        <v/>
      </c>
      <c r="JL12" s="611" t="str">
        <f>+Monitoreo!G58</f>
        <v/>
      </c>
      <c r="JM12" s="611" t="str">
        <f>+Monitoreo!I58</f>
        <v/>
      </c>
      <c r="JN12" s="611" t="str">
        <f>+Monitoreo!C44</f>
        <v/>
      </c>
      <c r="JO12" s="611" t="str">
        <f>+Monitoreo!D44</f>
        <v/>
      </c>
      <c r="JP12" s="611" t="str">
        <f>+Monitoreo!E44</f>
        <v/>
      </c>
      <c r="JQ12" s="611">
        <f>+Monitoreo!G44</f>
        <v>4.4</v>
      </c>
      <c r="JR12" s="611" t="str">
        <f>+Monitoreo!I44</f>
        <v/>
      </c>
      <c r="JS12" s="611" t="str">
        <f>+Monitoreo!C45</f>
        <v/>
      </c>
      <c r="JT12" s="611" t="str">
        <f>+Monitoreo!D45</f>
        <v/>
      </c>
      <c r="JU12" s="611" t="str">
        <f>+Monitoreo!E45</f>
        <v/>
      </c>
      <c r="JV12" s="611" t="str">
        <f>+Monitoreo!G45</f>
        <v/>
      </c>
      <c r="JW12" s="611" t="str">
        <f>+Monitoreo!I45</f>
        <v/>
      </c>
      <c r="JX12" s="613">
        <f>+Monitoreo!C62</f>
        <v>8.878718535</v>
      </c>
      <c r="JY12" s="613">
        <f>+Monitoreo!D62</f>
        <v>7.741935484</v>
      </c>
      <c r="JZ12" s="613">
        <f>+Monitoreo!E62</f>
        <v>15.69682152</v>
      </c>
      <c r="KA12" s="613" t="str">
        <f>+Monitoreo!G62</f>
        <v/>
      </c>
      <c r="KB12" s="613">
        <f>+Monitoreo!I62</f>
        <v>18.0952381</v>
      </c>
      <c r="KC12" s="621">
        <f>+Monitoreo!C20</f>
        <v>7.3</v>
      </c>
      <c r="KD12" s="611">
        <f>+Monitoreo!D20</f>
        <v>7.38</v>
      </c>
      <c r="KE12" s="611">
        <f>+Monitoreo!E20</f>
        <v>7.37</v>
      </c>
      <c r="KF12" s="611">
        <f>+Monitoreo!G20</f>
        <v>7.42</v>
      </c>
      <c r="KG12" s="611">
        <f>+Monitoreo!I20</f>
        <v>7.28</v>
      </c>
      <c r="KH12" s="611">
        <f>+Monitoreo!C22</f>
        <v>87.4</v>
      </c>
      <c r="KI12" s="611">
        <f>+Monitoreo!D22</f>
        <v>77.5</v>
      </c>
      <c r="KJ12" s="611">
        <f>+Monitoreo!E22</f>
        <v>40.9</v>
      </c>
      <c r="KK12" s="611">
        <f>+Monitoreo!G22</f>
        <v>53.9</v>
      </c>
      <c r="KL12" s="611">
        <f>+Monitoreo!I22</f>
        <v>63</v>
      </c>
      <c r="KM12" s="611">
        <f>+Monitoreo!C21</f>
        <v>44</v>
      </c>
      <c r="KN12" s="611">
        <f>+Monitoreo!D21</f>
        <v>37</v>
      </c>
      <c r="KO12" s="611">
        <f>+Monitoreo!E21</f>
        <v>58.9</v>
      </c>
      <c r="KP12" s="611">
        <f>+Monitoreo!G21</f>
        <v>34</v>
      </c>
      <c r="KQ12" s="611">
        <f>+Monitoreo!I21</f>
        <v>53</v>
      </c>
      <c r="KR12" s="611">
        <f>+Monitoreo!C25</f>
        <v>95</v>
      </c>
      <c r="KS12" s="611">
        <f>+Monitoreo!D25</f>
        <v>94.5</v>
      </c>
      <c r="KT12" s="611">
        <f>+Monitoreo!E25</f>
        <v>89.3</v>
      </c>
      <c r="KU12" s="611">
        <f>+Monitoreo!G25</f>
        <v>88</v>
      </c>
      <c r="KV12" s="611">
        <f>+Monitoreo!I25</f>
        <v>99</v>
      </c>
      <c r="KW12" s="611">
        <f>+Monitoreo!C10</f>
        <v>97</v>
      </c>
      <c r="KX12" s="611">
        <f>+Monitoreo!D10</f>
        <v>98</v>
      </c>
      <c r="KY12" s="611">
        <f>+Monitoreo!E10</f>
        <v>96</v>
      </c>
      <c r="KZ12" s="611">
        <f>+Monitoreo!G10</f>
        <v>96</v>
      </c>
      <c r="LA12" s="611">
        <f>+Monitoreo!I10</f>
        <v>99</v>
      </c>
      <c r="LB12" s="613">
        <f>+Monitoreo!C28</f>
        <v>218.5</v>
      </c>
      <c r="LC12" s="613">
        <f>+Monitoreo!D28</f>
        <v>258.3333333</v>
      </c>
      <c r="LD12" s="613">
        <f>+Monitoreo!E28</f>
        <v>136.3333333</v>
      </c>
      <c r="LE12" s="613">
        <f>+Monitoreo!G28</f>
        <v>154</v>
      </c>
      <c r="LF12" s="613">
        <f>+Monitoreo!I28</f>
        <v>157.5</v>
      </c>
      <c r="LG12" s="611"/>
      <c r="LH12" s="611"/>
      <c r="LI12" s="611"/>
      <c r="LJ12" s="611"/>
      <c r="LK12" s="611"/>
      <c r="LL12" s="611"/>
      <c r="LM12" s="611"/>
    </row>
    <row r="14">
      <c r="DS14" s="184">
        <f>+Monitoreo!P69</f>
        <v>4</v>
      </c>
      <c r="DT14" s="28" t="str">
        <f>+General!J23</f>
        <v/>
      </c>
      <c r="DU14" s="28" t="str">
        <f>+Monitoreo!P65</f>
        <v>NO</v>
      </c>
      <c r="DX14" s="28" t="str">
        <f>+General!D30</f>
        <v/>
      </c>
      <c r="DY14" s="623">
        <f>+Monitoreo!M65</f>
        <v>0</v>
      </c>
      <c r="DZ14" s="184">
        <f>+Monitoreo!T65</f>
        <v>8</v>
      </c>
    </row>
    <row r="15">
      <c r="A15" s="624" t="s">
        <v>367</v>
      </c>
      <c r="B15" s="625"/>
      <c r="C15" s="625"/>
      <c r="D15" s="625"/>
      <c r="E15" s="625"/>
      <c r="F15" s="625"/>
      <c r="G15" s="625"/>
      <c r="H15" s="625"/>
      <c r="I15" s="625"/>
      <c r="J15" s="625"/>
      <c r="K15" s="625"/>
      <c r="L15" s="625"/>
      <c r="M15" s="625"/>
      <c r="N15" s="625"/>
      <c r="O15" s="625"/>
      <c r="P15" s="625"/>
      <c r="Q15" s="626"/>
    </row>
    <row r="16">
      <c r="A16" s="627"/>
      <c r="Q16" s="628"/>
    </row>
    <row r="17">
      <c r="A17" s="627"/>
      <c r="Q17" s="628"/>
    </row>
    <row r="18">
      <c r="A18" s="627"/>
      <c r="Q18" s="628"/>
    </row>
    <row r="19">
      <c r="A19" s="629"/>
      <c r="B19" s="630"/>
      <c r="C19" s="630"/>
      <c r="D19" s="630"/>
      <c r="E19" s="630"/>
      <c r="F19" s="630"/>
      <c r="G19" s="630"/>
      <c r="H19" s="630"/>
      <c r="I19" s="630"/>
      <c r="J19" s="630"/>
      <c r="K19" s="630"/>
      <c r="L19" s="630"/>
      <c r="M19" s="630"/>
      <c r="N19" s="630"/>
      <c r="O19" s="630"/>
      <c r="P19" s="630"/>
      <c r="Q19" s="631"/>
    </row>
  </sheetData>
  <mergeCells count="45">
    <mergeCell ref="BP4:CC4"/>
    <mergeCell ref="CD4:CL4"/>
    <mergeCell ref="A15:Q19"/>
    <mergeCell ref="CM4:CZ4"/>
    <mergeCell ref="DA4:DN4"/>
    <mergeCell ref="FJ4:FL4"/>
    <mergeCell ref="FM4:FQ4"/>
    <mergeCell ref="FR4:FV4"/>
    <mergeCell ref="FW4:GA4"/>
    <mergeCell ref="GB4:GF4"/>
    <mergeCell ref="GG4:GK4"/>
    <mergeCell ref="GL4:GP4"/>
    <mergeCell ref="GQ4:GU4"/>
    <mergeCell ref="GV4:GZ4"/>
    <mergeCell ref="HA4:HE4"/>
    <mergeCell ref="DO4:EF4"/>
    <mergeCell ref="EG4:FI4"/>
    <mergeCell ref="JX4:KB4"/>
    <mergeCell ref="KC4:KG4"/>
    <mergeCell ref="KH4:KL4"/>
    <mergeCell ref="KM4:KQ4"/>
    <mergeCell ref="KR4:KV4"/>
    <mergeCell ref="KW4:LA4"/>
    <mergeCell ref="FM2:GZ3"/>
    <mergeCell ref="HA2:JC3"/>
    <mergeCell ref="JD2:KB3"/>
    <mergeCell ref="KC2:LF3"/>
    <mergeCell ref="A4:W4"/>
    <mergeCell ref="X4:BB4"/>
    <mergeCell ref="BC4:BO4"/>
    <mergeCell ref="LB4:LF4"/>
    <mergeCell ref="HF4:HJ4"/>
    <mergeCell ref="HK4:HO4"/>
    <mergeCell ref="HP4:HT4"/>
    <mergeCell ref="HU4:HY4"/>
    <mergeCell ref="HZ4:ID4"/>
    <mergeCell ref="IE4:II4"/>
    <mergeCell ref="IJ4:IN4"/>
    <mergeCell ref="IO4:IS4"/>
    <mergeCell ref="IT4:IX4"/>
    <mergeCell ref="IY4:JC4"/>
    <mergeCell ref="JD4:JH4"/>
    <mergeCell ref="JI4:JM4"/>
    <mergeCell ref="JN4:JR4"/>
    <mergeCell ref="JS4:JW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6.29"/>
    <col customWidth="1" min="5" max="5" width="7.86"/>
    <col customWidth="1" min="6" max="12" width="6.29"/>
    <col customWidth="1" min="13" max="13" width="7.29"/>
    <col customWidth="1" min="14" max="14" width="6.86"/>
    <col customWidth="1" min="15" max="18" width="8.71"/>
    <col customWidth="1" min="19" max="19" width="7.0"/>
    <col customWidth="1" min="20" max="20" width="5.43"/>
    <col customWidth="1" min="21" max="21" width="5.29"/>
    <col customWidth="1" min="22" max="22" width="6.86"/>
    <col customWidth="1" min="23" max="25" width="8.71"/>
    <col customWidth="1" min="26" max="27" width="8.86"/>
    <col customWidth="1" min="28" max="32" width="7.57"/>
    <col customWidth="1" min="33" max="33" width="44.71"/>
  </cols>
  <sheetData>
    <row r="1">
      <c r="A1" s="632" t="s">
        <v>368</v>
      </c>
      <c r="B1" s="633"/>
      <c r="C1" s="633"/>
      <c r="D1" s="633"/>
      <c r="E1" s="633"/>
      <c r="F1" s="633"/>
      <c r="G1" s="633"/>
      <c r="H1" s="633"/>
      <c r="I1" s="633"/>
      <c r="J1" s="633"/>
      <c r="K1" s="633"/>
      <c r="L1" s="633"/>
      <c r="M1" s="633"/>
      <c r="N1" s="633"/>
      <c r="O1" s="633"/>
      <c r="P1" s="633"/>
      <c r="Q1" s="633"/>
      <c r="R1" s="633"/>
      <c r="S1" s="633"/>
      <c r="T1" s="633"/>
      <c r="U1" s="633"/>
      <c r="V1" s="633"/>
      <c r="W1" s="633"/>
      <c r="X1" s="633"/>
      <c r="Y1" s="633"/>
      <c r="Z1" s="633"/>
      <c r="AA1" s="633"/>
      <c r="AB1" s="633"/>
      <c r="AC1" s="633"/>
      <c r="AD1" s="633"/>
      <c r="AE1" s="633"/>
      <c r="AF1" s="633"/>
      <c r="AG1" s="634"/>
      <c r="AH1" s="635"/>
      <c r="AI1" s="635"/>
      <c r="AJ1" s="635"/>
      <c r="AK1" s="635"/>
      <c r="AL1" s="635"/>
      <c r="AM1" s="635"/>
      <c r="AN1" s="635"/>
      <c r="AO1" s="635"/>
      <c r="AP1" s="635"/>
      <c r="AQ1" s="635"/>
      <c r="AR1" s="635"/>
      <c r="AS1" s="635"/>
      <c r="AT1" s="635"/>
      <c r="AU1" s="635"/>
      <c r="AV1" s="635"/>
      <c r="AW1" s="635"/>
      <c r="AX1" s="635"/>
      <c r="AY1" s="635"/>
      <c r="AZ1" s="635"/>
      <c r="BA1" s="635"/>
    </row>
    <row r="2" ht="41.25" customHeight="1">
      <c r="A2" s="636"/>
      <c r="B2" s="258"/>
      <c r="C2" s="258"/>
      <c r="D2" s="258"/>
      <c r="E2" s="258"/>
      <c r="F2" s="258"/>
      <c r="G2" s="258"/>
      <c r="H2" s="258"/>
      <c r="I2" s="258"/>
      <c r="J2" s="258"/>
      <c r="K2" s="258"/>
      <c r="L2" s="258"/>
      <c r="M2" s="258"/>
      <c r="N2" s="258"/>
      <c r="O2" s="258"/>
      <c r="P2" s="258"/>
      <c r="Q2" s="258"/>
      <c r="R2" s="258"/>
      <c r="S2" s="258"/>
      <c r="T2" s="258"/>
      <c r="U2" s="258"/>
      <c r="V2" s="258"/>
      <c r="W2" s="258"/>
      <c r="X2" s="258"/>
      <c r="Y2" s="258"/>
      <c r="Z2" s="258"/>
      <c r="AA2" s="258"/>
      <c r="AB2" s="258"/>
      <c r="AC2" s="258"/>
      <c r="AD2" s="258"/>
      <c r="AE2" s="258"/>
      <c r="AF2" s="258"/>
      <c r="AG2" s="129"/>
      <c r="AH2" s="635"/>
      <c r="AI2" s="635"/>
      <c r="AJ2" s="635"/>
      <c r="AK2" s="635"/>
      <c r="AL2" s="635"/>
      <c r="AM2" s="635"/>
      <c r="AN2" s="635"/>
      <c r="AO2" s="635"/>
      <c r="AP2" s="635"/>
      <c r="AQ2" s="635"/>
      <c r="AR2" s="635"/>
      <c r="AS2" s="635"/>
      <c r="AT2" s="635"/>
      <c r="AU2" s="635"/>
      <c r="AV2" s="635"/>
      <c r="AW2" s="635"/>
      <c r="AX2" s="635"/>
      <c r="AY2" s="635"/>
      <c r="AZ2" s="635"/>
      <c r="BA2" s="635"/>
    </row>
    <row r="3">
      <c r="A3" s="637"/>
      <c r="B3" s="638" t="s">
        <v>369</v>
      </c>
      <c r="C3" s="21"/>
      <c r="D3" s="21"/>
      <c r="E3" s="22"/>
      <c r="F3" s="639" t="s">
        <v>370</v>
      </c>
      <c r="G3" s="22"/>
      <c r="H3" s="639" t="s">
        <v>371</v>
      </c>
      <c r="I3" s="21"/>
      <c r="J3" s="21"/>
      <c r="K3" s="21"/>
      <c r="L3" s="22"/>
      <c r="M3" s="639" t="s">
        <v>372</v>
      </c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2"/>
      <c r="Z3" s="639" t="s">
        <v>373</v>
      </c>
      <c r="AA3" s="22"/>
      <c r="AB3" s="639" t="s">
        <v>374</v>
      </c>
      <c r="AC3" s="21"/>
      <c r="AD3" s="21"/>
      <c r="AE3" s="21"/>
      <c r="AF3" s="22"/>
      <c r="AG3" s="640"/>
      <c r="AH3" s="641"/>
      <c r="AI3" s="641"/>
      <c r="AJ3" s="641"/>
      <c r="AK3" s="641"/>
      <c r="AL3" s="641"/>
      <c r="AM3" s="641"/>
      <c r="AN3" s="641"/>
      <c r="AO3" s="641"/>
      <c r="AP3" s="641"/>
      <c r="AQ3" s="641"/>
      <c r="AR3" s="641"/>
      <c r="AS3" s="641"/>
      <c r="AT3" s="641"/>
      <c r="AU3" s="641"/>
      <c r="AV3" s="641"/>
      <c r="AW3" s="641"/>
      <c r="AX3" s="641"/>
      <c r="AY3" s="641"/>
      <c r="AZ3" s="641"/>
      <c r="BA3" s="641"/>
    </row>
    <row r="4">
      <c r="A4" s="642"/>
      <c r="B4" s="643" t="s">
        <v>252</v>
      </c>
      <c r="C4" s="643" t="s">
        <v>254</v>
      </c>
      <c r="D4" s="644" t="s">
        <v>375</v>
      </c>
      <c r="E4" s="645" t="s">
        <v>376</v>
      </c>
      <c r="F4" s="645" t="s">
        <v>377</v>
      </c>
      <c r="G4" s="645" t="s">
        <v>378</v>
      </c>
      <c r="H4" s="646" t="s">
        <v>379</v>
      </c>
      <c r="I4" s="646" t="s">
        <v>380</v>
      </c>
      <c r="J4" s="646" t="s">
        <v>381</v>
      </c>
      <c r="K4" s="646" t="s">
        <v>382</v>
      </c>
      <c r="L4" s="646" t="s">
        <v>383</v>
      </c>
      <c r="M4" s="646" t="s">
        <v>384</v>
      </c>
      <c r="N4" s="646" t="s">
        <v>385</v>
      </c>
      <c r="O4" s="646" t="s">
        <v>386</v>
      </c>
      <c r="P4" s="646" t="s">
        <v>387</v>
      </c>
      <c r="Q4" s="646" t="s">
        <v>388</v>
      </c>
      <c r="R4" s="646" t="s">
        <v>389</v>
      </c>
      <c r="S4" s="647" t="s">
        <v>35</v>
      </c>
      <c r="T4" s="647" t="s">
        <v>390</v>
      </c>
      <c r="U4" s="646" t="s">
        <v>391</v>
      </c>
      <c r="V4" s="646" t="s">
        <v>392</v>
      </c>
      <c r="W4" s="644" t="s">
        <v>393</v>
      </c>
      <c r="X4" s="644" t="s">
        <v>394</v>
      </c>
      <c r="Y4" s="647" t="s">
        <v>395</v>
      </c>
      <c r="Z4" s="645" t="s">
        <v>396</v>
      </c>
      <c r="AA4" s="647" t="s">
        <v>397</v>
      </c>
      <c r="AB4" s="648" t="s">
        <v>398</v>
      </c>
      <c r="AC4" s="648" t="s">
        <v>399</v>
      </c>
      <c r="AD4" s="648" t="s">
        <v>400</v>
      </c>
      <c r="AE4" s="648" t="s">
        <v>401</v>
      </c>
      <c r="AF4" s="648" t="s">
        <v>98</v>
      </c>
      <c r="AG4" s="649" t="s">
        <v>402</v>
      </c>
      <c r="AH4" s="650"/>
      <c r="AI4" s="651"/>
      <c r="AJ4" s="651"/>
      <c r="AK4" s="651"/>
      <c r="AL4" s="651"/>
      <c r="AM4" s="651"/>
      <c r="AN4" s="651"/>
      <c r="AO4" s="651"/>
      <c r="AP4" s="651"/>
      <c r="AQ4" s="651"/>
      <c r="AR4" s="651"/>
      <c r="AS4" s="651"/>
      <c r="AT4" s="651"/>
      <c r="AU4" s="651"/>
      <c r="AV4" s="651"/>
      <c r="AW4" s="651"/>
      <c r="AX4" s="651"/>
      <c r="AY4" s="651"/>
      <c r="AZ4" s="651"/>
      <c r="BA4" s="651"/>
    </row>
    <row r="5">
      <c r="A5" s="184"/>
      <c r="B5" s="184"/>
      <c r="C5" s="184"/>
      <c r="D5" s="184"/>
      <c r="E5" s="184"/>
      <c r="F5" s="184" t="str">
        <f>+General!G6</f>
        <v>MÉDICO</v>
      </c>
      <c r="G5" s="184"/>
      <c r="H5" s="184" t="str">
        <f>+General!B10</f>
        <v>COVID</v>
      </c>
      <c r="I5" s="652">
        <f>+General!H22</f>
        <v>44213</v>
      </c>
      <c r="J5" s="184" t="str">
        <f>+General!F10</f>
        <v/>
      </c>
      <c r="K5" s="184" t="str">
        <f>+General!B11</f>
        <v/>
      </c>
      <c r="L5" s="184" t="str">
        <f>+General!F11</f>
        <v/>
      </c>
      <c r="M5" s="609">
        <f>+General!H27</f>
        <v>3</v>
      </c>
      <c r="N5" s="609">
        <f>+General!J27</f>
        <v>2</v>
      </c>
      <c r="O5" s="184"/>
      <c r="P5" s="184"/>
      <c r="Q5" s="653">
        <f>+General!J25</f>
        <v>0</v>
      </c>
      <c r="R5" s="653">
        <f>+General!H25</f>
        <v>0</v>
      </c>
      <c r="S5" s="654" t="str">
        <f>+General!D20</f>
        <v/>
      </c>
      <c r="T5" s="184" t="str">
        <f>+General!B23</f>
        <v/>
      </c>
      <c r="U5" s="653">
        <f>+General!D25</f>
        <v>2</v>
      </c>
      <c r="V5" s="654" t="str">
        <f>+General!D19</f>
        <v/>
      </c>
      <c r="W5" s="653">
        <f>+General!F25</f>
        <v>0</v>
      </c>
      <c r="X5" s="184"/>
      <c r="Y5" s="184"/>
      <c r="Z5" s="655">
        <f>+General!D38</f>
        <v>44222</v>
      </c>
      <c r="AA5" s="184"/>
      <c r="AB5" s="184" t="str">
        <f>+General!J38</f>
        <v>Muerto</v>
      </c>
      <c r="AC5" s="184"/>
      <c r="AD5" s="184"/>
      <c r="AE5" s="184"/>
      <c r="AF5" s="184" t="str">
        <f>+General!B38</f>
        <v>MUERTO</v>
      </c>
      <c r="AG5" s="184"/>
      <c r="AH5" s="184"/>
      <c r="AI5" s="184"/>
      <c r="AJ5" s="184"/>
      <c r="AK5" s="184"/>
      <c r="AL5" s="184"/>
      <c r="AM5" s="184"/>
      <c r="AN5" s="184"/>
      <c r="AO5" s="184"/>
      <c r="AP5" s="184"/>
      <c r="AQ5" s="184"/>
      <c r="AR5" s="184"/>
      <c r="AS5" s="184"/>
      <c r="AT5" s="184"/>
      <c r="AU5" s="184"/>
      <c r="AV5" s="184"/>
      <c r="AW5" s="184"/>
      <c r="AX5" s="184"/>
      <c r="AY5" s="184"/>
      <c r="AZ5" s="184"/>
      <c r="BA5" s="184"/>
    </row>
    <row r="6">
      <c r="A6" s="184"/>
      <c r="B6" s="184"/>
      <c r="C6" s="184"/>
      <c r="D6" s="184"/>
      <c r="E6" s="184"/>
      <c r="F6" s="184"/>
      <c r="G6" s="184"/>
      <c r="H6" s="184"/>
      <c r="I6" s="184"/>
      <c r="J6" s="184"/>
      <c r="K6" s="184"/>
      <c r="L6" s="184"/>
      <c r="M6" s="184"/>
      <c r="N6" s="184"/>
      <c r="O6" s="184"/>
      <c r="P6" s="184"/>
      <c r="Q6" s="184"/>
      <c r="R6" s="184"/>
      <c r="S6" s="654" t="str">
        <f>+General!F20</f>
        <v/>
      </c>
      <c r="T6" s="655" t="str">
        <f>+General!C35</f>
        <v/>
      </c>
      <c r="U6" s="184"/>
      <c r="V6" s="654" t="str">
        <f>+General!F19</f>
        <v/>
      </c>
      <c r="W6" s="184"/>
      <c r="X6" s="184"/>
      <c r="Y6" s="184"/>
      <c r="Z6" s="184"/>
      <c r="AA6" s="184"/>
      <c r="AB6" s="184"/>
      <c r="AC6" s="184"/>
      <c r="AD6" s="184"/>
      <c r="AE6" s="184"/>
      <c r="AF6" s="184"/>
      <c r="AG6" s="184"/>
      <c r="AH6" s="184"/>
      <c r="AI6" s="184"/>
      <c r="AJ6" s="184"/>
      <c r="AK6" s="184"/>
      <c r="AL6" s="184"/>
      <c r="AM6" s="184"/>
      <c r="AN6" s="184"/>
      <c r="AO6" s="184"/>
      <c r="AP6" s="184"/>
      <c r="AQ6" s="184"/>
      <c r="AR6" s="184"/>
      <c r="AS6" s="184"/>
      <c r="AT6" s="184"/>
      <c r="AU6" s="184"/>
      <c r="AV6" s="184"/>
      <c r="AW6" s="184"/>
      <c r="AX6" s="184"/>
      <c r="AY6" s="184"/>
      <c r="AZ6" s="184"/>
      <c r="BA6" s="184"/>
    </row>
    <row r="7">
      <c r="A7" s="184"/>
      <c r="B7" s="184"/>
      <c r="C7" s="184"/>
      <c r="D7" s="184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654" t="str">
        <f>+General!D31</f>
        <v/>
      </c>
      <c r="T7" s="654" t="str">
        <f>+General!E36</f>
        <v/>
      </c>
      <c r="U7" s="184"/>
      <c r="V7" s="656" t="str">
        <f>+General!D32</f>
        <v/>
      </c>
      <c r="W7" s="184"/>
      <c r="X7" s="184"/>
      <c r="Y7" s="184"/>
      <c r="Z7" s="184"/>
      <c r="AA7" s="184"/>
      <c r="AB7" s="184"/>
      <c r="AC7" s="184"/>
      <c r="AD7" s="184"/>
      <c r="AE7" s="184"/>
      <c r="AF7" s="184"/>
      <c r="AG7" s="184"/>
      <c r="AH7" s="184"/>
      <c r="AI7" s="184"/>
      <c r="AJ7" s="184"/>
      <c r="AK7" s="184"/>
      <c r="AL7" s="184"/>
      <c r="AM7" s="184"/>
      <c r="AN7" s="184"/>
      <c r="AO7" s="184"/>
      <c r="AP7" s="184"/>
      <c r="AQ7" s="184"/>
      <c r="AR7" s="184"/>
      <c r="AS7" s="184"/>
      <c r="AT7" s="184"/>
      <c r="AU7" s="184"/>
      <c r="AV7" s="184"/>
      <c r="AW7" s="184"/>
      <c r="AX7" s="184"/>
      <c r="AY7" s="184"/>
      <c r="AZ7" s="184"/>
      <c r="BA7" s="184"/>
    </row>
    <row r="8">
      <c r="A8" s="184"/>
      <c r="B8" s="184"/>
      <c r="C8" s="184"/>
      <c r="D8" s="184"/>
      <c r="E8" s="184"/>
      <c r="F8" s="184"/>
      <c r="G8" s="184"/>
      <c r="H8" s="184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654" t="str">
        <f>+General!F31</f>
        <v/>
      </c>
      <c r="T8" s="184"/>
      <c r="U8" s="184"/>
      <c r="V8" s="656" t="str">
        <f>+General!F32</f>
        <v/>
      </c>
      <c r="W8" s="184"/>
      <c r="X8" s="184"/>
      <c r="Y8" s="184"/>
      <c r="Z8" s="184"/>
      <c r="AA8" s="184"/>
      <c r="AB8" s="184"/>
      <c r="AC8" s="184"/>
      <c r="AD8" s="184"/>
      <c r="AE8" s="184"/>
      <c r="AF8" s="184"/>
      <c r="AG8" s="184"/>
      <c r="AH8" s="184"/>
      <c r="AI8" s="184"/>
      <c r="AJ8" s="184"/>
      <c r="AK8" s="184"/>
      <c r="AL8" s="184"/>
      <c r="AM8" s="184"/>
      <c r="AN8" s="184"/>
      <c r="AO8" s="184"/>
      <c r="AP8" s="184"/>
      <c r="AQ8" s="184"/>
      <c r="AR8" s="184"/>
      <c r="AS8" s="184"/>
      <c r="AT8" s="184"/>
      <c r="AU8" s="184"/>
      <c r="AV8" s="184"/>
      <c r="AW8" s="184"/>
      <c r="AX8" s="184"/>
      <c r="AY8" s="184"/>
      <c r="AZ8" s="184"/>
      <c r="BA8" s="184"/>
    </row>
    <row r="9">
      <c r="A9" s="184"/>
      <c r="B9" s="184"/>
      <c r="C9" s="184"/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84"/>
      <c r="W9" s="184"/>
      <c r="X9" s="184"/>
      <c r="Y9" s="184"/>
      <c r="Z9" s="184"/>
      <c r="AA9" s="184"/>
      <c r="AB9" s="184"/>
      <c r="AC9" s="184"/>
      <c r="AD9" s="184"/>
      <c r="AE9" s="184"/>
      <c r="AF9" s="184"/>
      <c r="AG9" s="184"/>
      <c r="AH9" s="184"/>
      <c r="AI9" s="184"/>
      <c r="AJ9" s="184"/>
      <c r="AK9" s="184"/>
      <c r="AL9" s="184"/>
      <c r="AM9" s="184"/>
      <c r="AN9" s="184"/>
      <c r="AO9" s="184"/>
      <c r="AP9" s="184"/>
      <c r="AQ9" s="184"/>
      <c r="AR9" s="184"/>
      <c r="AS9" s="184"/>
      <c r="AT9" s="184"/>
      <c r="AU9" s="184"/>
      <c r="AV9" s="184"/>
      <c r="AW9" s="184"/>
      <c r="AX9" s="184"/>
      <c r="AY9" s="184"/>
      <c r="AZ9" s="184"/>
      <c r="BA9" s="184"/>
    </row>
    <row r="10">
      <c r="A10" s="657"/>
      <c r="B10" s="657" t="str">
        <f>+General!B4</f>
        <v>Dario Enrique Figini</v>
      </c>
      <c r="C10" s="657" t="str">
        <f>+General!D5</f>
        <v>Hombre</v>
      </c>
      <c r="D10" s="657">
        <f>+General!B5</f>
        <v>82</v>
      </c>
      <c r="E10" s="658">
        <f>+General!G4</f>
        <v>44212</v>
      </c>
      <c r="F10" s="657" t="str">
        <f>IF(F5="MÉDICO","X","")</f>
        <v>X</v>
      </c>
      <c r="G10" s="657" t="str">
        <f>IF(F5="QUIRÚRGICO","X","")</f>
        <v/>
      </c>
      <c r="H10" s="659" t="s">
        <v>403</v>
      </c>
      <c r="I10" s="657" t="str">
        <f>IF(ISDATE(I5),"X","")</f>
        <v>X</v>
      </c>
      <c r="J10" s="657"/>
      <c r="K10" s="657"/>
      <c r="L10" s="657"/>
      <c r="M10" s="657" t="str">
        <f t="shared" ref="M10:N10" si="1">IF(M5&lt;&gt;"","1","")</f>
        <v>1</v>
      </c>
      <c r="N10" s="657" t="str">
        <f t="shared" si="1"/>
        <v>1</v>
      </c>
      <c r="O10" s="657">
        <f>IFS(AND(M5="",N5=""),"",M5&gt;N5,M5,M5=N5,M5,M5&lt;N5,N5)</f>
        <v>3</v>
      </c>
      <c r="P10" s="657">
        <f>IF(OR(M10&lt;&gt;"",N10&lt;&gt;""),(O10*M10)+(O10*N10),0)</f>
        <v>6</v>
      </c>
      <c r="Q10" s="657">
        <f t="shared" ref="Q10:R10" si="2">IF(Q5="",0,Q5)</f>
        <v>0</v>
      </c>
      <c r="R10" s="657">
        <f t="shared" si="2"/>
        <v>0</v>
      </c>
      <c r="S10" s="657">
        <f>S12+S13</f>
        <v>0</v>
      </c>
      <c r="T10" s="657">
        <f>IFS(AND(T5="",AND(T6="",T7="")),0,AND(T5="SI",T7&lt;&gt;""),T7-E10,AND(T6&lt;&gt;"",T7&lt;&gt;""),T7-T6,AND(AF10="MUERTO",T6&lt;&gt;""),Z10-T6)</f>
        <v>0</v>
      </c>
      <c r="U10" s="657">
        <f>IF(U5="",0,U5)</f>
        <v>2</v>
      </c>
      <c r="V10" s="657">
        <f>V12+V13</f>
        <v>0</v>
      </c>
      <c r="W10" s="657">
        <f>IF(W5="",0,W5)</f>
        <v>0</v>
      </c>
      <c r="X10" s="657">
        <f>SUM(Q10:W10)</f>
        <v>2</v>
      </c>
      <c r="Y10" s="657">
        <f>P10+X10</f>
        <v>8</v>
      </c>
      <c r="Z10" s="660">
        <f>+General!D38</f>
        <v>44222</v>
      </c>
      <c r="AA10" s="657">
        <f>+General!J43</f>
        <v>10</v>
      </c>
      <c r="AB10" s="657" t="str">
        <f>IF(AB5="ALTA K","X","")</f>
        <v/>
      </c>
      <c r="AC10" s="657" t="str">
        <f>IF(AB5="ALTA DOMICILIARIA","X","")</f>
        <v/>
      </c>
      <c r="AD10" s="657" t="str">
        <f>IF(AB5="PISO","X","")</f>
        <v/>
      </c>
      <c r="AE10" s="657" t="str">
        <f>IF(AB5="3º NIVEL","X","")</f>
        <v/>
      </c>
      <c r="AF10" s="657" t="str">
        <f>IF(OR(AB5="Muerto",AF5="Muerto"),"X","")</f>
        <v>X</v>
      </c>
      <c r="AG10" s="657"/>
      <c r="AH10" s="657"/>
      <c r="AI10" s="657"/>
      <c r="AJ10" s="657"/>
      <c r="AK10" s="657"/>
      <c r="AL10" s="657"/>
      <c r="AM10" s="657"/>
      <c r="AN10" s="657"/>
      <c r="AO10" s="657"/>
      <c r="AP10" s="657"/>
      <c r="AQ10" s="657"/>
      <c r="AR10" s="657"/>
      <c r="AS10" s="657"/>
      <c r="AT10" s="657"/>
      <c r="AU10" s="657"/>
      <c r="AV10" s="657"/>
      <c r="AW10" s="657"/>
      <c r="AX10" s="657"/>
      <c r="AY10" s="657"/>
      <c r="AZ10" s="657"/>
      <c r="BA10" s="657"/>
    </row>
    <row r="12">
      <c r="S12" s="184">
        <f>IFS(OR(S5="",S6=""),0,AND(S5=S6),1,AND(S5&lt;&gt;"",S6&lt;&gt;""),S6-S5)</f>
        <v>0</v>
      </c>
      <c r="V12" s="184">
        <f>IFS(OR(V5="",V6=""),0,AND(V5=V6),1,AND(V5&lt;&gt;"",V6&lt;&gt;""),V6-V5)</f>
        <v>0</v>
      </c>
    </row>
    <row r="13">
      <c r="A13" s="661" t="s">
        <v>404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52"/>
      <c r="S13" s="184">
        <f>IFS(OR(S7="",S8=""),0,AND(S7=S8),1,AND(S7&lt;&gt;"",S8&lt;&gt;""),S8-S7)</f>
        <v>0</v>
      </c>
      <c r="V13" s="184">
        <f>IFS(OR(V7="",V8=""),0,AND(V7=V8),1,AND(V7&lt;&gt;"",V8&lt;&gt;""),V8-V7)</f>
        <v>0</v>
      </c>
    </row>
    <row r="14">
      <c r="A14" s="292"/>
      <c r="O14" s="7"/>
    </row>
    <row r="15">
      <c r="A15" s="292"/>
      <c r="O15" s="7"/>
    </row>
    <row r="16">
      <c r="A16" s="307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60"/>
    </row>
  </sheetData>
  <mergeCells count="8">
    <mergeCell ref="A1:AG2"/>
    <mergeCell ref="B3:E3"/>
    <mergeCell ref="F3:G3"/>
    <mergeCell ref="H3:L3"/>
    <mergeCell ref="M3:Y3"/>
    <mergeCell ref="Z3:AA3"/>
    <mergeCell ref="AB3:AF3"/>
    <mergeCell ref="A13:O16"/>
  </mergeCells>
  <drawing r:id="rId1"/>
</worksheet>
</file>