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<sst xmlns="http://schemas.openxmlformats.org/spreadsheetml/2006/main" count="554" uniqueCount="409">
  <si>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</si>
  <si>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</si>
  <si>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</si>
  <si>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</si>
  <si>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</si>
  <si>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</si>
  <si>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</si>
  <si>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Arrieta Ruben Dario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</si>
  <si>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</si>
  <si>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</si>
  <si>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</si>
  <si>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</si>
  <si>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</si>
  <si>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</si>
  <si>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</si>
  <si>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</si>
  <si>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</si>
  <si>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</si>
  <si>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</si>
  <si>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</si>
  <si>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</si>
  <si>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DBT</t>
  </si>
  <si>
    <t>PSIQUIATRICOS</t>
  </si>
  <si>
    <t>Motivo de ingreso:</t>
  </si>
  <si>
    <t>COVID</t>
  </si>
  <si>
    <t>Antecedentes de enfermedad actual:</t>
  </si>
  <si>
    <t>Estudios complementarios:</t>
  </si>
  <si>
    <t>4/02 TAC Tx: infiltrados parcheados, en vidrio esmerilado, bilateral, con predilección periférica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</si>
  <si>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</si>
  <si>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</si>
  <si>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</si>
  <si>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</si>
  <si>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</si>
  <si>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</si>
  <si>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</si>
  <si>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</si>
  <si>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</si>
  <si>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</si>
  <si>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</si>
  <si>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</si>
  <si>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</si>
  <si>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</si>
  <si>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</si>
  <si>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</si>
  <si>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</si>
  <si>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</si>
  <si>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</si>
  <si>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</si>
  <si>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</si>
  <si>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</si>
  <si>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</si>
  <si>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</si>
  <si>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</si>
  <si>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</si>
  <si>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</si>
  <si>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</si>
  <si>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</si>
  <si>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</si>
  <si>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</si>
  <si>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</si>
  <si>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</si>
  <si>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</si>
  <si>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</si>
  <si>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</si>
  <si>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</si>
  <si>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</si>
  <si>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Prolongado</t>
  </si>
  <si>
    <t>WIND</t>
  </si>
  <si>
    <t>Destete prolongado no exitoso</t>
  </si>
  <si>
    <t>Fecha EOT:</t>
  </si>
  <si>
    <t>Tipo EOT:</t>
  </si>
  <si>
    <t>Deseada</t>
  </si>
  <si>
    <t>Falla EOT:</t>
  </si>
  <si>
    <t>SI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</si>
  <si>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</si>
  <si>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</si>
  <si>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</si>
  <si>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</si>
  <si>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</si>
  <si>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</si>
  <si>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</si>
  <si>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</si>
  <si>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</si>
  <si>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</si>
  <si>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</si>
  <si>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</si>
  <si>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</si>
  <si>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</si>
  <si>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</si>
  <si>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</si>
  <si>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</si>
  <si>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</si>
  <si>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</si>
  <si>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</si>
  <si>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</si>
  <si>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</si>
  <si>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</si>
  <si>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</si>
  <si>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</si>
  <si>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</si>
  <si>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</si>
  <si>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</si>
  <si>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</si>
  <si>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</si>
  <si>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</si>
  <si>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</si>
  <si>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>Complicaciones</t>
  </si>
  <si>
    <t>PAFI&lt;200</t>
  </si>
  <si>
    <t>SDRA</t>
  </si>
  <si>
    <t>SHOCK/SEPSIS</t>
  </si>
  <si>
    <t>DAUCI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</si>
  <si>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</si>
  <si>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</si>
  <si>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</si>
  <si>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</si>
  <si>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</si>
  <si>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</si>
  <si>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</si>
  <si>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</si>
  <si>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</si>
  <si>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</si>
  <si>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</si>
  <si>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</si>
  <si>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</si>
  <si>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</si>
  <si>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</si>
  <si>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</si>
  <si>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</si>
  <si>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</si>
  <si>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</si>
  <si>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</si>
  <si>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</si>
  <si>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</si>
  <si>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</si>
  <si>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-3/+1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</si>
  <si>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</si>
  <si>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</si>
  <si>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</si>
  <si>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</si>
  <si>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QTP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</si>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</sst>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sz val="8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0" fillId="0" fontId="3" numFmtId="0" xfId="0" applyFont="1"/>
    <xf borderId="3" fillId="0" fontId="3" numFmtId="0" xfId="0" applyBorder="1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5" fillId="2" fontId="19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9" numFmtId="0" xfId="0" applyAlignment="1" applyBorder="1" applyFont="1">
      <alignment readingOrder="0"/>
    </xf>
    <xf borderId="15" fillId="0" fontId="19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9" numFmtId="0" xfId="0" applyAlignment="1" applyBorder="1" applyFont="1">
      <alignment readingOrder="0"/>
    </xf>
    <xf borderId="29" fillId="2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9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16" fillId="0" fontId="20" numFmtId="0" xfId="0" applyAlignment="1" applyBorder="1" applyFont="1">
      <alignment readingOrder="0"/>
    </xf>
    <xf borderId="30" fillId="2" fontId="2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9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2" fontId="22" numFmtId="0" xfId="0" applyAlignment="1" applyBorder="1" applyFont="1">
      <alignment readingOrder="0"/>
    </xf>
    <xf borderId="12" fillId="0" fontId="22" numFmtId="0" xfId="0" applyBorder="1" applyFont="1"/>
    <xf borderId="35" fillId="0" fontId="2" numFmtId="0" xfId="0" applyBorder="1" applyFont="1"/>
    <xf borderId="36" fillId="2" fontId="19" numFmtId="0" xfId="0" applyAlignment="1" applyBorder="1" applyFont="1">
      <alignment horizontal="left" readingOrder="0" vertical="center"/>
    </xf>
    <xf borderId="15" fillId="0" fontId="23" numFmtId="0" xfId="0" applyAlignment="1" applyBorder="1" applyFont="1">
      <alignment horizontal="center" readingOrder="0" vertical="center"/>
    </xf>
    <xf borderId="16" fillId="2" fontId="22" numFmtId="0" xfId="0" applyAlignment="1" applyBorder="1" applyFont="1">
      <alignment horizontal="center" readingOrder="0" vertical="center"/>
    </xf>
    <xf borderId="21" fillId="0" fontId="18" numFmtId="164" xfId="0" applyAlignment="1" applyBorder="1" applyFont="1" applyNumberFormat="1">
      <alignment horizontal="center" readingOrder="0" vertical="center"/>
    </xf>
    <xf borderId="21" fillId="2" fontId="22" numFmtId="0" xfId="0" applyAlignment="1" applyBorder="1" applyFont="1">
      <alignment horizontal="center" readingOrder="0" vertical="center"/>
    </xf>
    <xf borderId="15" fillId="2" fontId="2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2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2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2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2" numFmtId="0" xfId="0" applyBorder="1" applyFont="1"/>
    <xf borderId="0" fillId="2" fontId="22" numFmtId="0" xfId="0" applyAlignment="1" applyFont="1">
      <alignment readingOrder="0"/>
    </xf>
    <xf borderId="12" fillId="2" fontId="22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20" numFmtId="164" xfId="0" applyAlignment="1" applyFont="1" applyNumberFormat="1">
      <alignment readingOrder="0"/>
    </xf>
    <xf borderId="37" fillId="2" fontId="22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2" numFmtId="0" xfId="0" applyBorder="1" applyFont="1"/>
    <xf borderId="16" fillId="0" fontId="17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17" numFmtId="0" xfId="0" applyAlignment="1" applyBorder="1" applyFont="1">
      <alignment readingOrder="0"/>
    </xf>
    <xf borderId="38" fillId="4" fontId="18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2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2" numFmtId="0" xfId="0" applyAlignment="1" applyBorder="1" applyFont="1">
      <alignment readingOrder="0"/>
    </xf>
    <xf borderId="33" fillId="3" fontId="22" numFmtId="0" xfId="0" applyAlignment="1" applyBorder="1" applyFont="1">
      <alignment horizontal="left" readingOrder="0"/>
    </xf>
    <xf borderId="31" fillId="2" fontId="22" numFmtId="0" xfId="0" applyAlignment="1" applyBorder="1" applyFont="1">
      <alignment readingOrder="0"/>
    </xf>
    <xf borderId="15" fillId="0" fontId="13" numFmtId="0" xfId="0" applyBorder="1" applyFont="1"/>
    <xf borderId="25" fillId="2" fontId="22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2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44" fillId="4" fontId="18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2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2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2" numFmtId="0" xfId="0" applyAlignment="1" applyBorder="1" applyFont="1">
      <alignment readingOrder="0"/>
    </xf>
    <xf borderId="21" fillId="2" fontId="22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2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2" numFmtId="0" xfId="0" applyAlignment="1" applyBorder="1" applyFont="1">
      <alignment readingOrder="0" vertical="center"/>
    </xf>
    <xf borderId="5" fillId="0" fontId="17" numFmtId="0" xfId="0" applyAlignment="1" applyBorder="1" applyFont="1">
      <alignment horizontal="center" readingOrder="0" vertical="center"/>
    </xf>
    <xf borderId="10" fillId="0" fontId="17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17" numFmtId="0" xfId="0" applyAlignment="1" applyBorder="1" applyFont="1">
      <alignment horizontal="center" readingOrder="0" vertical="center"/>
    </xf>
    <xf borderId="24" fillId="0" fontId="17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17" numFmtId="0" xfId="0" applyAlignment="1" applyFont="1">
      <alignment horizontal="center" readingOrder="0" vertical="center"/>
    </xf>
    <xf borderId="20" fillId="0" fontId="17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38" fillId="0" fontId="3" numFmtId="166" xfId="0" applyAlignment="1" applyBorder="1" applyFont="1" applyNumberFormat="1">
      <alignment horizontal="center" readingOrder="0" vertical="bottom"/>
    </xf>
    <xf borderId="15" fillId="7" fontId="3" numFmtId="166" xfId="0" applyAlignment="1" applyBorder="1" applyFill="1" applyFont="1" applyNumberFormat="1">
      <alignment horizontal="center" vertical="bottom"/>
    </xf>
    <xf borderId="40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5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5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5" fillId="7" fontId="5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5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5" fillId="7" fontId="5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5" fillId="7" fontId="5" numFmtId="0" xfId="0" applyAlignment="1" applyBorder="1" applyFont="1">
      <alignment horizontal="center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5" fillId="7" fontId="3" numFmtId="2" xfId="0" applyAlignment="1" applyBorder="1" applyFont="1" applyNumberFormat="1">
      <alignment horizontal="center" vertical="bottom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15" fillId="7" fontId="3" numFmtId="168" xfId="0" applyAlignment="1" applyBorder="1" applyFont="1" applyNumberFormat="1">
      <alignment horizontal="center" vertical="bottom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5" fillId="7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17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17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17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17" numFmtId="0" xfId="0" applyAlignment="1" applyBorder="1" applyFont="1">
      <alignment horizontal="center" shrinkToFit="0" vertical="center" wrapText="1"/>
    </xf>
    <xf borderId="76" fillId="14" fontId="17" numFmtId="0" xfId="0" applyAlignment="1" applyBorder="1" applyFont="1">
      <alignment horizontal="center" shrinkToFit="0" vertical="center" wrapText="1"/>
    </xf>
    <xf borderId="76" fillId="14" fontId="17" numFmtId="0" xfId="0" applyAlignment="1" applyBorder="1" applyFont="1">
      <alignment horizontal="center" readingOrder="0" shrinkToFit="0" vertical="center" wrapText="1"/>
    </xf>
    <xf borderId="73" fillId="14" fontId="17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1.0</v>
      </c>
      <c r="C3" s="10" t="s">
        <v>3</v>
      </c>
      <c r="D3" s="11">
        <v>165610.0</v>
      </c>
      <c r="E3" s="12" t="s">
        <v>4</v>
      </c>
      <c r="F3" s="13"/>
      <c r="G3" s="14">
        <v>44231.0</v>
      </c>
      <c r="H3" s="15" t="s">
        <v>5</v>
      </c>
      <c r="I3" s="16">
        <v>3.0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44235.0</v>
      </c>
      <c r="H4" s="25" t="s">
        <v>9</v>
      </c>
      <c r="I4" s="26">
        <v>14.0</v>
      </c>
      <c r="J4" s="27">
        <v>18.6</v>
      </c>
      <c r="K4" s="18"/>
      <c r="L4" s="28"/>
    </row>
    <row r="5">
      <c r="A5" s="29" t="s">
        <v>10</v>
      </c>
      <c r="B5" s="30">
        <v>58.0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30.0</v>
      </c>
      <c r="J5" s="27">
        <v>10.6</v>
      </c>
      <c r="K5" s="18"/>
      <c r="L5" s="28"/>
    </row>
    <row r="6">
      <c r="A6" s="37" t="s">
        <v>15</v>
      </c>
      <c r="B6" s="38">
        <v>175.0</v>
      </c>
      <c r="C6" s="39" t="s">
        <v>16</v>
      </c>
      <c r="D6" s="40">
        <f>IFS(D5="Mujer",((B6-152.4)*0.91)+45.5,D5="Hombre",((B6-152.4)*0.91)+50,D5="","")</f>
        <v>70.566</v>
      </c>
      <c r="E6" s="41" t="s">
        <v>17</v>
      </c>
      <c r="F6" s="42"/>
      <c r="G6" s="43" t="s">
        <v>18</v>
      </c>
      <c r="H6" s="42"/>
      <c r="I6" s="44" t="s">
        <v>19</v>
      </c>
      <c r="J6" s="45">
        <v>2.0</v>
      </c>
      <c r="K6" s="18"/>
      <c r="L6" s="28"/>
    </row>
    <row r="7">
      <c r="A7" s="46" t="s">
        <v>20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 t="s">
        <v>21</v>
      </c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 t="s">
        <v>22</v>
      </c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 t="s">
        <v>27</v>
      </c>
      <c r="D15" s="57"/>
      <c r="E15" s="57"/>
      <c r="F15" s="57"/>
      <c r="G15" s="57"/>
      <c r="H15" s="57"/>
      <c r="I15" s="57"/>
      <c r="J15" s="58"/>
    </row>
    <row r="16">
      <c r="A16" s="53"/>
      <c r="J16" s="7"/>
    </row>
    <row r="17">
      <c r="A17" s="59"/>
      <c r="B17" s="60"/>
      <c r="C17" s="60"/>
      <c r="D17" s="60"/>
      <c r="E17" s="60"/>
      <c r="F17" s="60"/>
      <c r="G17" s="60"/>
      <c r="H17" s="60"/>
      <c r="I17" s="60"/>
      <c r="J17" s="61"/>
    </row>
    <row r="18" ht="18.0" customHeight="1">
      <c r="A18" s="62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3" t="s">
        <v>29</v>
      </c>
      <c r="B19" s="64"/>
      <c r="C19" s="65" t="s">
        <v>30</v>
      </c>
      <c r="D19" s="66"/>
      <c r="E19" s="63" t="s">
        <v>31</v>
      </c>
      <c r="F19" s="66"/>
      <c r="G19" s="63" t="s">
        <v>32</v>
      </c>
      <c r="H19" s="67"/>
      <c r="I19" s="63" t="s">
        <v>33</v>
      </c>
      <c r="J19" s="68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ht="15.75" customHeight="1">
      <c r="A20" s="69" t="s">
        <v>34</v>
      </c>
      <c r="B20" s="70"/>
      <c r="C20" s="71" t="s">
        <v>30</v>
      </c>
      <c r="D20" s="66"/>
      <c r="E20" s="72" t="s">
        <v>31</v>
      </c>
      <c r="F20" s="66"/>
      <c r="G20" s="72" t="s">
        <v>32</v>
      </c>
      <c r="H20" s="73"/>
      <c r="I20" s="72" t="s">
        <v>33</v>
      </c>
      <c r="J20" s="74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ht="19.5" customHeight="1">
      <c r="A21" s="62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3" t="s">
        <v>36</v>
      </c>
      <c r="B22" s="75">
        <v>44236.0</v>
      </c>
      <c r="C22" s="76" t="s">
        <v>37</v>
      </c>
      <c r="D22" s="77">
        <v>8.0</v>
      </c>
      <c r="E22" s="76" t="s">
        <v>38</v>
      </c>
      <c r="F22" s="32">
        <v>24.0</v>
      </c>
      <c r="G22" s="76" t="s">
        <v>39</v>
      </c>
      <c r="H22" s="75">
        <v>44236.0</v>
      </c>
      <c r="I22" s="78" t="s">
        <v>40</v>
      </c>
      <c r="J22" s="79">
        <v>44280.0</v>
      </c>
      <c r="K22" s="80"/>
      <c r="M22" s="80"/>
    </row>
    <row r="23" ht="15.75" customHeight="1">
      <c r="A23" s="72" t="s">
        <v>41</v>
      </c>
      <c r="B23" s="81"/>
      <c r="C23" s="82" t="s">
        <v>42</v>
      </c>
      <c r="D23" s="81"/>
      <c r="E23" s="83" t="s">
        <v>43</v>
      </c>
      <c r="F23" s="84"/>
      <c r="G23" s="85" t="s">
        <v>44</v>
      </c>
      <c r="H23" s="86"/>
      <c r="I23" s="87" t="s">
        <v>45</v>
      </c>
      <c r="J23" s="88"/>
      <c r="K23" s="80"/>
      <c r="L23" s="80"/>
      <c r="M23" s="80"/>
      <c r="N23" s="80"/>
      <c r="O23" s="80"/>
    </row>
    <row r="24" ht="20.25" customHeight="1">
      <c r="A24" s="62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80"/>
      <c r="L24" s="80"/>
      <c r="M24" s="80"/>
      <c r="N24" s="80"/>
      <c r="O24" s="80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ht="16.5" customHeight="1">
      <c r="A25" s="63" t="s">
        <v>47</v>
      </c>
      <c r="B25" s="77" t="s">
        <v>48</v>
      </c>
      <c r="C25" s="63" t="s">
        <v>49</v>
      </c>
      <c r="D25" s="77">
        <v>1.0</v>
      </c>
      <c r="E25" s="63" t="s">
        <v>50</v>
      </c>
      <c r="F25" s="77">
        <v>0.0</v>
      </c>
      <c r="G25" s="89" t="s">
        <v>51</v>
      </c>
      <c r="H25" s="77"/>
      <c r="I25" s="89" t="s">
        <v>52</v>
      </c>
      <c r="J25" s="90">
        <v>0.0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6.5" customHeight="1">
      <c r="A26" s="63" t="s">
        <v>53</v>
      </c>
      <c r="B26" s="77"/>
      <c r="C26" s="91" t="s">
        <v>54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55</v>
      </c>
      <c r="B27" s="95"/>
      <c r="C27" s="96" t="s">
        <v>56</v>
      </c>
      <c r="D27" s="97"/>
      <c r="E27" s="98" t="s">
        <v>57</v>
      </c>
      <c r="F27" s="97"/>
      <c r="G27" s="99" t="s">
        <v>58</v>
      </c>
      <c r="H27" s="100">
        <v>3.0</v>
      </c>
      <c r="I27" s="91" t="s">
        <v>59</v>
      </c>
      <c r="J27" s="101">
        <v>2.0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ht="19.5" customHeight="1">
      <c r="A28" s="62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ht="19.5" customHeight="1">
      <c r="A29" s="102" t="s">
        <v>61</v>
      </c>
      <c r="B29" s="103">
        <v>44244.0</v>
      </c>
      <c r="C29" s="76" t="s">
        <v>62</v>
      </c>
      <c r="D29" s="32" t="s">
        <v>63</v>
      </c>
      <c r="E29" s="76" t="s">
        <v>64</v>
      </c>
      <c r="F29" s="32">
        <v>60.0</v>
      </c>
      <c r="G29" s="104" t="s">
        <v>65</v>
      </c>
      <c r="H29" s="105" t="s">
        <v>66</v>
      </c>
      <c r="I29" s="106" t="s">
        <v>67</v>
      </c>
      <c r="J29" s="107" t="s">
        <v>68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ht="17.25" customHeight="1">
      <c r="A30" s="108" t="s">
        <v>69</v>
      </c>
      <c r="B30" s="103">
        <v>44246.0</v>
      </c>
      <c r="C30" s="91" t="s">
        <v>70</v>
      </c>
      <c r="D30" s="77" t="s">
        <v>71</v>
      </c>
      <c r="E30" s="109" t="s">
        <v>72</v>
      </c>
      <c r="F30" s="73" t="s">
        <v>73</v>
      </c>
      <c r="G30" s="110" t="s">
        <v>74</v>
      </c>
      <c r="H30" s="22"/>
      <c r="I30" s="32">
        <v>48.0</v>
      </c>
      <c r="J30" s="11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ht="17.25" customHeight="1">
      <c r="A31" s="108" t="s">
        <v>75</v>
      </c>
      <c r="B31" s="112"/>
      <c r="C31" s="91" t="s">
        <v>76</v>
      </c>
      <c r="D31" s="66"/>
      <c r="E31" s="91" t="s">
        <v>77</v>
      </c>
      <c r="F31" s="113"/>
      <c r="G31" s="114" t="s">
        <v>78</v>
      </c>
      <c r="H31" s="32"/>
      <c r="I31" s="76" t="s">
        <v>79</v>
      </c>
      <c r="J31" s="115"/>
      <c r="K31" s="4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ht="18.75" customHeight="1">
      <c r="A32" s="108" t="s">
        <v>80</v>
      </c>
      <c r="B32" s="30"/>
      <c r="C32" s="63" t="s">
        <v>76</v>
      </c>
      <c r="D32" s="116"/>
      <c r="E32" s="63" t="s">
        <v>77</v>
      </c>
      <c r="F32" s="116"/>
      <c r="G32" s="91" t="s">
        <v>78</v>
      </c>
      <c r="H32" s="30"/>
      <c r="I32" s="76" t="s">
        <v>81</v>
      </c>
      <c r="J32" s="117"/>
    </row>
    <row r="33" ht="15.75" customHeight="1">
      <c r="A33" s="118" t="s">
        <v>82</v>
      </c>
      <c r="B33" s="84" t="s">
        <v>73</v>
      </c>
      <c r="C33" s="104" t="s">
        <v>47</v>
      </c>
      <c r="D33" s="119" t="s">
        <v>83</v>
      </c>
      <c r="E33" s="85" t="s">
        <v>84</v>
      </c>
      <c r="F33" s="120" t="s">
        <v>85</v>
      </c>
      <c r="G33" s="121"/>
      <c r="H33" s="122" t="s">
        <v>86</v>
      </c>
      <c r="I33" s="70"/>
      <c r="J33" s="123"/>
    </row>
    <row r="34" ht="21.0" customHeight="1">
      <c r="A34" s="124" t="s">
        <v>87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ht="15.75" customHeight="1">
      <c r="A35" s="127" t="s">
        <v>88</v>
      </c>
      <c r="B35" s="128"/>
      <c r="C35" s="129">
        <v>44258.0</v>
      </c>
      <c r="D35" s="130" t="s">
        <v>89</v>
      </c>
      <c r="E35" s="131" t="s">
        <v>90</v>
      </c>
      <c r="F35" s="132" t="s">
        <v>91</v>
      </c>
      <c r="G35" s="128"/>
      <c r="H35" s="133"/>
      <c r="I35" s="89" t="s">
        <v>92</v>
      </c>
      <c r="J35" s="115"/>
    </row>
    <row r="36" ht="15.75" customHeight="1">
      <c r="A36" s="134" t="s">
        <v>93</v>
      </c>
      <c r="C36" s="135" t="s">
        <v>94</v>
      </c>
      <c r="D36" s="136" t="s">
        <v>95</v>
      </c>
      <c r="E36" s="137"/>
      <c r="F36" s="138" t="s">
        <v>96</v>
      </c>
      <c r="G36" s="139"/>
      <c r="H36" s="140"/>
      <c r="I36" s="140"/>
      <c r="J36" s="58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ht="18.0" customHeight="1">
      <c r="A37" s="141" t="s">
        <v>97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98</v>
      </c>
      <c r="B38" s="146" t="s">
        <v>99</v>
      </c>
      <c r="C38" s="130" t="s">
        <v>100</v>
      </c>
      <c r="D38" s="129">
        <v>44280.0</v>
      </c>
      <c r="E38" s="147"/>
      <c r="F38" s="148" t="s">
        <v>101</v>
      </c>
      <c r="G38" s="128"/>
      <c r="H38" s="146" t="s">
        <v>73</v>
      </c>
      <c r="I38" s="149" t="s">
        <v>102</v>
      </c>
      <c r="J38" s="150" t="s">
        <v>103</v>
      </c>
      <c r="L38" s="144"/>
    </row>
    <row r="39" ht="18.0" customHeight="1">
      <c r="A39" s="151" t="s">
        <v>104</v>
      </c>
      <c r="B39" s="135" t="s">
        <v>94</v>
      </c>
      <c r="C39" s="152" t="s">
        <v>100</v>
      </c>
      <c r="D39" s="153"/>
      <c r="E39" s="154"/>
      <c r="F39" s="155" t="s">
        <v>105</v>
      </c>
      <c r="G39" s="156"/>
      <c r="H39" s="157"/>
      <c r="I39" s="158"/>
      <c r="J39" s="159"/>
    </row>
    <row r="40" ht="18.0" customHeight="1">
      <c r="A40" s="160" t="s">
        <v>106</v>
      </c>
      <c r="B40" s="161" t="s">
        <v>107</v>
      </c>
      <c r="C40" s="161" t="s">
        <v>108</v>
      </c>
      <c r="D40" s="161" t="s">
        <v>109</v>
      </c>
      <c r="E40" s="161" t="s">
        <v>110</v>
      </c>
      <c r="F40" s="161" t="s">
        <v>111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112</v>
      </c>
      <c r="B42" s="167" t="s">
        <v>113</v>
      </c>
      <c r="C42" s="167" t="s">
        <v>114</v>
      </c>
      <c r="D42" s="167" t="s">
        <v>115</v>
      </c>
      <c r="E42" s="168" t="s">
        <v>116</v>
      </c>
      <c r="F42" s="167" t="s">
        <v>117</v>
      </c>
      <c r="G42" s="169" t="s">
        <v>118</v>
      </c>
      <c r="H42" s="169" t="s">
        <v>119</v>
      </c>
      <c r="I42" s="170" t="s">
        <v>120</v>
      </c>
      <c r="J42" s="171" t="s">
        <v>121</v>
      </c>
    </row>
    <row r="43" ht="15.75" customHeight="1">
      <c r="A43" s="172" t="s">
        <v>122</v>
      </c>
      <c r="B43" s="173">
        <f>+Monitoreo!F65</f>
        <v>10</v>
      </c>
      <c r="C43" s="173">
        <f>+Monitoreo!C65</f>
        <v>6</v>
      </c>
      <c r="D43" s="173">
        <f>+Monitoreo!I65</f>
        <v>3</v>
      </c>
      <c r="E43" s="173">
        <f>+Monitoreo!P69</f>
        <v>0</v>
      </c>
      <c r="F43" s="173">
        <f>+Monitoreo!M65</f>
        <v>0</v>
      </c>
      <c r="G43" s="173">
        <f>+Monitoreo!M69</f>
        <v>5</v>
      </c>
      <c r="H43" s="174">
        <f>IFS(B22="","",B30=B22,"1",B30&gt;0,B30-B22,C35&gt;0,C35-B22,D38&gt;0,D38-B22,B22&gt;0,TODAY()-B22)</f>
        <v>10</v>
      </c>
      <c r="I43" s="175">
        <f>IFS(H22="","",H22=J22,"1",J22&gt;0,J22-H22,H22&gt;0,TODAY()-H22)</f>
        <v>44</v>
      </c>
      <c r="J43" s="176">
        <f>IFS(G4="","",G4=D38,"1",D38&gt;0,D38-G4,G4&gt;0,TODAY()-G4)</f>
        <v>45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7"/>
      <c r="H44" s="57"/>
    </row>
    <row r="45" ht="15.75" customHeight="1">
      <c r="G45" s="57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7"/>
      <c r="H47" s="57"/>
    </row>
    <row r="48" ht="15.75" customHeight="1">
      <c r="G48" s="57"/>
      <c r="H48" s="57"/>
    </row>
    <row r="49" ht="15.75" customHeight="1">
      <c r="G49" s="57"/>
      <c r="H49" s="57"/>
    </row>
    <row r="50" ht="15.75" customHeight="1">
      <c r="G50" s="57"/>
      <c r="H50" s="57"/>
    </row>
    <row r="51" ht="15.75" customHeight="1">
      <c r="G51" s="57"/>
      <c r="H51" s="57"/>
    </row>
    <row r="52" ht="15.75" customHeight="1">
      <c r="G52" s="57"/>
      <c r="H52" s="57"/>
    </row>
    <row r="53" ht="15.75" customHeight="1">
      <c r="G53" s="57"/>
      <c r="H53" s="57"/>
    </row>
    <row r="54" ht="15.75" customHeight="1">
      <c r="G54" s="57"/>
      <c r="H54" s="57"/>
    </row>
    <row r="55" ht="15.75" customHeight="1">
      <c r="G55" s="57"/>
      <c r="H55" s="57"/>
    </row>
    <row r="56" ht="15.75" customHeight="1">
      <c r="G56" s="57"/>
      <c r="H56" s="57"/>
    </row>
    <row r="57" ht="15.75" customHeight="1">
      <c r="G57" s="57"/>
      <c r="H57" s="57"/>
    </row>
    <row r="58" ht="15.75" customHeight="1">
      <c r="G58" s="57"/>
      <c r="H58" s="57"/>
    </row>
    <row r="59" ht="15.75" customHeight="1">
      <c r="G59" s="57"/>
      <c r="H59" s="57"/>
    </row>
    <row r="60" ht="15.75" customHeight="1">
      <c r="G60" s="57"/>
      <c r="H60" s="57"/>
    </row>
    <row r="61" ht="15.75" customHeight="1">
      <c r="G61" s="57"/>
      <c r="H61" s="57"/>
    </row>
    <row r="62" ht="15.75" customHeight="1">
      <c r="G62" s="57"/>
      <c r="H62" s="57"/>
    </row>
    <row r="63" ht="15.75" customHeight="1">
      <c r="G63" s="57"/>
      <c r="H63" s="57"/>
    </row>
    <row r="64" ht="15.75" customHeight="1">
      <c r="G64" s="57"/>
      <c r="H64" s="57"/>
    </row>
    <row r="65" ht="15.75" customHeight="1">
      <c r="G65" s="57"/>
      <c r="H65" s="57"/>
    </row>
    <row r="66" ht="15.75" customHeight="1">
      <c r="G66" s="57"/>
      <c r="H66" s="57"/>
    </row>
    <row r="67" ht="15.75" customHeight="1">
      <c r="G67" s="57"/>
      <c r="H67" s="57"/>
    </row>
    <row r="68" ht="15.75" customHeight="1">
      <c r="G68" s="57"/>
      <c r="H68" s="57"/>
    </row>
    <row r="69" ht="15.75" customHeight="1">
      <c r="G69" s="57"/>
      <c r="H69" s="57"/>
    </row>
    <row r="70" ht="15.75" customHeight="1">
      <c r="G70" s="57"/>
      <c r="H70" s="57"/>
    </row>
    <row r="71" ht="15.75" customHeight="1">
      <c r="G71" s="57"/>
      <c r="H71" s="57"/>
    </row>
    <row r="72" ht="15.75" customHeight="1">
      <c r="G72" s="57"/>
      <c r="H72" s="57"/>
    </row>
    <row r="73" ht="15.75" customHeight="1">
      <c r="G73" s="57"/>
      <c r="H73" s="57"/>
    </row>
    <row r="74" ht="15.75" customHeight="1">
      <c r="G74" s="57"/>
      <c r="H74" s="57"/>
    </row>
    <row r="75" ht="15.75" customHeight="1">
      <c r="G75" s="57"/>
      <c r="H75" s="57"/>
    </row>
    <row r="76" ht="15.75" customHeight="1">
      <c r="G76" s="57"/>
      <c r="H76" s="57"/>
    </row>
    <row r="77" ht="15.75" customHeight="1">
      <c r="G77" s="57"/>
      <c r="H77" s="57"/>
    </row>
    <row r="78" ht="15.75" customHeight="1">
      <c r="G78" s="57"/>
      <c r="H78" s="57"/>
    </row>
    <row r="79" ht="15.75" customHeight="1">
      <c r="G79" s="57"/>
      <c r="H79" s="57"/>
    </row>
    <row r="80" ht="15.75" customHeight="1">
      <c r="G80" s="57"/>
      <c r="H80" s="57"/>
    </row>
    <row r="81" ht="15.75" customHeight="1">
      <c r="G81" s="57"/>
      <c r="H81" s="57"/>
    </row>
    <row r="82" ht="15.75" customHeight="1">
      <c r="G82" s="57"/>
      <c r="H82" s="57"/>
    </row>
    <row r="83" ht="15.75" customHeight="1">
      <c r="G83" s="57"/>
      <c r="H83" s="57"/>
    </row>
    <row r="84" ht="15.75" customHeight="1">
      <c r="G84" s="57"/>
      <c r="H84" s="57"/>
    </row>
    <row r="85" ht="15.75" customHeight="1">
      <c r="G85" s="57"/>
      <c r="H85" s="57"/>
    </row>
    <row r="86" ht="15.75" customHeight="1">
      <c r="G86" s="57"/>
      <c r="H86" s="57"/>
    </row>
    <row r="87" ht="15.75" customHeight="1">
      <c r="G87" s="57"/>
      <c r="H87" s="57"/>
    </row>
    <row r="88" ht="15.75" customHeight="1">
      <c r="G88" s="57"/>
      <c r="H88" s="57"/>
    </row>
    <row r="89" ht="15.75" customHeight="1">
      <c r="G89" s="57"/>
      <c r="H89" s="57"/>
    </row>
    <row r="90" ht="15.75" customHeight="1">
      <c r="G90" s="57"/>
      <c r="H90" s="57"/>
    </row>
    <row r="91" ht="15.75" customHeight="1">
      <c r="G91" s="57"/>
      <c r="H91" s="57"/>
    </row>
    <row r="92" ht="15.75" customHeight="1">
      <c r="G92" s="57"/>
      <c r="H92" s="57"/>
    </row>
    <row r="93" ht="15.75" customHeight="1">
      <c r="G93" s="57"/>
      <c r="H93" s="57"/>
    </row>
    <row r="94" ht="15.75" customHeight="1">
      <c r="G94" s="57"/>
      <c r="H94" s="57"/>
    </row>
    <row r="95" ht="15.75" customHeight="1">
      <c r="G95" s="57"/>
      <c r="H95" s="57"/>
    </row>
    <row r="96" ht="15.75" customHeight="1">
      <c r="G96" s="57"/>
      <c r="H96" s="57"/>
    </row>
    <row r="97" ht="15.75" customHeight="1">
      <c r="G97" s="57"/>
      <c r="H97" s="57"/>
    </row>
    <row r="98" ht="15.75" customHeight="1">
      <c r="G98" s="57"/>
      <c r="H98" s="57"/>
    </row>
    <row r="99" ht="15.75" customHeight="1">
      <c r="G99" s="57"/>
      <c r="H99" s="57"/>
    </row>
    <row r="100" ht="15.75" customHeight="1">
      <c r="G100" s="57"/>
      <c r="H100" s="57"/>
    </row>
    <row r="101" ht="15.75" customHeight="1">
      <c r="G101" s="57"/>
      <c r="H101" s="57"/>
    </row>
    <row r="102" ht="15.75" customHeight="1">
      <c r="G102" s="57"/>
      <c r="H102" s="57"/>
    </row>
    <row r="103" ht="15.75" customHeight="1">
      <c r="G103" s="57"/>
      <c r="H103" s="57"/>
    </row>
    <row r="104" ht="15.75" customHeight="1">
      <c r="G104" s="57"/>
      <c r="H104" s="57"/>
    </row>
    <row r="105" ht="15.75" customHeight="1">
      <c r="G105" s="57"/>
      <c r="H105" s="57"/>
    </row>
    <row r="106" ht="15.75" customHeight="1">
      <c r="G106" s="57"/>
      <c r="H106" s="57"/>
    </row>
    <row r="107" ht="15.75" customHeight="1">
      <c r="G107" s="57"/>
      <c r="H107" s="57"/>
    </row>
    <row r="108" ht="15.75" customHeight="1">
      <c r="G108" s="57"/>
      <c r="H108" s="57"/>
    </row>
    <row r="109" ht="15.75" customHeight="1">
      <c r="G109" s="57"/>
      <c r="H109" s="57"/>
    </row>
    <row r="110" ht="15.75" customHeight="1">
      <c r="G110" s="57"/>
      <c r="H110" s="57"/>
    </row>
    <row r="111" ht="15.75" customHeight="1">
      <c r="G111" s="57"/>
      <c r="H111" s="57"/>
    </row>
    <row r="112" ht="15.75" customHeight="1">
      <c r="G112" s="57"/>
      <c r="H112" s="57"/>
    </row>
    <row r="113" ht="15.75" customHeight="1">
      <c r="G113" s="57"/>
      <c r="H113" s="57"/>
    </row>
    <row r="114" ht="15.75" customHeight="1">
      <c r="G114" s="57"/>
      <c r="H114" s="57"/>
    </row>
    <row r="115" ht="15.75" customHeight="1">
      <c r="G115" s="57"/>
      <c r="H115" s="57"/>
    </row>
    <row r="116" ht="15.75" customHeight="1">
      <c r="G116" s="57"/>
      <c r="H116" s="57"/>
    </row>
    <row r="117" ht="15.75" customHeight="1">
      <c r="G117" s="57"/>
      <c r="H117" s="57"/>
    </row>
    <row r="118" ht="15.75" customHeight="1">
      <c r="G118" s="57"/>
      <c r="H118" s="57"/>
    </row>
    <row r="119" ht="15.75" customHeight="1">
      <c r="G119" s="57"/>
      <c r="H119" s="57"/>
    </row>
    <row r="120" ht="15.75" customHeight="1">
      <c r="G120" s="57"/>
      <c r="H120" s="57"/>
    </row>
    <row r="121" ht="15.75" customHeight="1">
      <c r="G121" s="57"/>
      <c r="H121" s="57"/>
    </row>
    <row r="122" ht="15.75" customHeight="1">
      <c r="G122" s="57"/>
      <c r="H122" s="57"/>
    </row>
    <row r="123" ht="15.75" customHeight="1">
      <c r="G123" s="57"/>
      <c r="H123" s="57"/>
    </row>
    <row r="124" ht="15.75" customHeight="1">
      <c r="G124" s="57"/>
      <c r="H124" s="57"/>
    </row>
    <row r="125" ht="15.75" customHeight="1">
      <c r="G125" s="57"/>
      <c r="H125" s="57"/>
    </row>
    <row r="126" ht="15.75" customHeight="1">
      <c r="G126" s="57"/>
      <c r="H126" s="57"/>
    </row>
    <row r="127" ht="15.75" customHeight="1">
      <c r="G127" s="57"/>
      <c r="H127" s="57"/>
    </row>
    <row r="128" ht="15.75" customHeight="1">
      <c r="G128" s="57"/>
      <c r="H128" s="57"/>
    </row>
    <row r="129" ht="15.75" customHeight="1">
      <c r="G129" s="57"/>
      <c r="H129" s="57"/>
    </row>
    <row r="130" ht="15.75" customHeight="1">
      <c r="G130" s="57"/>
      <c r="H130" s="57"/>
    </row>
    <row r="131" ht="15.75" customHeight="1">
      <c r="G131" s="57"/>
      <c r="H131" s="57"/>
    </row>
    <row r="132" ht="15.75" customHeight="1">
      <c r="G132" s="57"/>
      <c r="H132" s="57"/>
    </row>
    <row r="133" ht="15.75" customHeight="1">
      <c r="G133" s="57"/>
      <c r="H133" s="57"/>
    </row>
    <row r="134" ht="15.75" customHeight="1">
      <c r="G134" s="57"/>
      <c r="H134" s="57"/>
    </row>
    <row r="135" ht="15.75" customHeight="1">
      <c r="G135" s="57"/>
      <c r="H135" s="57"/>
    </row>
    <row r="136" ht="15.75" customHeight="1">
      <c r="G136" s="57"/>
      <c r="H136" s="57"/>
    </row>
    <row r="137" ht="15.75" customHeight="1">
      <c r="G137" s="57"/>
      <c r="H137" s="57"/>
    </row>
    <row r="138" ht="15.75" customHeight="1">
      <c r="G138" s="57"/>
      <c r="H138" s="57"/>
    </row>
    <row r="139" ht="15.75" customHeight="1">
      <c r="G139" s="57"/>
      <c r="H139" s="57"/>
    </row>
    <row r="140" ht="15.75" customHeight="1">
      <c r="G140" s="57"/>
      <c r="H140" s="57"/>
    </row>
    <row r="141" ht="15.75" customHeight="1">
      <c r="G141" s="57"/>
      <c r="H141" s="57"/>
    </row>
    <row r="142" ht="15.75" customHeight="1">
      <c r="G142" s="57"/>
      <c r="H142" s="57"/>
    </row>
    <row r="143" ht="15.75" customHeight="1">
      <c r="G143" s="57"/>
      <c r="H143" s="57"/>
    </row>
    <row r="144" ht="15.75" customHeight="1">
      <c r="G144" s="57"/>
      <c r="H144" s="57"/>
    </row>
    <row r="145" ht="15.75" customHeight="1">
      <c r="G145" s="57"/>
      <c r="H145" s="57"/>
    </row>
    <row r="146" ht="15.75" customHeight="1">
      <c r="G146" s="57"/>
      <c r="H146" s="57"/>
    </row>
    <row r="147" ht="15.75" customHeight="1">
      <c r="G147" s="57"/>
      <c r="H147" s="57"/>
    </row>
    <row r="148" ht="15.75" customHeight="1">
      <c r="G148" s="57"/>
      <c r="H148" s="57"/>
    </row>
    <row r="149" ht="15.75" customHeight="1">
      <c r="G149" s="57"/>
      <c r="H149" s="57"/>
    </row>
    <row r="150" ht="15.75" customHeight="1">
      <c r="G150" s="57"/>
      <c r="H150" s="57"/>
    </row>
    <row r="151" ht="15.75" customHeight="1">
      <c r="G151" s="57"/>
      <c r="H151" s="57"/>
    </row>
    <row r="152" ht="15.75" customHeight="1">
      <c r="G152" s="57"/>
      <c r="H152" s="57"/>
    </row>
    <row r="153" ht="15.75" customHeight="1">
      <c r="G153" s="57"/>
      <c r="H153" s="57"/>
    </row>
    <row r="154" ht="15.75" customHeight="1">
      <c r="G154" s="57"/>
      <c r="H154" s="57"/>
    </row>
    <row r="155" ht="15.75" customHeight="1">
      <c r="G155" s="57"/>
      <c r="H155" s="57"/>
    </row>
    <row r="156" ht="15.75" customHeight="1">
      <c r="G156" s="57"/>
      <c r="H156" s="57"/>
    </row>
    <row r="157" ht="15.75" customHeight="1">
      <c r="G157" s="57"/>
      <c r="H157" s="57"/>
    </row>
    <row r="158" ht="15.75" customHeight="1">
      <c r="G158" s="57"/>
      <c r="H158" s="57"/>
    </row>
    <row r="159" ht="15.75" customHeight="1">
      <c r="G159" s="57"/>
      <c r="H159" s="57"/>
    </row>
    <row r="160" ht="15.75" customHeight="1">
      <c r="G160" s="57"/>
      <c r="H160" s="57"/>
    </row>
    <row r="161" ht="15.75" customHeight="1">
      <c r="G161" s="57"/>
      <c r="H161" s="57"/>
    </row>
    <row r="162" ht="15.75" customHeight="1">
      <c r="G162" s="57"/>
      <c r="H162" s="57"/>
    </row>
    <row r="163" ht="15.75" customHeight="1">
      <c r="G163" s="57"/>
      <c r="H163" s="57"/>
    </row>
    <row r="164" ht="15.75" customHeight="1">
      <c r="G164" s="57"/>
      <c r="H164" s="57"/>
    </row>
    <row r="165" ht="15.75" customHeight="1">
      <c r="G165" s="57"/>
      <c r="H165" s="57"/>
    </row>
    <row r="166" ht="15.75" customHeight="1">
      <c r="G166" s="57"/>
      <c r="H166" s="57"/>
    </row>
    <row r="167" ht="15.75" customHeight="1">
      <c r="G167" s="57"/>
      <c r="H167" s="57"/>
    </row>
    <row r="168" ht="15.75" customHeight="1">
      <c r="G168" s="57"/>
      <c r="H168" s="57"/>
    </row>
    <row r="169" ht="15.75" customHeight="1">
      <c r="G169" s="57"/>
      <c r="H169" s="57"/>
    </row>
    <row r="170" ht="15.75" customHeight="1">
      <c r="G170" s="57"/>
      <c r="H170" s="57"/>
    </row>
    <row r="171" ht="15.75" customHeight="1">
      <c r="G171" s="57"/>
      <c r="H171" s="57"/>
    </row>
    <row r="172" ht="15.75" customHeight="1">
      <c r="G172" s="57"/>
      <c r="H172" s="57"/>
    </row>
    <row r="173" ht="15.75" customHeight="1">
      <c r="G173" s="57"/>
      <c r="H173" s="57"/>
    </row>
    <row r="174" ht="15.75" customHeight="1">
      <c r="G174" s="57"/>
      <c r="H174" s="57"/>
    </row>
    <row r="175" ht="15.75" customHeight="1">
      <c r="G175" s="57"/>
      <c r="H175" s="57"/>
    </row>
    <row r="176" ht="15.75" customHeight="1">
      <c r="G176" s="57"/>
      <c r="H176" s="57"/>
    </row>
    <row r="177" ht="15.75" customHeight="1">
      <c r="G177" s="57"/>
      <c r="H177" s="57"/>
    </row>
    <row r="178" ht="15.75" customHeight="1">
      <c r="G178" s="57"/>
      <c r="H178" s="57"/>
    </row>
    <row r="179" ht="15.75" customHeight="1">
      <c r="G179" s="57"/>
      <c r="H179" s="57"/>
    </row>
    <row r="180" ht="15.75" customHeight="1">
      <c r="G180" s="57"/>
      <c r="H180" s="57"/>
    </row>
    <row r="181" ht="15.75" customHeight="1">
      <c r="G181" s="57"/>
      <c r="H181" s="57"/>
    </row>
    <row r="182" ht="15.75" customHeight="1">
      <c r="G182" s="57"/>
      <c r="H182" s="57"/>
    </row>
    <row r="183" ht="15.75" customHeight="1">
      <c r="G183" s="57"/>
      <c r="H183" s="57"/>
    </row>
    <row r="184" ht="15.75" customHeight="1">
      <c r="G184" s="57"/>
      <c r="H184" s="57"/>
    </row>
    <row r="185" ht="15.75" customHeight="1">
      <c r="G185" s="57"/>
      <c r="H185" s="57"/>
    </row>
    <row r="186" ht="15.75" customHeight="1">
      <c r="G186" s="57"/>
      <c r="H186" s="57"/>
    </row>
    <row r="187" ht="15.75" customHeight="1">
      <c r="G187" s="57"/>
      <c r="H187" s="57"/>
    </row>
    <row r="188" ht="15.75" customHeight="1">
      <c r="G188" s="57"/>
      <c r="H188" s="57"/>
    </row>
    <row r="189" ht="15.75" customHeight="1">
      <c r="G189" s="57"/>
      <c r="H189" s="57"/>
    </row>
    <row r="190" ht="15.75" customHeight="1">
      <c r="G190" s="57"/>
      <c r="H190" s="57"/>
    </row>
    <row r="191" ht="15.75" customHeight="1">
      <c r="G191" s="57"/>
      <c r="H191" s="57"/>
    </row>
    <row r="192" ht="15.75" customHeight="1">
      <c r="G192" s="57"/>
      <c r="H192" s="57"/>
    </row>
    <row r="193" ht="15.75" customHeight="1">
      <c r="G193" s="57"/>
      <c r="H193" s="57"/>
    </row>
    <row r="194" ht="15.75" customHeight="1">
      <c r="G194" s="57"/>
      <c r="H194" s="57"/>
    </row>
    <row r="195" ht="15.75" customHeight="1">
      <c r="G195" s="57"/>
      <c r="H195" s="57"/>
    </row>
    <row r="196" ht="15.75" customHeight="1">
      <c r="G196" s="57"/>
      <c r="H196" s="57"/>
    </row>
    <row r="197" ht="15.75" customHeight="1">
      <c r="G197" s="57"/>
      <c r="H197" s="57"/>
    </row>
    <row r="198" ht="15.75" customHeight="1">
      <c r="G198" s="57"/>
      <c r="H198" s="57"/>
    </row>
    <row r="199" ht="15.75" customHeight="1">
      <c r="G199" s="57"/>
      <c r="H199" s="57"/>
    </row>
    <row r="200" ht="15.75" customHeight="1">
      <c r="G200" s="57"/>
      <c r="H200" s="57"/>
    </row>
    <row r="201" ht="15.75" customHeight="1">
      <c r="G201" s="57"/>
      <c r="H201" s="57"/>
    </row>
    <row r="202" ht="15.75" customHeight="1">
      <c r="G202" s="57"/>
      <c r="H202" s="57"/>
    </row>
    <row r="203" ht="15.75" customHeight="1">
      <c r="G203" s="57"/>
      <c r="H203" s="57"/>
    </row>
    <row r="204" ht="15.75" customHeight="1">
      <c r="G204" s="57"/>
      <c r="H204" s="57"/>
    </row>
    <row r="205" ht="15.75" customHeight="1">
      <c r="G205" s="57"/>
      <c r="H205" s="57"/>
    </row>
    <row r="206" ht="15.75" customHeight="1">
      <c r="G206" s="57"/>
      <c r="H206" s="57"/>
    </row>
    <row r="207" ht="15.75" customHeight="1">
      <c r="G207" s="57"/>
      <c r="H207" s="57"/>
    </row>
    <row r="208" ht="15.75" customHeight="1">
      <c r="G208" s="57"/>
      <c r="H208" s="57"/>
    </row>
    <row r="209" ht="15.75" customHeight="1">
      <c r="G209" s="57"/>
      <c r="H209" s="57"/>
    </row>
    <row r="210" ht="15.75" customHeight="1">
      <c r="G210" s="57"/>
      <c r="H210" s="57"/>
    </row>
    <row r="211" ht="15.75" customHeight="1">
      <c r="G211" s="57"/>
      <c r="H211" s="57"/>
    </row>
    <row r="212" ht="15.75" customHeight="1">
      <c r="G212" s="57"/>
      <c r="H212" s="57"/>
    </row>
    <row r="213" ht="15.75" customHeight="1">
      <c r="G213" s="57"/>
      <c r="H213" s="57"/>
    </row>
    <row r="214" ht="15.75" customHeight="1">
      <c r="G214" s="57"/>
      <c r="H214" s="57"/>
    </row>
    <row r="215" ht="15.75" customHeight="1">
      <c r="G215" s="57"/>
      <c r="H215" s="57"/>
    </row>
    <row r="216" ht="15.75" customHeight="1">
      <c r="G216" s="57"/>
      <c r="H216" s="57"/>
    </row>
    <row r="217" ht="15.75" customHeight="1">
      <c r="G217" s="57"/>
      <c r="H217" s="57"/>
    </row>
    <row r="218" ht="15.75" customHeight="1">
      <c r="G218" s="57"/>
      <c r="H218" s="57"/>
    </row>
    <row r="219" ht="15.75" customHeight="1">
      <c r="G219" s="57"/>
      <c r="H219" s="57"/>
    </row>
    <row r="220" ht="15.75" customHeight="1">
      <c r="G220" s="57"/>
      <c r="H220" s="57"/>
    </row>
    <row r="221" ht="15.75" customHeight="1">
      <c r="G221" s="57"/>
      <c r="H221" s="57"/>
    </row>
    <row r="222" ht="15.75" customHeight="1">
      <c r="G222" s="57"/>
      <c r="H222" s="57"/>
    </row>
    <row r="223" ht="15.75" customHeight="1">
      <c r="G223" s="57"/>
      <c r="H223" s="57"/>
    </row>
    <row r="224" ht="15.75" customHeight="1">
      <c r="G224" s="57"/>
      <c r="H224" s="57"/>
    </row>
    <row r="225" ht="15.75" customHeight="1">
      <c r="G225" s="57"/>
      <c r="H225" s="57"/>
    </row>
    <row r="226" ht="15.75" customHeight="1">
      <c r="G226" s="57"/>
      <c r="H226" s="57"/>
    </row>
    <row r="227" ht="15.75" customHeight="1">
      <c r="G227" s="57"/>
      <c r="H227" s="57"/>
    </row>
    <row r="228" ht="15.75" customHeight="1">
      <c r="G228" s="57"/>
      <c r="H228" s="57"/>
    </row>
    <row r="229" ht="15.75" customHeight="1">
      <c r="G229" s="57"/>
      <c r="H229" s="57"/>
    </row>
    <row r="230" ht="15.75" customHeight="1">
      <c r="G230" s="57"/>
      <c r="H230" s="57"/>
    </row>
    <row r="231" ht="15.75" customHeight="1">
      <c r="G231" s="57"/>
      <c r="H231" s="57"/>
    </row>
    <row r="232" ht="15.75" customHeight="1">
      <c r="G232" s="57"/>
      <c r="H232" s="57"/>
    </row>
    <row r="233" ht="15.75" customHeight="1">
      <c r="G233" s="57"/>
      <c r="H233" s="57"/>
    </row>
    <row r="234" ht="15.75" customHeight="1">
      <c r="G234" s="57"/>
      <c r="H234" s="57"/>
    </row>
    <row r="235" ht="15.75" customHeight="1">
      <c r="G235" s="57"/>
      <c r="H235" s="57"/>
    </row>
    <row r="236" ht="15.75" customHeight="1">
      <c r="G236" s="57"/>
      <c r="H236" s="57"/>
    </row>
    <row r="237" ht="15.75" customHeight="1">
      <c r="G237" s="57"/>
      <c r="H237" s="57"/>
    </row>
    <row r="238" ht="15.75" customHeight="1">
      <c r="G238" s="57"/>
      <c r="H238" s="57"/>
    </row>
    <row r="239" ht="15.75" customHeight="1">
      <c r="G239" s="57"/>
      <c r="H239" s="57"/>
    </row>
    <row r="240" ht="15.75" customHeight="1">
      <c r="G240" s="57"/>
      <c r="H240" s="57"/>
    </row>
    <row r="241" ht="15.75" customHeight="1">
      <c r="G241" s="57"/>
      <c r="H241" s="57"/>
    </row>
    <row r="242" ht="15.75" customHeight="1">
      <c r="G242" s="57"/>
      <c r="H242" s="57"/>
    </row>
    <row r="243" ht="15.75" customHeight="1">
      <c r="G243" s="57"/>
      <c r="H243" s="57"/>
    </row>
    <row r="244" ht="15.75" customHeight="1">
      <c r="G244" s="57"/>
      <c r="H244" s="57"/>
    </row>
    <row r="245" ht="15.75" customHeight="1">
      <c r="G245" s="57"/>
      <c r="H245" s="57"/>
    </row>
    <row r="246" ht="15.75" customHeight="1">
      <c r="G246" s="57"/>
      <c r="H246" s="57"/>
    </row>
    <row r="247" ht="15.75" customHeight="1">
      <c r="G247" s="57"/>
      <c r="H247" s="57"/>
    </row>
    <row r="248" ht="15.75" customHeight="1">
      <c r="G248" s="57"/>
      <c r="H248" s="57"/>
    </row>
    <row r="249" ht="15.75" customHeight="1">
      <c r="G249" s="57"/>
      <c r="H249" s="57"/>
    </row>
    <row r="250" ht="15.75" customHeight="1">
      <c r="G250" s="57"/>
      <c r="H250" s="57"/>
    </row>
    <row r="251" ht="15.75" customHeight="1">
      <c r="G251" s="57"/>
      <c r="H251" s="57"/>
    </row>
    <row r="252" ht="15.75" customHeight="1">
      <c r="G252" s="57"/>
      <c r="H252" s="57"/>
    </row>
    <row r="253" ht="15.75" customHeight="1">
      <c r="G253" s="57"/>
      <c r="H253" s="57"/>
    </row>
    <row r="254" ht="15.75" customHeight="1">
      <c r="G254" s="57"/>
      <c r="H254" s="57"/>
    </row>
    <row r="255" ht="15.75" customHeight="1">
      <c r="G255" s="57"/>
      <c r="H255" s="57"/>
    </row>
    <row r="256" ht="15.75" customHeight="1">
      <c r="G256" s="57"/>
      <c r="H256" s="57"/>
    </row>
    <row r="257" ht="15.75" customHeight="1">
      <c r="G257" s="57"/>
      <c r="H257" s="57"/>
    </row>
    <row r="258" ht="15.75" customHeight="1">
      <c r="G258" s="57"/>
      <c r="H258" s="57"/>
    </row>
    <row r="259" ht="15.75" customHeight="1">
      <c r="G259" s="57"/>
      <c r="H259" s="57"/>
    </row>
    <row r="260" ht="15.75" customHeight="1">
      <c r="G260" s="57"/>
      <c r="H260" s="57"/>
    </row>
    <row r="261" ht="15.75" customHeight="1">
      <c r="G261" s="57"/>
      <c r="H261" s="57"/>
    </row>
    <row r="262" ht="15.75" customHeight="1">
      <c r="G262" s="57"/>
      <c r="H262" s="57"/>
    </row>
    <row r="263" ht="15.75" customHeight="1">
      <c r="G263" s="57"/>
      <c r="H263" s="57"/>
    </row>
    <row r="264" ht="15.75" customHeight="1">
      <c r="G264" s="57"/>
      <c r="H264" s="57"/>
    </row>
    <row r="265" ht="15.75" customHeight="1">
      <c r="G265" s="57"/>
      <c r="H265" s="57"/>
    </row>
    <row r="266" ht="15.75" customHeight="1">
      <c r="G266" s="57"/>
      <c r="H266" s="57"/>
    </row>
    <row r="267" ht="15.75" customHeight="1">
      <c r="G267" s="57"/>
      <c r="H267" s="57"/>
    </row>
    <row r="268" ht="15.75" customHeight="1">
      <c r="G268" s="57"/>
      <c r="H268" s="57"/>
    </row>
    <row r="269" ht="15.75" customHeight="1">
      <c r="G269" s="57"/>
      <c r="H269" s="57"/>
    </row>
    <row r="270" ht="15.75" customHeight="1">
      <c r="G270" s="57"/>
      <c r="H270" s="57"/>
    </row>
    <row r="271" ht="15.75" customHeight="1">
      <c r="G271" s="57"/>
      <c r="H271" s="57"/>
    </row>
    <row r="272" ht="15.75" customHeight="1">
      <c r="G272" s="57"/>
      <c r="H272" s="57"/>
    </row>
    <row r="273" ht="15.75" customHeight="1">
      <c r="G273" s="57"/>
      <c r="H273" s="57"/>
    </row>
    <row r="274" ht="15.75" customHeight="1">
      <c r="G274" s="57"/>
      <c r="H274" s="57"/>
    </row>
    <row r="275" ht="15.75" customHeight="1">
      <c r="G275" s="57"/>
      <c r="H275" s="57"/>
    </row>
    <row r="276" ht="15.75" customHeight="1">
      <c r="G276" s="57"/>
      <c r="H276" s="57"/>
    </row>
    <row r="277" ht="15.75" customHeight="1">
      <c r="G277" s="57"/>
      <c r="H277" s="57"/>
    </row>
    <row r="278" ht="15.75" customHeight="1">
      <c r="G278" s="57"/>
      <c r="H278" s="57"/>
    </row>
    <row r="279" ht="15.75" customHeight="1">
      <c r="G279" s="57"/>
      <c r="H279" s="57"/>
    </row>
    <row r="280" ht="15.75" customHeight="1">
      <c r="G280" s="57"/>
      <c r="H280" s="57"/>
    </row>
    <row r="281" ht="15.75" customHeight="1">
      <c r="G281" s="57"/>
      <c r="H281" s="57"/>
    </row>
    <row r="282" ht="15.75" customHeight="1">
      <c r="G282" s="57"/>
      <c r="H282" s="57"/>
    </row>
    <row r="283" ht="15.75" customHeight="1">
      <c r="G283" s="57"/>
      <c r="H283" s="57"/>
    </row>
    <row r="284" ht="15.75" customHeight="1">
      <c r="G284" s="57"/>
      <c r="H284" s="57"/>
    </row>
    <row r="285" ht="15.75" customHeight="1">
      <c r="G285" s="57"/>
      <c r="H285" s="57"/>
    </row>
    <row r="286" ht="15.75" customHeight="1">
      <c r="G286" s="57"/>
      <c r="H286" s="57"/>
    </row>
    <row r="287" ht="15.75" customHeight="1">
      <c r="G287" s="57"/>
      <c r="H287" s="57"/>
    </row>
    <row r="288" ht="15.75" customHeight="1">
      <c r="G288" s="57"/>
      <c r="H288" s="57"/>
    </row>
    <row r="289" ht="15.75" customHeight="1">
      <c r="G289" s="57"/>
      <c r="H289" s="57"/>
    </row>
    <row r="290" ht="15.75" customHeight="1">
      <c r="G290" s="57"/>
      <c r="H290" s="57"/>
    </row>
    <row r="291" ht="15.75" customHeight="1">
      <c r="G291" s="57"/>
      <c r="H291" s="57"/>
    </row>
    <row r="292" ht="15.75" customHeight="1">
      <c r="G292" s="57"/>
      <c r="H292" s="57"/>
    </row>
    <row r="293" ht="15.75" customHeight="1">
      <c r="G293" s="57"/>
      <c r="H293" s="57"/>
    </row>
    <row r="294" ht="15.75" customHeight="1">
      <c r="G294" s="57"/>
      <c r="H294" s="57"/>
    </row>
    <row r="295" ht="15.75" customHeight="1">
      <c r="G295" s="57"/>
      <c r="H295" s="57"/>
    </row>
    <row r="296" ht="15.75" customHeight="1">
      <c r="G296" s="57"/>
      <c r="H296" s="57"/>
    </row>
    <row r="297" ht="15.75" customHeight="1">
      <c r="G297" s="57"/>
      <c r="H297" s="57"/>
    </row>
    <row r="298" ht="15.75" customHeight="1">
      <c r="G298" s="57"/>
      <c r="H298" s="57"/>
    </row>
    <row r="299" ht="15.75" customHeight="1">
      <c r="G299" s="57"/>
      <c r="H299" s="57"/>
    </row>
    <row r="300" ht="15.75" customHeight="1">
      <c r="G300" s="57"/>
      <c r="H300" s="57"/>
    </row>
    <row r="301" ht="15.75" customHeight="1">
      <c r="G301" s="57"/>
      <c r="H301" s="57"/>
    </row>
    <row r="302" ht="15.75" customHeight="1">
      <c r="G302" s="57"/>
      <c r="H302" s="57"/>
    </row>
    <row r="303" ht="15.75" customHeight="1">
      <c r="G303" s="57"/>
      <c r="H303" s="57"/>
    </row>
    <row r="304" ht="15.75" customHeight="1">
      <c r="G304" s="57"/>
      <c r="H304" s="57"/>
    </row>
    <row r="305" ht="15.75" customHeight="1">
      <c r="G305" s="57"/>
      <c r="H305" s="57"/>
    </row>
    <row r="306" ht="15.75" customHeight="1">
      <c r="G306" s="57"/>
      <c r="H306" s="57"/>
    </row>
    <row r="307" ht="15.75" customHeight="1">
      <c r="G307" s="57"/>
      <c r="H307" s="57"/>
    </row>
    <row r="308" ht="15.75" customHeight="1">
      <c r="G308" s="57"/>
      <c r="H308" s="57"/>
    </row>
    <row r="309" ht="15.75" customHeight="1">
      <c r="G309" s="57"/>
      <c r="H309" s="57"/>
    </row>
    <row r="310" ht="15.75" customHeight="1">
      <c r="G310" s="57"/>
      <c r="H310" s="57"/>
    </row>
    <row r="311" ht="15.75" customHeight="1">
      <c r="G311" s="57"/>
      <c r="H311" s="57"/>
    </row>
    <row r="312" ht="15.75" customHeight="1">
      <c r="G312" s="57"/>
      <c r="H312" s="57"/>
    </row>
    <row r="313" ht="15.75" customHeight="1">
      <c r="G313" s="57"/>
      <c r="H313" s="57"/>
    </row>
    <row r="314" ht="15.75" customHeight="1">
      <c r="G314" s="57"/>
      <c r="H314" s="57"/>
    </row>
    <row r="315" ht="15.75" customHeight="1">
      <c r="G315" s="57"/>
      <c r="H315" s="57"/>
    </row>
    <row r="316" ht="15.75" customHeight="1">
      <c r="G316" s="57"/>
      <c r="H316" s="57"/>
    </row>
    <row r="317" ht="15.75" customHeight="1">
      <c r="G317" s="57"/>
      <c r="H317" s="57"/>
    </row>
    <row r="318" ht="15.75" customHeight="1">
      <c r="G318" s="57"/>
      <c r="H318" s="57"/>
    </row>
    <row r="319" ht="15.75" customHeight="1">
      <c r="G319" s="57"/>
      <c r="H319" s="57"/>
    </row>
    <row r="320" ht="15.75" customHeight="1">
      <c r="G320" s="57"/>
      <c r="H320" s="57"/>
    </row>
    <row r="321" ht="15.75" customHeight="1">
      <c r="G321" s="57"/>
      <c r="H321" s="57"/>
    </row>
    <row r="322" ht="15.75" customHeight="1">
      <c r="G322" s="57"/>
      <c r="H322" s="57"/>
    </row>
    <row r="323" ht="15.75" customHeight="1">
      <c r="G323" s="57"/>
      <c r="H323" s="57"/>
    </row>
    <row r="324" ht="15.75" customHeight="1">
      <c r="G324" s="57"/>
      <c r="H324" s="57"/>
    </row>
    <row r="325" ht="15.75" customHeight="1">
      <c r="G325" s="57"/>
      <c r="H325" s="57"/>
    </row>
    <row r="326" ht="15.75" customHeight="1">
      <c r="G326" s="57"/>
      <c r="H326" s="57"/>
    </row>
    <row r="327" ht="15.75" customHeight="1">
      <c r="G327" s="57"/>
      <c r="H327" s="57"/>
    </row>
    <row r="328" ht="15.75" customHeight="1">
      <c r="G328" s="57"/>
      <c r="H328" s="57"/>
    </row>
    <row r="329" ht="15.75" customHeight="1">
      <c r="G329" s="57"/>
      <c r="H329" s="57"/>
    </row>
    <row r="330" ht="15.75" customHeight="1">
      <c r="G330" s="57"/>
      <c r="H330" s="57"/>
    </row>
    <row r="331" ht="15.75" customHeight="1">
      <c r="G331" s="57"/>
      <c r="H331" s="57"/>
    </row>
    <row r="332" ht="15.75" customHeight="1">
      <c r="G332" s="57"/>
      <c r="H332" s="57"/>
    </row>
    <row r="333" ht="15.75" customHeight="1">
      <c r="G333" s="57"/>
      <c r="H333" s="57"/>
    </row>
    <row r="334" ht="15.75" customHeight="1">
      <c r="G334" s="57"/>
      <c r="H334" s="57"/>
    </row>
    <row r="335" ht="15.75" customHeight="1">
      <c r="G335" s="57"/>
      <c r="H335" s="57"/>
    </row>
    <row r="336" ht="15.75" customHeight="1">
      <c r="G336" s="57"/>
      <c r="H336" s="57"/>
    </row>
    <row r="337" ht="15.75" customHeight="1">
      <c r="G337" s="57"/>
      <c r="H337" s="57"/>
    </row>
    <row r="338" ht="15.75" customHeight="1">
      <c r="G338" s="57"/>
      <c r="H338" s="57"/>
    </row>
    <row r="339" ht="15.75" customHeight="1">
      <c r="G339" s="57"/>
      <c r="H339" s="57"/>
    </row>
    <row r="340" ht="15.75" customHeight="1">
      <c r="G340" s="57"/>
      <c r="H340" s="57"/>
    </row>
    <row r="341" ht="15.75" customHeight="1">
      <c r="G341" s="57"/>
      <c r="H341" s="57"/>
    </row>
    <row r="342" ht="15.75" customHeight="1">
      <c r="G342" s="57"/>
      <c r="H342" s="57"/>
    </row>
    <row r="343" ht="15.75" customHeight="1">
      <c r="G343" s="57"/>
      <c r="H343" s="57"/>
    </row>
    <row r="344" ht="15.75" customHeight="1">
      <c r="G344" s="57"/>
      <c r="H344" s="57"/>
    </row>
    <row r="345" ht="15.75" customHeight="1">
      <c r="G345" s="57"/>
      <c r="H345" s="57"/>
    </row>
    <row r="346" ht="15.75" customHeight="1">
      <c r="G346" s="57"/>
      <c r="H346" s="57"/>
    </row>
    <row r="347" ht="15.75" customHeight="1">
      <c r="G347" s="57"/>
      <c r="H347" s="57"/>
    </row>
    <row r="348" ht="15.75" customHeight="1">
      <c r="G348" s="57"/>
      <c r="H348" s="57"/>
    </row>
    <row r="349" ht="15.75" customHeight="1">
      <c r="G349" s="57"/>
      <c r="H349" s="57"/>
    </row>
    <row r="350" ht="15.75" customHeight="1">
      <c r="G350" s="57"/>
      <c r="H350" s="57"/>
    </row>
    <row r="351" ht="15.75" customHeight="1">
      <c r="G351" s="57"/>
      <c r="H351" s="57"/>
    </row>
    <row r="352" ht="15.75" customHeight="1">
      <c r="G352" s="57"/>
      <c r="H352" s="57"/>
    </row>
    <row r="353" ht="15.75" customHeight="1">
      <c r="G353" s="57"/>
      <c r="H353" s="57"/>
    </row>
    <row r="354" ht="15.75" customHeight="1">
      <c r="G354" s="57"/>
      <c r="H354" s="57"/>
    </row>
    <row r="355" ht="15.75" customHeight="1">
      <c r="G355" s="57"/>
      <c r="H355" s="57"/>
    </row>
    <row r="356" ht="15.75" customHeight="1">
      <c r="G356" s="57"/>
      <c r="H356" s="57"/>
    </row>
    <row r="357" ht="15.75" customHeight="1">
      <c r="G357" s="57"/>
      <c r="H357" s="57"/>
    </row>
    <row r="358" ht="15.75" customHeight="1">
      <c r="G358" s="57"/>
      <c r="H358" s="57"/>
    </row>
    <row r="359" ht="15.75" customHeight="1">
      <c r="G359" s="57"/>
      <c r="H359" s="57"/>
    </row>
    <row r="360" ht="15.75" customHeight="1">
      <c r="G360" s="57"/>
      <c r="H360" s="57"/>
    </row>
    <row r="361" ht="15.75" customHeight="1">
      <c r="G361" s="57"/>
      <c r="H361" s="57"/>
    </row>
    <row r="362" ht="15.75" customHeight="1">
      <c r="G362" s="57"/>
      <c r="H362" s="57"/>
    </row>
    <row r="363" ht="15.75" customHeight="1">
      <c r="G363" s="57"/>
      <c r="H363" s="57"/>
    </row>
    <row r="364" ht="15.75" customHeight="1">
      <c r="G364" s="57"/>
      <c r="H364" s="57"/>
    </row>
    <row r="365" ht="15.75" customHeight="1">
      <c r="G365" s="57"/>
      <c r="H365" s="57"/>
    </row>
    <row r="366" ht="15.75" customHeight="1">
      <c r="G366" s="57"/>
      <c r="H366" s="57"/>
    </row>
    <row r="367" ht="15.75" customHeight="1">
      <c r="G367" s="57"/>
      <c r="H367" s="57"/>
    </row>
    <row r="368" ht="15.75" customHeight="1">
      <c r="G368" s="57"/>
      <c r="H368" s="57"/>
    </row>
    <row r="369" ht="15.75" customHeight="1">
      <c r="G369" s="57"/>
      <c r="H369" s="57"/>
    </row>
    <row r="370" ht="15.75" customHeight="1">
      <c r="G370" s="57"/>
      <c r="H370" s="57"/>
    </row>
    <row r="371" ht="15.75" customHeight="1">
      <c r="G371" s="57"/>
      <c r="H371" s="57"/>
    </row>
    <row r="372" ht="15.75" customHeight="1">
      <c r="G372" s="57"/>
      <c r="H372" s="57"/>
    </row>
    <row r="373" ht="15.75" customHeight="1">
      <c r="G373" s="57"/>
      <c r="H373" s="57"/>
    </row>
    <row r="374" ht="15.75" customHeight="1">
      <c r="G374" s="57"/>
      <c r="H374" s="57"/>
    </row>
    <row r="375" ht="15.75" customHeight="1">
      <c r="G375" s="57"/>
      <c r="H375" s="57"/>
    </row>
    <row r="376" ht="15.75" customHeight="1">
      <c r="G376" s="57"/>
      <c r="H376" s="57"/>
    </row>
    <row r="377" ht="15.75" customHeight="1">
      <c r="G377" s="57"/>
      <c r="H377" s="57"/>
    </row>
    <row r="378" ht="15.75" customHeight="1">
      <c r="G378" s="57"/>
      <c r="H378" s="57"/>
    </row>
    <row r="379" ht="15.75" customHeight="1">
      <c r="G379" s="57"/>
      <c r="H379" s="57"/>
    </row>
    <row r="380" ht="15.75" customHeight="1">
      <c r="G380" s="57"/>
      <c r="H380" s="57"/>
    </row>
    <row r="381" ht="15.75" customHeight="1">
      <c r="G381" s="57"/>
      <c r="H381" s="57"/>
    </row>
    <row r="382" ht="15.75" customHeight="1">
      <c r="G382" s="57"/>
      <c r="H382" s="57"/>
    </row>
    <row r="383" ht="15.75" customHeight="1">
      <c r="G383" s="57"/>
      <c r="H383" s="57"/>
    </row>
    <row r="384" ht="15.75" customHeight="1">
      <c r="G384" s="57"/>
      <c r="H384" s="57"/>
    </row>
    <row r="385" ht="15.75" customHeight="1">
      <c r="G385" s="57"/>
      <c r="H385" s="57"/>
    </row>
    <row r="386" ht="15.75" customHeight="1">
      <c r="G386" s="57"/>
      <c r="H386" s="57"/>
    </row>
    <row r="387" ht="15.75" customHeight="1">
      <c r="G387" s="57"/>
      <c r="H387" s="57"/>
    </row>
    <row r="388" ht="15.75" customHeight="1">
      <c r="G388" s="57"/>
      <c r="H388" s="57"/>
    </row>
    <row r="389" ht="15.75" customHeight="1">
      <c r="G389" s="57"/>
      <c r="H389" s="57"/>
    </row>
    <row r="390" ht="15.75" customHeight="1">
      <c r="G390" s="57"/>
      <c r="H390" s="57"/>
    </row>
    <row r="391" ht="15.75" customHeight="1">
      <c r="G391" s="57"/>
      <c r="H391" s="57"/>
    </row>
    <row r="392" ht="15.75" customHeight="1">
      <c r="G392" s="57"/>
      <c r="H392" s="57"/>
    </row>
    <row r="393" ht="15.75" customHeight="1">
      <c r="G393" s="57"/>
      <c r="H393" s="57"/>
    </row>
    <row r="394" ht="15.75" customHeight="1">
      <c r="G394" s="57"/>
      <c r="H394" s="57"/>
    </row>
    <row r="395" ht="15.75" customHeight="1">
      <c r="G395" s="57"/>
      <c r="H395" s="57"/>
    </row>
    <row r="396" ht="15.75" customHeight="1">
      <c r="G396" s="57"/>
      <c r="H396" s="57"/>
    </row>
    <row r="397" ht="15.75" customHeight="1">
      <c r="G397" s="57"/>
      <c r="H397" s="57"/>
    </row>
    <row r="398" ht="15.75" customHeight="1">
      <c r="G398" s="57"/>
      <c r="H398" s="57"/>
    </row>
    <row r="399" ht="15.75" customHeight="1">
      <c r="G399" s="57"/>
      <c r="H399" s="57"/>
    </row>
    <row r="400" ht="15.75" customHeight="1">
      <c r="G400" s="57"/>
      <c r="H400" s="57"/>
    </row>
    <row r="401" ht="15.75" customHeight="1">
      <c r="G401" s="57"/>
      <c r="H401" s="57"/>
    </row>
    <row r="402" ht="15.75" customHeight="1">
      <c r="G402" s="57"/>
      <c r="H402" s="57"/>
    </row>
    <row r="403" ht="15.75" customHeight="1">
      <c r="G403" s="57"/>
      <c r="H403" s="57"/>
    </row>
    <row r="404" ht="15.75" customHeight="1">
      <c r="G404" s="57"/>
      <c r="H404" s="57"/>
    </row>
    <row r="405" ht="15.75" customHeight="1">
      <c r="G405" s="57"/>
      <c r="H405" s="57"/>
    </row>
    <row r="406" ht="15.75" customHeight="1">
      <c r="G406" s="57"/>
      <c r="H406" s="57"/>
    </row>
    <row r="407" ht="15.75" customHeight="1">
      <c r="G407" s="57"/>
      <c r="H407" s="57"/>
    </row>
    <row r="408" ht="15.75" customHeight="1">
      <c r="G408" s="57"/>
      <c r="H408" s="57"/>
    </row>
    <row r="409" ht="15.75" customHeight="1">
      <c r="G409" s="57"/>
      <c r="H409" s="57"/>
    </row>
    <row r="410" ht="15.75" customHeight="1">
      <c r="G410" s="57"/>
      <c r="H410" s="57"/>
    </row>
    <row r="411" ht="15.75" customHeight="1">
      <c r="G411" s="57"/>
      <c r="H411" s="57"/>
    </row>
    <row r="412" ht="15.75" customHeight="1">
      <c r="G412" s="57"/>
      <c r="H412" s="57"/>
    </row>
    <row r="413" ht="15.75" customHeight="1">
      <c r="G413" s="57"/>
      <c r="H413" s="57"/>
    </row>
    <row r="414" ht="15.75" customHeight="1">
      <c r="G414" s="57"/>
      <c r="H414" s="57"/>
    </row>
    <row r="415" ht="15.75" customHeight="1">
      <c r="G415" s="57"/>
      <c r="H415" s="57"/>
    </row>
    <row r="416" ht="15.75" customHeight="1">
      <c r="G416" s="57"/>
      <c r="H416" s="57"/>
    </row>
    <row r="417" ht="15.75" customHeight="1">
      <c r="G417" s="57"/>
      <c r="H417" s="57"/>
    </row>
    <row r="418" ht="15.75" customHeight="1">
      <c r="G418" s="57"/>
      <c r="H418" s="57"/>
    </row>
    <row r="419" ht="15.75" customHeight="1">
      <c r="G419" s="57"/>
      <c r="H419" s="57"/>
    </row>
    <row r="420" ht="15.75" customHeight="1">
      <c r="G420" s="57"/>
      <c r="H420" s="57"/>
    </row>
    <row r="421" ht="15.75" customHeight="1">
      <c r="G421" s="57"/>
      <c r="H421" s="57"/>
    </row>
    <row r="422" ht="15.75" customHeight="1">
      <c r="G422" s="57"/>
      <c r="H422" s="57"/>
    </row>
    <row r="423" ht="15.75" customHeight="1">
      <c r="G423" s="57"/>
      <c r="H423" s="57"/>
    </row>
    <row r="424" ht="15.75" customHeight="1">
      <c r="G424" s="57"/>
      <c r="H424" s="57"/>
    </row>
    <row r="425" ht="15.75" customHeight="1">
      <c r="G425" s="57"/>
      <c r="H425" s="57"/>
    </row>
    <row r="426" ht="15.75" customHeight="1">
      <c r="G426" s="57"/>
      <c r="H426" s="57"/>
    </row>
    <row r="427" ht="15.75" customHeight="1">
      <c r="G427" s="57"/>
      <c r="H427" s="57"/>
    </row>
    <row r="428" ht="15.75" customHeight="1">
      <c r="G428" s="57"/>
      <c r="H428" s="57"/>
    </row>
    <row r="429" ht="15.75" customHeight="1">
      <c r="G429" s="57"/>
      <c r="H429" s="57"/>
    </row>
    <row r="430" ht="15.75" customHeight="1">
      <c r="G430" s="57"/>
      <c r="H430" s="57"/>
    </row>
    <row r="431" ht="15.75" customHeight="1">
      <c r="G431" s="57"/>
      <c r="H431" s="57"/>
    </row>
    <row r="432" ht="15.75" customHeight="1">
      <c r="G432" s="57"/>
      <c r="H432" s="57"/>
    </row>
    <row r="433" ht="15.75" customHeight="1">
      <c r="G433" s="57"/>
      <c r="H433" s="57"/>
    </row>
    <row r="434" ht="15.75" customHeight="1">
      <c r="G434" s="57"/>
      <c r="H434" s="57"/>
    </row>
    <row r="435" ht="15.75" customHeight="1">
      <c r="G435" s="57"/>
      <c r="H435" s="57"/>
    </row>
    <row r="436" ht="15.75" customHeight="1">
      <c r="G436" s="57"/>
      <c r="H436" s="57"/>
    </row>
    <row r="437" ht="15.75" customHeight="1">
      <c r="G437" s="57"/>
      <c r="H437" s="57"/>
    </row>
    <row r="438" ht="15.75" customHeight="1">
      <c r="G438" s="57"/>
      <c r="H438" s="57"/>
    </row>
    <row r="439" ht="15.75" customHeight="1">
      <c r="G439" s="57"/>
      <c r="H439" s="57"/>
    </row>
    <row r="440" ht="15.75" customHeight="1">
      <c r="G440" s="57"/>
      <c r="H440" s="57"/>
    </row>
    <row r="441" ht="15.75" customHeight="1">
      <c r="G441" s="57"/>
      <c r="H441" s="57"/>
    </row>
    <row r="442" ht="15.75" customHeight="1">
      <c r="G442" s="57"/>
      <c r="H442" s="57"/>
    </row>
    <row r="443" ht="15.75" customHeight="1">
      <c r="G443" s="57"/>
      <c r="H443" s="57"/>
    </row>
    <row r="444" ht="15.75" customHeight="1">
      <c r="G444" s="57"/>
      <c r="H444" s="57"/>
    </row>
    <row r="445" ht="15.75" customHeight="1">
      <c r="G445" s="57"/>
      <c r="H445" s="57"/>
    </row>
    <row r="446" ht="15.75" customHeight="1">
      <c r="G446" s="57"/>
      <c r="H446" s="57"/>
    </row>
    <row r="447" ht="15.75" customHeight="1">
      <c r="G447" s="57"/>
      <c r="H447" s="57"/>
    </row>
    <row r="448" ht="15.75" customHeight="1">
      <c r="G448" s="57"/>
      <c r="H448" s="57"/>
    </row>
    <row r="449" ht="15.75" customHeight="1">
      <c r="G449" s="57"/>
      <c r="H449" s="57"/>
    </row>
    <row r="450" ht="15.75" customHeight="1">
      <c r="G450" s="57"/>
      <c r="H450" s="57"/>
    </row>
    <row r="451" ht="15.75" customHeight="1">
      <c r="G451" s="57"/>
      <c r="H451" s="57"/>
    </row>
    <row r="452" ht="15.75" customHeight="1">
      <c r="G452" s="57"/>
      <c r="H452" s="57"/>
    </row>
    <row r="453" ht="15.75" customHeight="1">
      <c r="G453" s="57"/>
      <c r="H453" s="57"/>
    </row>
    <row r="454" ht="15.75" customHeight="1">
      <c r="G454" s="57"/>
      <c r="H454" s="57"/>
    </row>
    <row r="455" ht="15.75" customHeight="1">
      <c r="G455" s="57"/>
      <c r="H455" s="57"/>
    </row>
    <row r="456" ht="15.75" customHeight="1">
      <c r="G456" s="57"/>
      <c r="H456" s="57"/>
    </row>
    <row r="457" ht="15.75" customHeight="1">
      <c r="G457" s="57"/>
      <c r="H457" s="57"/>
    </row>
    <row r="458" ht="15.75" customHeight="1">
      <c r="G458" s="57"/>
      <c r="H458" s="57"/>
    </row>
    <row r="459" ht="15.75" customHeight="1">
      <c r="G459" s="57"/>
      <c r="H459" s="57"/>
    </row>
    <row r="460" ht="15.75" customHeight="1">
      <c r="G460" s="57"/>
      <c r="H460" s="57"/>
    </row>
    <row r="461" ht="15.75" customHeight="1">
      <c r="G461" s="57"/>
      <c r="H461" s="57"/>
    </row>
    <row r="462" ht="15.75" customHeight="1">
      <c r="G462" s="57"/>
      <c r="H462" s="57"/>
    </row>
    <row r="463" ht="15.75" customHeight="1">
      <c r="G463" s="57"/>
      <c r="H463" s="57"/>
    </row>
    <row r="464" ht="15.75" customHeight="1">
      <c r="G464" s="57"/>
      <c r="H464" s="57"/>
    </row>
    <row r="465" ht="15.75" customHeight="1">
      <c r="G465" s="57"/>
      <c r="H465" s="57"/>
    </row>
    <row r="466" ht="15.75" customHeight="1">
      <c r="G466" s="57"/>
      <c r="H466" s="57"/>
    </row>
    <row r="467" ht="15.75" customHeight="1">
      <c r="G467" s="57"/>
      <c r="H467" s="57"/>
    </row>
    <row r="468" ht="15.75" customHeight="1">
      <c r="G468" s="57"/>
      <c r="H468" s="57"/>
    </row>
    <row r="469" ht="15.75" customHeight="1">
      <c r="G469" s="57"/>
      <c r="H469" s="57"/>
    </row>
    <row r="470" ht="15.75" customHeight="1">
      <c r="G470" s="57"/>
      <c r="H470" s="57"/>
    </row>
    <row r="471" ht="15.75" customHeight="1">
      <c r="G471" s="57"/>
      <c r="H471" s="57"/>
    </row>
    <row r="472" ht="15.75" customHeight="1">
      <c r="G472" s="57"/>
      <c r="H472" s="57"/>
    </row>
    <row r="473" ht="15.75" customHeight="1">
      <c r="G473" s="57"/>
      <c r="H473" s="57"/>
    </row>
    <row r="474" ht="15.75" customHeight="1">
      <c r="G474" s="57"/>
      <c r="H474" s="57"/>
    </row>
    <row r="475" ht="15.75" customHeight="1">
      <c r="G475" s="57"/>
      <c r="H475" s="57"/>
    </row>
    <row r="476" ht="15.75" customHeight="1">
      <c r="G476" s="57"/>
      <c r="H476" s="57"/>
    </row>
    <row r="477" ht="15.75" customHeight="1">
      <c r="G477" s="57"/>
      <c r="H477" s="57"/>
    </row>
    <row r="478" ht="15.75" customHeight="1">
      <c r="G478" s="57"/>
      <c r="H478" s="57"/>
    </row>
    <row r="479" ht="15.75" customHeight="1">
      <c r="G479" s="57"/>
      <c r="H479" s="57"/>
    </row>
    <row r="480" ht="15.75" customHeight="1">
      <c r="G480" s="57"/>
      <c r="H480" s="57"/>
    </row>
    <row r="481" ht="15.75" customHeight="1">
      <c r="G481" s="57"/>
      <c r="H481" s="57"/>
    </row>
    <row r="482" ht="15.75" customHeight="1">
      <c r="G482" s="57"/>
      <c r="H482" s="57"/>
    </row>
    <row r="483" ht="15.75" customHeight="1">
      <c r="G483" s="57"/>
      <c r="H483" s="57"/>
    </row>
    <row r="484" ht="15.75" customHeight="1">
      <c r="G484" s="57"/>
      <c r="H484" s="57"/>
    </row>
    <row r="485" ht="15.75" customHeight="1">
      <c r="G485" s="57"/>
      <c r="H485" s="57"/>
    </row>
    <row r="486" ht="15.75" customHeight="1">
      <c r="G486" s="57"/>
      <c r="H486" s="57"/>
    </row>
    <row r="487" ht="15.75" customHeight="1">
      <c r="G487" s="57"/>
      <c r="H487" s="57"/>
    </row>
    <row r="488" ht="15.75" customHeight="1">
      <c r="G488" s="57"/>
      <c r="H488" s="57"/>
    </row>
    <row r="489" ht="15.75" customHeight="1">
      <c r="G489" s="57"/>
      <c r="H489" s="57"/>
    </row>
    <row r="490" ht="15.75" customHeight="1">
      <c r="G490" s="57"/>
      <c r="H490" s="57"/>
    </row>
    <row r="491" ht="15.75" customHeight="1">
      <c r="G491" s="57"/>
      <c r="H491" s="57"/>
    </row>
    <row r="492" ht="15.75" customHeight="1">
      <c r="G492" s="57"/>
      <c r="H492" s="57"/>
    </row>
    <row r="493" ht="15.75" customHeight="1">
      <c r="G493" s="57"/>
      <c r="H493" s="57"/>
    </row>
    <row r="494" ht="15.75" customHeight="1">
      <c r="G494" s="57"/>
      <c r="H494" s="57"/>
    </row>
    <row r="495" ht="15.75" customHeight="1">
      <c r="G495" s="57"/>
      <c r="H495" s="57"/>
    </row>
    <row r="496" ht="15.75" customHeight="1">
      <c r="G496" s="57"/>
      <c r="H496" s="57"/>
    </row>
    <row r="497" ht="15.75" customHeight="1">
      <c r="G497" s="57"/>
      <c r="H497" s="57"/>
    </row>
    <row r="498" ht="15.75" customHeight="1">
      <c r="G498" s="57"/>
      <c r="H498" s="57"/>
    </row>
    <row r="499" ht="15.75" customHeight="1">
      <c r="G499" s="57"/>
      <c r="H499" s="57"/>
    </row>
    <row r="500" ht="15.75" customHeight="1">
      <c r="G500" s="57"/>
      <c r="H500" s="57"/>
    </row>
    <row r="501" ht="15.75" customHeight="1">
      <c r="G501" s="57"/>
      <c r="H501" s="57"/>
    </row>
    <row r="502" ht="15.75" customHeight="1">
      <c r="G502" s="57"/>
      <c r="H502" s="57"/>
    </row>
    <row r="503" ht="15.75" customHeight="1">
      <c r="G503" s="57"/>
      <c r="H503" s="57"/>
    </row>
    <row r="504" ht="15.75" customHeight="1">
      <c r="G504" s="57"/>
      <c r="H504" s="57"/>
    </row>
    <row r="505" ht="15.75" customHeight="1">
      <c r="G505" s="57"/>
      <c r="H505" s="57"/>
    </row>
    <row r="506" ht="15.75" customHeight="1">
      <c r="G506" s="57"/>
      <c r="H506" s="57"/>
    </row>
    <row r="507" ht="15.75" customHeight="1">
      <c r="G507" s="57"/>
      <c r="H507" s="57"/>
    </row>
    <row r="508" ht="15.75" customHeight="1">
      <c r="G508" s="57"/>
      <c r="H508" s="57"/>
    </row>
    <row r="509" ht="15.75" customHeight="1">
      <c r="G509" s="57"/>
      <c r="H509" s="57"/>
    </row>
    <row r="510" ht="15.75" customHeight="1">
      <c r="G510" s="57"/>
      <c r="H510" s="57"/>
    </row>
    <row r="511" ht="15.75" customHeight="1">
      <c r="G511" s="57"/>
      <c r="H511" s="57"/>
    </row>
    <row r="512" ht="15.75" customHeight="1">
      <c r="G512" s="57"/>
      <c r="H512" s="57"/>
    </row>
    <row r="513" ht="15.75" customHeight="1">
      <c r="G513" s="57"/>
      <c r="H513" s="57"/>
    </row>
    <row r="514" ht="15.75" customHeight="1">
      <c r="G514" s="57"/>
      <c r="H514" s="57"/>
    </row>
    <row r="515" ht="15.75" customHeight="1">
      <c r="G515" s="57"/>
      <c r="H515" s="57"/>
    </row>
    <row r="516" ht="15.75" customHeight="1">
      <c r="G516" s="57"/>
      <c r="H516" s="57"/>
    </row>
    <row r="517" ht="15.75" customHeight="1">
      <c r="G517" s="57"/>
      <c r="H517" s="57"/>
    </row>
    <row r="518" ht="15.75" customHeight="1">
      <c r="G518" s="57"/>
      <c r="H518" s="57"/>
    </row>
    <row r="519" ht="15.75" customHeight="1">
      <c r="G519" s="57"/>
      <c r="H519" s="57"/>
    </row>
    <row r="520" ht="15.75" customHeight="1">
      <c r="G520" s="57"/>
      <c r="H520" s="57"/>
    </row>
    <row r="521" ht="15.75" customHeight="1">
      <c r="G521" s="57"/>
      <c r="H521" s="57"/>
    </row>
    <row r="522" ht="15.75" customHeight="1">
      <c r="G522" s="57"/>
      <c r="H522" s="57"/>
    </row>
    <row r="523" ht="15.75" customHeight="1">
      <c r="G523" s="57"/>
      <c r="H523" s="57"/>
    </row>
    <row r="524" ht="15.75" customHeight="1">
      <c r="G524" s="57"/>
      <c r="H524" s="57"/>
    </row>
    <row r="525" ht="15.75" customHeight="1">
      <c r="G525" s="57"/>
      <c r="H525" s="57"/>
    </row>
    <row r="526" ht="15.75" customHeight="1">
      <c r="G526" s="57"/>
      <c r="H526" s="57"/>
    </row>
    <row r="527" ht="15.75" customHeight="1">
      <c r="G527" s="57"/>
      <c r="H527" s="57"/>
    </row>
    <row r="528" ht="15.75" customHeight="1">
      <c r="G528" s="57"/>
      <c r="H528" s="57"/>
    </row>
    <row r="529" ht="15.75" customHeight="1">
      <c r="G529" s="57"/>
      <c r="H529" s="57"/>
    </row>
    <row r="530" ht="15.75" customHeight="1">
      <c r="G530" s="57"/>
      <c r="H530" s="57"/>
    </row>
    <row r="531" ht="15.75" customHeight="1">
      <c r="G531" s="57"/>
      <c r="H531" s="57"/>
    </row>
    <row r="532" ht="15.75" customHeight="1">
      <c r="G532" s="57"/>
      <c r="H532" s="57"/>
    </row>
    <row r="533" ht="15.75" customHeight="1">
      <c r="G533" s="57"/>
      <c r="H533" s="57"/>
    </row>
    <row r="534" ht="15.75" customHeight="1">
      <c r="G534" s="57"/>
      <c r="H534" s="57"/>
    </row>
    <row r="535" ht="15.75" customHeight="1">
      <c r="G535" s="57"/>
      <c r="H535" s="57"/>
    </row>
    <row r="536" ht="15.75" customHeight="1">
      <c r="G536" s="57"/>
      <c r="H536" s="57"/>
    </row>
    <row r="537" ht="15.75" customHeight="1">
      <c r="G537" s="57"/>
      <c r="H537" s="57"/>
    </row>
    <row r="538" ht="15.75" customHeight="1">
      <c r="G538" s="57"/>
      <c r="H538" s="57"/>
    </row>
    <row r="539" ht="15.75" customHeight="1">
      <c r="G539" s="57"/>
      <c r="H539" s="57"/>
    </row>
    <row r="540" ht="15.75" customHeight="1">
      <c r="G540" s="57"/>
      <c r="H540" s="57"/>
    </row>
    <row r="541" ht="15.75" customHeight="1">
      <c r="G541" s="57"/>
      <c r="H541" s="57"/>
    </row>
    <row r="542" ht="15.75" customHeight="1">
      <c r="G542" s="57"/>
      <c r="H542" s="57"/>
    </row>
    <row r="543" ht="15.75" customHeight="1">
      <c r="G543" s="57"/>
      <c r="H543" s="57"/>
    </row>
    <row r="544" ht="15.75" customHeight="1">
      <c r="G544" s="57"/>
      <c r="H544" s="57"/>
    </row>
    <row r="545" ht="15.75" customHeight="1">
      <c r="G545" s="57"/>
      <c r="H545" s="57"/>
    </row>
    <row r="546" ht="15.75" customHeight="1">
      <c r="G546" s="57"/>
      <c r="H546" s="57"/>
    </row>
    <row r="547" ht="15.75" customHeight="1">
      <c r="G547" s="57"/>
      <c r="H547" s="57"/>
    </row>
    <row r="548" ht="15.75" customHeight="1">
      <c r="G548" s="57"/>
      <c r="H548" s="57"/>
    </row>
    <row r="549" ht="15.75" customHeight="1">
      <c r="G549" s="57"/>
      <c r="H549" s="57"/>
    </row>
    <row r="550" ht="15.75" customHeight="1">
      <c r="G550" s="57"/>
      <c r="H550" s="57"/>
    </row>
    <row r="551" ht="15.75" customHeight="1">
      <c r="G551" s="57"/>
      <c r="H551" s="57"/>
    </row>
    <row r="552" ht="15.75" customHeight="1">
      <c r="G552" s="57"/>
      <c r="H552" s="57"/>
    </row>
    <row r="553" ht="15.75" customHeight="1">
      <c r="G553" s="57"/>
      <c r="H553" s="57"/>
    </row>
    <row r="554" ht="15.75" customHeight="1">
      <c r="G554" s="57"/>
      <c r="H554" s="57"/>
    </row>
    <row r="555" ht="15.75" customHeight="1">
      <c r="G555" s="57"/>
      <c r="H555" s="57"/>
    </row>
    <row r="556" ht="15.75" customHeight="1">
      <c r="G556" s="57"/>
      <c r="H556" s="57"/>
    </row>
    <row r="557" ht="15.75" customHeight="1">
      <c r="G557" s="57"/>
      <c r="H557" s="57"/>
    </row>
    <row r="558" ht="15.75" customHeight="1">
      <c r="G558" s="57"/>
      <c r="H558" s="57"/>
    </row>
    <row r="559" ht="15.75" customHeight="1">
      <c r="G559" s="57"/>
      <c r="H559" s="57"/>
    </row>
    <row r="560" ht="15.75" customHeight="1">
      <c r="G560" s="57"/>
      <c r="H560" s="57"/>
    </row>
    <row r="561" ht="15.75" customHeight="1">
      <c r="G561" s="57"/>
      <c r="H561" s="57"/>
    </row>
    <row r="562" ht="15.75" customHeight="1">
      <c r="G562" s="57"/>
      <c r="H562" s="57"/>
    </row>
    <row r="563" ht="15.75" customHeight="1">
      <c r="G563" s="57"/>
      <c r="H563" s="57"/>
    </row>
    <row r="564" ht="15.75" customHeight="1">
      <c r="G564" s="57"/>
      <c r="H564" s="57"/>
    </row>
    <row r="565" ht="15.75" customHeight="1">
      <c r="G565" s="57"/>
      <c r="H565" s="57"/>
    </row>
    <row r="566" ht="15.75" customHeight="1">
      <c r="G566" s="57"/>
      <c r="H566" s="57"/>
    </row>
    <row r="567" ht="15.75" customHeight="1">
      <c r="G567" s="57"/>
      <c r="H567" s="57"/>
    </row>
    <row r="568" ht="15.75" customHeight="1">
      <c r="G568" s="57"/>
      <c r="H568" s="57"/>
    </row>
    <row r="569" ht="15.75" customHeight="1">
      <c r="G569" s="57"/>
      <c r="H569" s="57"/>
    </row>
    <row r="570" ht="15.75" customHeight="1">
      <c r="G570" s="57"/>
      <c r="H570" s="57"/>
    </row>
    <row r="571" ht="15.75" customHeight="1">
      <c r="G571" s="57"/>
      <c r="H571" s="57"/>
    </row>
    <row r="572" ht="15.75" customHeight="1">
      <c r="G572" s="57"/>
      <c r="H572" s="57"/>
    </row>
    <row r="573" ht="15.75" customHeight="1">
      <c r="G573" s="57"/>
      <c r="H573" s="57"/>
    </row>
    <row r="574" ht="15.75" customHeight="1">
      <c r="G574" s="57"/>
      <c r="H574" s="57"/>
    </row>
    <row r="575" ht="15.75" customHeight="1">
      <c r="G575" s="57"/>
      <c r="H575" s="57"/>
    </row>
    <row r="576" ht="15.75" customHeight="1">
      <c r="G576" s="57"/>
      <c r="H576" s="57"/>
    </row>
    <row r="577" ht="15.75" customHeight="1">
      <c r="G577" s="57"/>
      <c r="H577" s="57"/>
    </row>
    <row r="578" ht="15.75" customHeight="1">
      <c r="G578" s="57"/>
      <c r="H578" s="57"/>
    </row>
    <row r="579" ht="15.75" customHeight="1">
      <c r="G579" s="57"/>
      <c r="H579" s="57"/>
    </row>
    <row r="580" ht="15.75" customHeight="1">
      <c r="G580" s="57"/>
      <c r="H580" s="57"/>
    </row>
    <row r="581" ht="15.75" customHeight="1">
      <c r="G581" s="57"/>
      <c r="H581" s="57"/>
    </row>
    <row r="582" ht="15.75" customHeight="1">
      <c r="G582" s="57"/>
      <c r="H582" s="57"/>
    </row>
    <row r="583" ht="15.75" customHeight="1">
      <c r="G583" s="57"/>
      <c r="H583" s="57"/>
    </row>
    <row r="584" ht="15.75" customHeight="1">
      <c r="G584" s="57"/>
      <c r="H584" s="57"/>
    </row>
    <row r="585" ht="15.75" customHeight="1">
      <c r="G585" s="57"/>
      <c r="H585" s="57"/>
    </row>
    <row r="586" ht="15.75" customHeight="1">
      <c r="G586" s="57"/>
      <c r="H586" s="57"/>
    </row>
    <row r="587" ht="15.75" customHeight="1">
      <c r="G587" s="57"/>
      <c r="H587" s="57"/>
    </row>
    <row r="588" ht="15.75" customHeight="1">
      <c r="G588" s="57"/>
      <c r="H588" s="57"/>
    </row>
    <row r="589" ht="15.75" customHeight="1">
      <c r="G589" s="57"/>
      <c r="H589" s="57"/>
    </row>
    <row r="590" ht="15.75" customHeight="1">
      <c r="G590" s="57"/>
      <c r="H590" s="57"/>
    </row>
    <row r="591" ht="15.75" customHeight="1">
      <c r="G591" s="57"/>
      <c r="H591" s="57"/>
    </row>
    <row r="592" ht="15.75" customHeight="1">
      <c r="G592" s="57"/>
      <c r="H592" s="57"/>
    </row>
    <row r="593" ht="15.75" customHeight="1">
      <c r="G593" s="57"/>
      <c r="H593" s="57"/>
    </row>
    <row r="594" ht="15.75" customHeight="1">
      <c r="G594" s="57"/>
      <c r="H594" s="57"/>
    </row>
    <row r="595" ht="15.75" customHeight="1">
      <c r="G595" s="57"/>
      <c r="H595" s="57"/>
    </row>
    <row r="596" ht="15.75" customHeight="1">
      <c r="G596" s="57"/>
      <c r="H596" s="57"/>
    </row>
    <row r="597" ht="15.75" customHeight="1">
      <c r="G597" s="57"/>
      <c r="H597" s="57"/>
    </row>
    <row r="598" ht="15.75" customHeight="1">
      <c r="G598" s="57"/>
      <c r="H598" s="57"/>
    </row>
    <row r="599" ht="15.75" customHeight="1">
      <c r="G599" s="57"/>
      <c r="H599" s="57"/>
    </row>
    <row r="600" ht="15.75" customHeight="1">
      <c r="G600" s="57"/>
      <c r="H600" s="57"/>
    </row>
    <row r="601" ht="15.75" customHeight="1">
      <c r="G601" s="57"/>
      <c r="H601" s="57"/>
    </row>
    <row r="602" ht="15.75" customHeight="1">
      <c r="G602" s="57"/>
      <c r="H602" s="57"/>
    </row>
    <row r="603" ht="15.75" customHeight="1">
      <c r="G603" s="57"/>
      <c r="H603" s="57"/>
    </row>
    <row r="604" ht="15.75" customHeight="1">
      <c r="G604" s="57"/>
      <c r="H604" s="57"/>
    </row>
    <row r="605" ht="15.75" customHeight="1">
      <c r="G605" s="57"/>
      <c r="H605" s="57"/>
    </row>
    <row r="606" ht="15.75" customHeight="1">
      <c r="G606" s="57"/>
      <c r="H606" s="57"/>
    </row>
    <row r="607" ht="15.75" customHeight="1">
      <c r="G607" s="57"/>
      <c r="H607" s="57"/>
    </row>
    <row r="608" ht="15.75" customHeight="1">
      <c r="G608" s="57"/>
      <c r="H608" s="57"/>
    </row>
    <row r="609" ht="15.75" customHeight="1">
      <c r="G609" s="57"/>
      <c r="H609" s="57"/>
    </row>
    <row r="610" ht="15.75" customHeight="1">
      <c r="G610" s="57"/>
      <c r="H610" s="57"/>
    </row>
    <row r="611" ht="15.75" customHeight="1">
      <c r="G611" s="57"/>
      <c r="H611" s="57"/>
    </row>
    <row r="612" ht="15.75" customHeight="1">
      <c r="G612" s="57"/>
      <c r="H612" s="57"/>
    </row>
    <row r="613" ht="15.75" customHeight="1">
      <c r="G613" s="57"/>
      <c r="H613" s="57"/>
    </row>
    <row r="614" ht="15.75" customHeight="1">
      <c r="G614" s="57"/>
      <c r="H614" s="57"/>
    </row>
    <row r="615" ht="15.75" customHeight="1">
      <c r="G615" s="57"/>
      <c r="H615" s="57"/>
    </row>
    <row r="616" ht="15.75" customHeight="1">
      <c r="G616" s="57"/>
      <c r="H616" s="57"/>
    </row>
    <row r="617" ht="15.75" customHeight="1">
      <c r="G617" s="57"/>
      <c r="H617" s="57"/>
    </row>
    <row r="618" ht="15.75" customHeight="1">
      <c r="G618" s="57"/>
      <c r="H618" s="57"/>
    </row>
    <row r="619" ht="15.75" customHeight="1">
      <c r="G619" s="57"/>
      <c r="H619" s="57"/>
    </row>
    <row r="620" ht="15.75" customHeight="1">
      <c r="G620" s="57"/>
      <c r="H620" s="57"/>
    </row>
    <row r="621" ht="15.75" customHeight="1">
      <c r="G621" s="57"/>
      <c r="H621" s="57"/>
    </row>
    <row r="622" ht="15.75" customHeight="1">
      <c r="G622" s="57"/>
      <c r="H622" s="57"/>
    </row>
    <row r="623" ht="15.75" customHeight="1">
      <c r="G623" s="57"/>
      <c r="H623" s="57"/>
    </row>
    <row r="624" ht="15.75" customHeight="1">
      <c r="G624" s="57"/>
      <c r="H624" s="57"/>
    </row>
    <row r="625" ht="15.75" customHeight="1">
      <c r="G625" s="57"/>
      <c r="H625" s="57"/>
    </row>
    <row r="626" ht="15.75" customHeight="1">
      <c r="G626" s="57"/>
      <c r="H626" s="57"/>
    </row>
    <row r="627" ht="15.75" customHeight="1">
      <c r="G627" s="57"/>
      <c r="H627" s="57"/>
    </row>
    <row r="628" ht="15.75" customHeight="1">
      <c r="G628" s="57"/>
      <c r="H628" s="57"/>
    </row>
    <row r="629" ht="15.75" customHeight="1">
      <c r="G629" s="57"/>
      <c r="H629" s="57"/>
    </row>
    <row r="630" ht="15.75" customHeight="1">
      <c r="G630" s="57"/>
      <c r="H630" s="57"/>
    </row>
    <row r="631" ht="15.75" customHeight="1">
      <c r="G631" s="57"/>
      <c r="H631" s="57"/>
    </row>
    <row r="632" ht="15.75" customHeight="1">
      <c r="G632" s="57"/>
      <c r="H632" s="57"/>
    </row>
    <row r="633" ht="15.75" customHeight="1">
      <c r="G633" s="57"/>
      <c r="H633" s="57"/>
    </row>
    <row r="634" ht="15.75" customHeight="1">
      <c r="G634" s="57"/>
      <c r="H634" s="57"/>
    </row>
    <row r="635" ht="15.75" customHeight="1">
      <c r="G635" s="57"/>
      <c r="H635" s="57"/>
    </row>
    <row r="636" ht="15.75" customHeight="1">
      <c r="G636" s="57"/>
      <c r="H636" s="57"/>
    </row>
    <row r="637" ht="15.75" customHeight="1">
      <c r="G637" s="57"/>
      <c r="H637" s="57"/>
    </row>
    <row r="638" ht="15.75" customHeight="1">
      <c r="G638" s="57"/>
      <c r="H638" s="57"/>
    </row>
    <row r="639" ht="15.75" customHeight="1">
      <c r="G639" s="57"/>
      <c r="H639" s="57"/>
    </row>
    <row r="640" ht="15.75" customHeight="1">
      <c r="G640" s="57"/>
      <c r="H640" s="57"/>
    </row>
    <row r="641" ht="15.75" customHeight="1">
      <c r="G641" s="57"/>
      <c r="H641" s="57"/>
    </row>
    <row r="642" ht="15.75" customHeight="1">
      <c r="G642" s="57"/>
      <c r="H642" s="57"/>
    </row>
    <row r="643" ht="15.75" customHeight="1">
      <c r="G643" s="57"/>
      <c r="H643" s="57"/>
    </row>
    <row r="644" ht="15.75" customHeight="1">
      <c r="G644" s="57"/>
      <c r="H644" s="57"/>
    </row>
    <row r="645" ht="15.75" customHeight="1">
      <c r="G645" s="57"/>
      <c r="H645" s="57"/>
    </row>
    <row r="646" ht="15.75" customHeight="1">
      <c r="G646" s="57"/>
      <c r="H646" s="57"/>
    </row>
    <row r="647" ht="15.75" customHeight="1">
      <c r="G647" s="57"/>
      <c r="H647" s="57"/>
    </row>
    <row r="648" ht="15.75" customHeight="1">
      <c r="G648" s="57"/>
      <c r="H648" s="57"/>
    </row>
    <row r="649" ht="15.75" customHeight="1">
      <c r="G649" s="57"/>
      <c r="H649" s="57"/>
    </row>
    <row r="650" ht="15.75" customHeight="1">
      <c r="G650" s="57"/>
      <c r="H650" s="57"/>
    </row>
    <row r="651" ht="15.75" customHeight="1">
      <c r="G651" s="57"/>
      <c r="H651" s="57"/>
    </row>
    <row r="652" ht="15.75" customHeight="1">
      <c r="G652" s="57"/>
      <c r="H652" s="57"/>
    </row>
    <row r="653" ht="15.75" customHeight="1">
      <c r="G653" s="57"/>
      <c r="H653" s="57"/>
    </row>
    <row r="654" ht="15.75" customHeight="1">
      <c r="G654" s="57"/>
      <c r="H654" s="57"/>
    </row>
    <row r="655" ht="15.75" customHeight="1">
      <c r="G655" s="57"/>
      <c r="H655" s="57"/>
    </row>
    <row r="656" ht="15.75" customHeight="1">
      <c r="G656" s="57"/>
      <c r="H656" s="57"/>
    </row>
    <row r="657" ht="15.75" customHeight="1">
      <c r="G657" s="57"/>
      <c r="H657" s="57"/>
    </row>
    <row r="658" ht="15.75" customHeight="1">
      <c r="G658" s="57"/>
      <c r="H658" s="57"/>
    </row>
    <row r="659" ht="15.75" customHeight="1">
      <c r="G659" s="57"/>
      <c r="H659" s="57"/>
    </row>
    <row r="660" ht="15.75" customHeight="1">
      <c r="G660" s="57"/>
      <c r="H660" s="57"/>
    </row>
    <row r="661" ht="15.75" customHeight="1">
      <c r="G661" s="57"/>
      <c r="H661" s="57"/>
    </row>
    <row r="662" ht="15.75" customHeight="1">
      <c r="G662" s="57"/>
      <c r="H662" s="57"/>
    </row>
    <row r="663" ht="15.75" customHeight="1">
      <c r="G663" s="57"/>
      <c r="H663" s="57"/>
    </row>
    <row r="664" ht="15.75" customHeight="1">
      <c r="G664" s="57"/>
      <c r="H664" s="57"/>
    </row>
    <row r="665" ht="15.75" customHeight="1">
      <c r="G665" s="57"/>
      <c r="H665" s="57"/>
    </row>
    <row r="666" ht="15.75" customHeight="1">
      <c r="G666" s="57"/>
      <c r="H666" s="57"/>
    </row>
    <row r="667" ht="15.75" customHeight="1">
      <c r="G667" s="57"/>
      <c r="H667" s="57"/>
    </row>
    <row r="668" ht="15.75" customHeight="1">
      <c r="G668" s="57"/>
      <c r="H668" s="57"/>
    </row>
    <row r="669" ht="15.75" customHeight="1">
      <c r="G669" s="57"/>
      <c r="H669" s="57"/>
    </row>
    <row r="670" ht="15.75" customHeight="1">
      <c r="G670" s="57"/>
      <c r="H670" s="57"/>
    </row>
    <row r="671" ht="15.75" customHeight="1">
      <c r="G671" s="57"/>
      <c r="H671" s="57"/>
    </row>
    <row r="672" ht="15.75" customHeight="1">
      <c r="G672" s="57"/>
      <c r="H672" s="57"/>
    </row>
    <row r="673" ht="15.75" customHeight="1">
      <c r="G673" s="57"/>
      <c r="H673" s="57"/>
    </row>
    <row r="674" ht="15.75" customHeight="1">
      <c r="G674" s="57"/>
      <c r="H674" s="57"/>
    </row>
    <row r="675" ht="15.75" customHeight="1">
      <c r="G675" s="57"/>
      <c r="H675" s="57"/>
    </row>
    <row r="676" ht="15.75" customHeight="1">
      <c r="G676" s="57"/>
      <c r="H676" s="57"/>
    </row>
    <row r="677" ht="15.75" customHeight="1">
      <c r="G677" s="57"/>
      <c r="H677" s="57"/>
    </row>
    <row r="678" ht="15.75" customHeight="1">
      <c r="G678" s="57"/>
      <c r="H678" s="57"/>
    </row>
    <row r="679" ht="15.75" customHeight="1">
      <c r="G679" s="57"/>
      <c r="H679" s="57"/>
    </row>
    <row r="680" ht="15.75" customHeight="1">
      <c r="G680" s="57"/>
      <c r="H680" s="57"/>
    </row>
    <row r="681" ht="15.75" customHeight="1">
      <c r="G681" s="57"/>
      <c r="H681" s="57"/>
    </row>
    <row r="682" ht="15.75" customHeight="1">
      <c r="G682" s="57"/>
      <c r="H682" s="57"/>
    </row>
    <row r="683" ht="15.75" customHeight="1">
      <c r="G683" s="57"/>
      <c r="H683" s="57"/>
    </row>
    <row r="684" ht="15.75" customHeight="1">
      <c r="G684" s="57"/>
      <c r="H684" s="57"/>
    </row>
    <row r="685" ht="15.75" customHeight="1">
      <c r="G685" s="57"/>
      <c r="H685" s="57"/>
    </row>
    <row r="686" ht="15.75" customHeight="1">
      <c r="G686" s="57"/>
      <c r="H686" s="57"/>
    </row>
    <row r="687" ht="15.75" customHeight="1">
      <c r="G687" s="57"/>
      <c r="H687" s="57"/>
    </row>
    <row r="688" ht="15.75" customHeight="1">
      <c r="G688" s="57"/>
      <c r="H688" s="57"/>
    </row>
    <row r="689" ht="15.75" customHeight="1">
      <c r="G689" s="57"/>
      <c r="H689" s="57"/>
    </row>
    <row r="690" ht="15.75" customHeight="1">
      <c r="G690" s="57"/>
      <c r="H690" s="57"/>
    </row>
    <row r="691" ht="15.75" customHeight="1">
      <c r="G691" s="57"/>
      <c r="H691" s="57"/>
    </row>
    <row r="692" ht="15.75" customHeight="1">
      <c r="G692" s="57"/>
      <c r="H692" s="57"/>
    </row>
    <row r="693" ht="15.75" customHeight="1">
      <c r="G693" s="57"/>
      <c r="H693" s="57"/>
    </row>
    <row r="694" ht="15.75" customHeight="1">
      <c r="G694" s="57"/>
      <c r="H694" s="57"/>
    </row>
    <row r="695" ht="15.75" customHeight="1">
      <c r="G695" s="57"/>
      <c r="H695" s="57"/>
    </row>
    <row r="696" ht="15.75" customHeight="1">
      <c r="G696" s="57"/>
      <c r="H696" s="57"/>
    </row>
    <row r="697" ht="15.75" customHeight="1">
      <c r="G697" s="57"/>
      <c r="H697" s="57"/>
    </row>
    <row r="698" ht="15.75" customHeight="1">
      <c r="G698" s="57"/>
      <c r="H698" s="57"/>
    </row>
    <row r="699" ht="15.75" customHeight="1">
      <c r="G699" s="57"/>
      <c r="H699" s="57"/>
    </row>
    <row r="700" ht="15.75" customHeight="1">
      <c r="G700" s="57"/>
      <c r="H700" s="57"/>
    </row>
    <row r="701" ht="15.75" customHeight="1">
      <c r="G701" s="57"/>
      <c r="H701" s="57"/>
    </row>
    <row r="702" ht="15.75" customHeight="1">
      <c r="G702" s="57"/>
      <c r="H702" s="57"/>
    </row>
    <row r="703" ht="15.75" customHeight="1">
      <c r="G703" s="57"/>
      <c r="H703" s="57"/>
    </row>
    <row r="704" ht="15.75" customHeight="1">
      <c r="G704" s="57"/>
      <c r="H704" s="57"/>
    </row>
    <row r="705" ht="15.75" customHeight="1">
      <c r="G705" s="57"/>
      <c r="H705" s="57"/>
    </row>
    <row r="706" ht="15.75" customHeight="1">
      <c r="G706" s="57"/>
      <c r="H706" s="57"/>
    </row>
    <row r="707" ht="15.75" customHeight="1">
      <c r="G707" s="57"/>
      <c r="H707" s="57"/>
    </row>
    <row r="708" ht="15.75" customHeight="1">
      <c r="G708" s="57"/>
      <c r="H708" s="57"/>
    </row>
    <row r="709" ht="15.75" customHeight="1">
      <c r="G709" s="57"/>
      <c r="H709" s="57"/>
    </row>
    <row r="710" ht="15.75" customHeight="1">
      <c r="G710" s="57"/>
      <c r="H710" s="57"/>
    </row>
    <row r="711" ht="15.75" customHeight="1">
      <c r="G711" s="57"/>
      <c r="H711" s="57"/>
    </row>
    <row r="712" ht="15.75" customHeight="1">
      <c r="G712" s="57"/>
      <c r="H712" s="57"/>
    </row>
    <row r="713" ht="15.75" customHeight="1">
      <c r="G713" s="57"/>
      <c r="H713" s="57"/>
    </row>
    <row r="714" ht="15.75" customHeight="1">
      <c r="G714" s="57"/>
      <c r="H714" s="57"/>
    </row>
    <row r="715" ht="15.75" customHeight="1">
      <c r="G715" s="57"/>
      <c r="H715" s="57"/>
    </row>
    <row r="716" ht="15.75" customHeight="1">
      <c r="G716" s="57"/>
      <c r="H716" s="57"/>
    </row>
    <row r="717" ht="15.75" customHeight="1">
      <c r="G717" s="57"/>
      <c r="H717" s="57"/>
    </row>
    <row r="718" ht="15.75" customHeight="1">
      <c r="G718" s="57"/>
      <c r="H718" s="57"/>
    </row>
    <row r="719" ht="15.75" customHeight="1">
      <c r="G719" s="57"/>
      <c r="H719" s="57"/>
    </row>
    <row r="720" ht="15.75" customHeight="1">
      <c r="G720" s="57"/>
      <c r="H720" s="57"/>
    </row>
    <row r="721" ht="15.75" customHeight="1">
      <c r="G721" s="57"/>
      <c r="H721" s="57"/>
    </row>
    <row r="722" ht="15.75" customHeight="1">
      <c r="G722" s="57"/>
      <c r="H722" s="57"/>
    </row>
    <row r="723" ht="15.75" customHeight="1">
      <c r="G723" s="57"/>
      <c r="H723" s="57"/>
    </row>
    <row r="724" ht="15.75" customHeight="1">
      <c r="G724" s="57"/>
      <c r="H724" s="57"/>
    </row>
    <row r="725" ht="15.75" customHeight="1">
      <c r="G725" s="57"/>
      <c r="H725" s="57"/>
    </row>
    <row r="726" ht="15.75" customHeight="1">
      <c r="G726" s="57"/>
      <c r="H726" s="57"/>
    </row>
    <row r="727" ht="15.75" customHeight="1">
      <c r="G727" s="57"/>
      <c r="H727" s="57"/>
    </row>
    <row r="728" ht="15.75" customHeight="1">
      <c r="G728" s="57"/>
      <c r="H728" s="57"/>
    </row>
    <row r="729" ht="15.75" customHeight="1">
      <c r="G729" s="57"/>
      <c r="H729" s="57"/>
    </row>
    <row r="730" ht="15.75" customHeight="1">
      <c r="G730" s="57"/>
      <c r="H730" s="57"/>
    </row>
    <row r="731" ht="15.75" customHeight="1">
      <c r="G731" s="57"/>
      <c r="H731" s="57"/>
    </row>
    <row r="732" ht="15.75" customHeight="1">
      <c r="G732" s="57"/>
      <c r="H732" s="57"/>
    </row>
    <row r="733" ht="15.75" customHeight="1">
      <c r="G733" s="57"/>
      <c r="H733" s="57"/>
    </row>
    <row r="734" ht="15.75" customHeight="1">
      <c r="G734" s="57"/>
      <c r="H734" s="57"/>
    </row>
    <row r="735" ht="15.75" customHeight="1">
      <c r="G735" s="57"/>
      <c r="H735" s="57"/>
    </row>
    <row r="736" ht="15.75" customHeight="1">
      <c r="G736" s="57"/>
      <c r="H736" s="57"/>
    </row>
    <row r="737" ht="15.75" customHeight="1">
      <c r="G737" s="57"/>
      <c r="H737" s="57"/>
    </row>
    <row r="738" ht="15.75" customHeight="1">
      <c r="G738" s="57"/>
      <c r="H738" s="57"/>
    </row>
    <row r="739" ht="15.75" customHeight="1">
      <c r="G739" s="57"/>
      <c r="H739" s="57"/>
    </row>
    <row r="740" ht="15.75" customHeight="1">
      <c r="G740" s="57"/>
      <c r="H740" s="57"/>
    </row>
    <row r="741" ht="15.75" customHeight="1">
      <c r="G741" s="57"/>
      <c r="H741" s="57"/>
    </row>
    <row r="742" ht="15.75" customHeight="1">
      <c r="G742" s="57"/>
      <c r="H742" s="57"/>
    </row>
    <row r="743" ht="15.75" customHeight="1">
      <c r="G743" s="57"/>
      <c r="H743" s="57"/>
    </row>
    <row r="744" ht="15.75" customHeight="1">
      <c r="G744" s="57"/>
      <c r="H744" s="57"/>
    </row>
    <row r="745" ht="15.75" customHeight="1">
      <c r="G745" s="57"/>
      <c r="H745" s="57"/>
    </row>
    <row r="746" ht="15.75" customHeight="1">
      <c r="G746" s="57"/>
      <c r="H746" s="57"/>
    </row>
    <row r="747" ht="15.75" customHeight="1">
      <c r="G747" s="57"/>
      <c r="H747" s="57"/>
    </row>
    <row r="748" ht="15.75" customHeight="1">
      <c r="G748" s="57"/>
      <c r="H748" s="57"/>
    </row>
    <row r="749" ht="15.75" customHeight="1">
      <c r="G749" s="57"/>
      <c r="H749" s="57"/>
    </row>
    <row r="750" ht="15.75" customHeight="1">
      <c r="G750" s="57"/>
      <c r="H750" s="57"/>
    </row>
    <row r="751" ht="15.75" customHeight="1">
      <c r="G751" s="57"/>
      <c r="H751" s="57"/>
    </row>
    <row r="752" ht="15.75" customHeight="1">
      <c r="G752" s="57"/>
      <c r="H752" s="57"/>
    </row>
    <row r="753" ht="15.75" customHeight="1">
      <c r="G753" s="57"/>
      <c r="H753" s="57"/>
    </row>
    <row r="754" ht="15.75" customHeight="1">
      <c r="G754" s="57"/>
      <c r="H754" s="57"/>
    </row>
    <row r="755" ht="15.75" customHeight="1">
      <c r="G755" s="57"/>
      <c r="H755" s="57"/>
    </row>
    <row r="756" ht="15.75" customHeight="1">
      <c r="G756" s="57"/>
      <c r="H756" s="57"/>
    </row>
    <row r="757" ht="15.75" customHeight="1">
      <c r="G757" s="57"/>
      <c r="H757" s="57"/>
    </row>
    <row r="758" ht="15.75" customHeight="1">
      <c r="G758" s="57"/>
      <c r="H758" s="57"/>
    </row>
    <row r="759" ht="15.75" customHeight="1">
      <c r="G759" s="57"/>
      <c r="H759" s="57"/>
    </row>
    <row r="760" ht="15.75" customHeight="1">
      <c r="G760" s="57"/>
      <c r="H760" s="57"/>
    </row>
    <row r="761" ht="15.75" customHeight="1">
      <c r="G761" s="57"/>
      <c r="H761" s="57"/>
    </row>
    <row r="762" ht="15.75" customHeight="1">
      <c r="G762" s="57"/>
      <c r="H762" s="57"/>
    </row>
    <row r="763" ht="15.75" customHeight="1">
      <c r="G763" s="57"/>
      <c r="H763" s="57"/>
    </row>
    <row r="764" ht="15.75" customHeight="1">
      <c r="G764" s="57"/>
      <c r="H764" s="57"/>
    </row>
    <row r="765" ht="15.75" customHeight="1">
      <c r="G765" s="57"/>
      <c r="H765" s="57"/>
    </row>
    <row r="766" ht="15.75" customHeight="1">
      <c r="G766" s="57"/>
      <c r="H766" s="57"/>
    </row>
    <row r="767" ht="15.75" customHeight="1">
      <c r="G767" s="57"/>
      <c r="H767" s="57"/>
    </row>
    <row r="768" ht="15.75" customHeight="1">
      <c r="G768" s="57"/>
      <c r="H768" s="57"/>
    </row>
    <row r="769" ht="15.75" customHeight="1">
      <c r="G769" s="57"/>
      <c r="H769" s="57"/>
    </row>
    <row r="770" ht="15.75" customHeight="1">
      <c r="G770" s="57"/>
      <c r="H770" s="57"/>
    </row>
    <row r="771" ht="15.75" customHeight="1">
      <c r="G771" s="57"/>
      <c r="H771" s="57"/>
    </row>
    <row r="772" ht="15.75" customHeight="1">
      <c r="G772" s="57"/>
      <c r="H772" s="57"/>
    </row>
    <row r="773" ht="15.75" customHeight="1">
      <c r="G773" s="57"/>
      <c r="H773" s="57"/>
    </row>
    <row r="774" ht="15.75" customHeight="1">
      <c r="G774" s="57"/>
      <c r="H774" s="57"/>
    </row>
    <row r="775" ht="15.75" customHeight="1">
      <c r="G775" s="57"/>
      <c r="H775" s="57"/>
    </row>
    <row r="776" ht="15.75" customHeight="1">
      <c r="G776" s="57"/>
      <c r="H776" s="57"/>
    </row>
    <row r="777" ht="15.75" customHeight="1">
      <c r="G777" s="57"/>
      <c r="H777" s="57"/>
    </row>
    <row r="778" ht="15.75" customHeight="1">
      <c r="G778" s="57"/>
      <c r="H778" s="57"/>
    </row>
    <row r="779" ht="15.75" customHeight="1">
      <c r="G779" s="57"/>
      <c r="H779" s="57"/>
    </row>
    <row r="780" ht="15.75" customHeight="1">
      <c r="G780" s="57"/>
      <c r="H780" s="57"/>
    </row>
    <row r="781" ht="15.75" customHeight="1">
      <c r="G781" s="57"/>
      <c r="H781" s="57"/>
    </row>
    <row r="782" ht="15.75" customHeight="1">
      <c r="G782" s="57"/>
      <c r="H782" s="57"/>
    </row>
    <row r="783" ht="15.75" customHeight="1">
      <c r="G783" s="57"/>
      <c r="H783" s="57"/>
    </row>
    <row r="784" ht="15.75" customHeight="1">
      <c r="G784" s="57"/>
      <c r="H784" s="57"/>
    </row>
    <row r="785" ht="15.75" customHeight="1">
      <c r="G785" s="57"/>
      <c r="H785" s="57"/>
    </row>
    <row r="786" ht="15.75" customHeight="1">
      <c r="G786" s="57"/>
      <c r="H786" s="57"/>
    </row>
    <row r="787" ht="15.75" customHeight="1">
      <c r="G787" s="57"/>
      <c r="H787" s="57"/>
    </row>
    <row r="788" ht="15.75" customHeight="1">
      <c r="G788" s="57"/>
      <c r="H788" s="57"/>
    </row>
    <row r="789" ht="15.75" customHeight="1">
      <c r="G789" s="57"/>
      <c r="H789" s="57"/>
    </row>
    <row r="790" ht="15.75" customHeight="1">
      <c r="G790" s="57"/>
      <c r="H790" s="57"/>
    </row>
    <row r="791" ht="15.75" customHeight="1">
      <c r="G791" s="57"/>
      <c r="H791" s="57"/>
    </row>
    <row r="792" ht="15.75" customHeight="1">
      <c r="G792" s="57"/>
      <c r="H792" s="57"/>
    </row>
    <row r="793" ht="15.75" customHeight="1">
      <c r="G793" s="57"/>
      <c r="H793" s="57"/>
    </row>
    <row r="794" ht="15.75" customHeight="1">
      <c r="G794" s="57"/>
      <c r="H794" s="57"/>
    </row>
    <row r="795" ht="15.75" customHeight="1">
      <c r="G795" s="57"/>
      <c r="H795" s="57"/>
    </row>
    <row r="796" ht="15.75" customHeight="1">
      <c r="G796" s="57"/>
      <c r="H796" s="57"/>
    </row>
    <row r="797" ht="15.75" customHeight="1">
      <c r="G797" s="57"/>
      <c r="H797" s="57"/>
    </row>
    <row r="798" ht="15.75" customHeight="1">
      <c r="G798" s="57"/>
      <c r="H798" s="57"/>
    </row>
    <row r="799" ht="15.75" customHeight="1">
      <c r="G799" s="57"/>
      <c r="H799" s="57"/>
    </row>
    <row r="800" ht="15.75" customHeight="1">
      <c r="G800" s="57"/>
      <c r="H800" s="57"/>
    </row>
    <row r="801" ht="15.75" customHeight="1">
      <c r="G801" s="57"/>
      <c r="H801" s="57"/>
    </row>
    <row r="802" ht="15.75" customHeight="1">
      <c r="G802" s="57"/>
      <c r="H802" s="57"/>
    </row>
    <row r="803" ht="15.75" customHeight="1">
      <c r="G803" s="57"/>
      <c r="H803" s="57"/>
    </row>
    <row r="804" ht="15.75" customHeight="1">
      <c r="G804" s="57"/>
      <c r="H804" s="57"/>
    </row>
    <row r="805" ht="15.75" customHeight="1">
      <c r="G805" s="57"/>
      <c r="H805" s="57"/>
    </row>
    <row r="806" ht="15.75" customHeight="1">
      <c r="G806" s="57"/>
      <c r="H806" s="57"/>
    </row>
    <row r="807" ht="15.75" customHeight="1">
      <c r="G807" s="57"/>
      <c r="H807" s="57"/>
    </row>
    <row r="808" ht="15.75" customHeight="1">
      <c r="G808" s="57"/>
      <c r="H808" s="57"/>
    </row>
    <row r="809" ht="15.75" customHeight="1">
      <c r="G809" s="57"/>
      <c r="H809" s="57"/>
    </row>
    <row r="810" ht="15.75" customHeight="1">
      <c r="G810" s="57"/>
      <c r="H810" s="57"/>
    </row>
    <row r="811" ht="15.75" customHeight="1">
      <c r="G811" s="57"/>
      <c r="H811" s="57"/>
    </row>
    <row r="812" ht="15.75" customHeight="1">
      <c r="G812" s="57"/>
      <c r="H812" s="57"/>
    </row>
    <row r="813" ht="15.75" customHeight="1">
      <c r="G813" s="57"/>
      <c r="H813" s="57"/>
    </row>
    <row r="814" ht="15.75" customHeight="1">
      <c r="G814" s="57"/>
      <c r="H814" s="57"/>
    </row>
    <row r="815" ht="15.75" customHeight="1">
      <c r="G815" s="57"/>
      <c r="H815" s="57"/>
    </row>
    <row r="816" ht="15.75" customHeight="1">
      <c r="G816" s="57"/>
      <c r="H816" s="57"/>
    </row>
    <row r="817" ht="15.75" customHeight="1">
      <c r="G817" s="57"/>
      <c r="H817" s="57"/>
    </row>
    <row r="818" ht="15.75" customHeight="1">
      <c r="G818" s="57"/>
      <c r="H818" s="57"/>
    </row>
    <row r="819" ht="15.75" customHeight="1">
      <c r="G819" s="57"/>
      <c r="H819" s="57"/>
    </row>
    <row r="820" ht="15.75" customHeight="1">
      <c r="G820" s="57"/>
      <c r="H820" s="57"/>
    </row>
    <row r="821" ht="15.75" customHeight="1">
      <c r="G821" s="57"/>
      <c r="H821" s="57"/>
    </row>
    <row r="822" ht="15.75" customHeight="1">
      <c r="G822" s="57"/>
      <c r="H822" s="57"/>
    </row>
    <row r="823" ht="15.75" customHeight="1">
      <c r="G823" s="57"/>
      <c r="H823" s="57"/>
    </row>
    <row r="824" ht="15.75" customHeight="1">
      <c r="G824" s="57"/>
      <c r="H824" s="57"/>
    </row>
    <row r="825" ht="15.75" customHeight="1">
      <c r="G825" s="57"/>
      <c r="H825" s="57"/>
    </row>
    <row r="826" ht="15.75" customHeight="1">
      <c r="G826" s="57"/>
      <c r="H826" s="57"/>
    </row>
    <row r="827" ht="15.75" customHeight="1">
      <c r="G827" s="57"/>
      <c r="H827" s="57"/>
    </row>
    <row r="828" ht="15.75" customHeight="1">
      <c r="G828" s="57"/>
      <c r="H828" s="57"/>
    </row>
    <row r="829" ht="15.75" customHeight="1">
      <c r="G829" s="57"/>
      <c r="H829" s="57"/>
    </row>
    <row r="830" ht="15.75" customHeight="1">
      <c r="G830" s="57"/>
      <c r="H830" s="57"/>
    </row>
    <row r="831" ht="15.75" customHeight="1">
      <c r="G831" s="57"/>
      <c r="H831" s="57"/>
    </row>
    <row r="832" ht="15.75" customHeight="1">
      <c r="G832" s="57"/>
      <c r="H832" s="57"/>
    </row>
    <row r="833" ht="15.75" customHeight="1">
      <c r="G833" s="57"/>
      <c r="H833" s="57"/>
    </row>
    <row r="834" ht="15.75" customHeight="1">
      <c r="G834" s="57"/>
      <c r="H834" s="57"/>
    </row>
    <row r="835" ht="15.75" customHeight="1">
      <c r="G835" s="57"/>
      <c r="H835" s="57"/>
    </row>
    <row r="836" ht="15.75" customHeight="1">
      <c r="G836" s="57"/>
      <c r="H836" s="57"/>
    </row>
    <row r="837" ht="15.75" customHeight="1">
      <c r="G837" s="57"/>
      <c r="H837" s="57"/>
    </row>
    <row r="838" ht="15.75" customHeight="1">
      <c r="G838" s="57"/>
      <c r="H838" s="57"/>
    </row>
    <row r="839" ht="15.75" customHeight="1">
      <c r="G839" s="57"/>
      <c r="H839" s="57"/>
    </row>
    <row r="840" ht="15.75" customHeight="1">
      <c r="G840" s="57"/>
      <c r="H840" s="57"/>
    </row>
    <row r="841" ht="15.75" customHeight="1">
      <c r="G841" s="57"/>
      <c r="H841" s="57"/>
    </row>
    <row r="842" ht="15.75" customHeight="1">
      <c r="G842" s="57"/>
      <c r="H842" s="57"/>
    </row>
    <row r="843" ht="15.75" customHeight="1">
      <c r="G843" s="57"/>
      <c r="H843" s="57"/>
    </row>
    <row r="844" ht="15.75" customHeight="1">
      <c r="G844" s="57"/>
      <c r="H844" s="57"/>
    </row>
    <row r="845" ht="15.75" customHeight="1">
      <c r="G845" s="57"/>
      <c r="H845" s="57"/>
    </row>
    <row r="846" ht="15.75" customHeight="1">
      <c r="G846" s="57"/>
      <c r="H846" s="57"/>
    </row>
    <row r="847" ht="15.75" customHeight="1">
      <c r="G847" s="57"/>
      <c r="H847" s="57"/>
    </row>
    <row r="848" ht="15.75" customHeight="1">
      <c r="G848" s="57"/>
      <c r="H848" s="57"/>
    </row>
    <row r="849" ht="15.75" customHeight="1">
      <c r="G849" s="57"/>
      <c r="H849" s="57"/>
    </row>
    <row r="850" ht="15.75" customHeight="1">
      <c r="G850" s="57"/>
      <c r="H850" s="57"/>
    </row>
    <row r="851" ht="15.75" customHeight="1">
      <c r="G851" s="57"/>
      <c r="H851" s="57"/>
    </row>
    <row r="852" ht="15.75" customHeight="1">
      <c r="G852" s="57"/>
      <c r="H852" s="57"/>
    </row>
    <row r="853" ht="15.75" customHeight="1">
      <c r="G853" s="57"/>
      <c r="H853" s="57"/>
    </row>
    <row r="854" ht="15.75" customHeight="1">
      <c r="G854" s="57"/>
      <c r="H854" s="57"/>
    </row>
    <row r="855" ht="15.75" customHeight="1">
      <c r="G855" s="57"/>
      <c r="H855" s="57"/>
    </row>
    <row r="856" ht="15.75" customHeight="1">
      <c r="G856" s="57"/>
      <c r="H856" s="57"/>
    </row>
    <row r="857" ht="15.75" customHeight="1">
      <c r="G857" s="57"/>
      <c r="H857" s="57"/>
    </row>
    <row r="858" ht="15.75" customHeight="1">
      <c r="G858" s="57"/>
      <c r="H858" s="57"/>
    </row>
    <row r="859" ht="15.75" customHeight="1">
      <c r="G859" s="57"/>
      <c r="H859" s="57"/>
    </row>
    <row r="860" ht="15.75" customHeight="1">
      <c r="G860" s="57"/>
      <c r="H860" s="57"/>
    </row>
    <row r="861" ht="15.75" customHeight="1">
      <c r="G861" s="57"/>
      <c r="H861" s="57"/>
    </row>
    <row r="862" ht="15.75" customHeight="1">
      <c r="G862" s="57"/>
      <c r="H862" s="57"/>
    </row>
    <row r="863" ht="15.75" customHeight="1">
      <c r="G863" s="57"/>
      <c r="H863" s="57"/>
    </row>
    <row r="864" ht="15.75" customHeight="1">
      <c r="G864" s="57"/>
      <c r="H864" s="57"/>
    </row>
    <row r="865" ht="15.75" customHeight="1">
      <c r="G865" s="57"/>
      <c r="H865" s="57"/>
    </row>
    <row r="866" ht="15.75" customHeight="1">
      <c r="G866" s="57"/>
      <c r="H866" s="57"/>
    </row>
    <row r="867" ht="15.75" customHeight="1">
      <c r="G867" s="57"/>
      <c r="H867" s="57"/>
    </row>
    <row r="868" ht="15.75" customHeight="1">
      <c r="G868" s="57"/>
      <c r="H868" s="57"/>
    </row>
    <row r="869" ht="15.75" customHeight="1">
      <c r="G869" s="57"/>
      <c r="H869" s="57"/>
    </row>
    <row r="870" ht="15.75" customHeight="1">
      <c r="G870" s="57"/>
      <c r="H870" s="57"/>
    </row>
    <row r="871" ht="15.75" customHeight="1">
      <c r="G871" s="57"/>
      <c r="H871" s="57"/>
    </row>
    <row r="872" ht="15.75" customHeight="1">
      <c r="G872" s="57"/>
      <c r="H872" s="57"/>
    </row>
    <row r="873" ht="15.75" customHeight="1">
      <c r="G873" s="57"/>
      <c r="H873" s="57"/>
    </row>
    <row r="874" ht="15.75" customHeight="1">
      <c r="G874" s="57"/>
      <c r="H874" s="57"/>
    </row>
    <row r="875" ht="15.75" customHeight="1">
      <c r="G875" s="57"/>
      <c r="H875" s="57"/>
    </row>
    <row r="876" ht="15.75" customHeight="1">
      <c r="G876" s="57"/>
      <c r="H876" s="57"/>
    </row>
    <row r="877" ht="15.75" customHeight="1">
      <c r="G877" s="57"/>
      <c r="H877" s="57"/>
    </row>
    <row r="878" ht="15.75" customHeight="1">
      <c r="G878" s="57"/>
      <c r="H878" s="57"/>
    </row>
    <row r="879" ht="15.75" customHeight="1">
      <c r="G879" s="57"/>
      <c r="H879" s="57"/>
    </row>
    <row r="880" ht="15.75" customHeight="1">
      <c r="G880" s="57"/>
      <c r="H880" s="57"/>
    </row>
    <row r="881" ht="15.75" customHeight="1">
      <c r="G881" s="57"/>
      <c r="H881" s="57"/>
    </row>
    <row r="882" ht="15.75" customHeight="1">
      <c r="G882" s="57"/>
      <c r="H882" s="57"/>
    </row>
    <row r="883" ht="15.75" customHeight="1">
      <c r="G883" s="57"/>
      <c r="H883" s="57"/>
    </row>
    <row r="884" ht="15.75" customHeight="1">
      <c r="G884" s="57"/>
      <c r="H884" s="57"/>
    </row>
    <row r="885" ht="15.75" customHeight="1">
      <c r="G885" s="57"/>
      <c r="H885" s="57"/>
    </row>
    <row r="886" ht="15.75" customHeight="1">
      <c r="G886" s="57"/>
      <c r="H886" s="57"/>
    </row>
    <row r="887" ht="15.75" customHeight="1">
      <c r="G887" s="57"/>
      <c r="H887" s="57"/>
    </row>
    <row r="888" ht="15.75" customHeight="1">
      <c r="G888" s="57"/>
      <c r="H888" s="57"/>
    </row>
    <row r="889" ht="15.75" customHeight="1">
      <c r="G889" s="57"/>
      <c r="H889" s="57"/>
    </row>
    <row r="890" ht="15.75" customHeight="1">
      <c r="G890" s="57"/>
      <c r="H890" s="57"/>
    </row>
    <row r="891" ht="15.75" customHeight="1">
      <c r="G891" s="57"/>
      <c r="H891" s="57"/>
    </row>
    <row r="892" ht="15.75" customHeight="1">
      <c r="G892" s="57"/>
      <c r="H892" s="57"/>
    </row>
    <row r="893" ht="15.75" customHeight="1">
      <c r="G893" s="57"/>
      <c r="H893" s="57"/>
    </row>
    <row r="894" ht="15.75" customHeight="1">
      <c r="G894" s="57"/>
      <c r="H894" s="57"/>
    </row>
    <row r="895" ht="15.75" customHeight="1">
      <c r="G895" s="57"/>
      <c r="H895" s="57"/>
    </row>
    <row r="896" ht="15.75" customHeight="1">
      <c r="G896" s="57"/>
      <c r="H896" s="57"/>
    </row>
    <row r="897" ht="15.75" customHeight="1">
      <c r="G897" s="57"/>
      <c r="H897" s="57"/>
    </row>
    <row r="898" ht="15.75" customHeight="1">
      <c r="G898" s="57"/>
      <c r="H898" s="57"/>
    </row>
    <row r="899" ht="15.75" customHeight="1">
      <c r="G899" s="57"/>
      <c r="H899" s="57"/>
    </row>
    <row r="900" ht="15.75" customHeight="1">
      <c r="G900" s="57"/>
      <c r="H900" s="57"/>
    </row>
    <row r="901" ht="15.75" customHeight="1">
      <c r="G901" s="57"/>
      <c r="H901" s="57"/>
    </row>
    <row r="902" ht="15.75" customHeight="1">
      <c r="G902" s="57"/>
      <c r="H902" s="57"/>
    </row>
    <row r="903" ht="15.75" customHeight="1">
      <c r="G903" s="57"/>
      <c r="H903" s="57"/>
    </row>
    <row r="904" ht="15.75" customHeight="1">
      <c r="G904" s="57"/>
      <c r="H904" s="57"/>
    </row>
    <row r="905" ht="15.75" customHeight="1">
      <c r="G905" s="57"/>
      <c r="H905" s="57"/>
    </row>
    <row r="906" ht="15.75" customHeight="1">
      <c r="G906" s="57"/>
      <c r="H906" s="57"/>
    </row>
    <row r="907" ht="15.75" customHeight="1">
      <c r="G907" s="57"/>
      <c r="H907" s="57"/>
    </row>
    <row r="908" ht="15.75" customHeight="1">
      <c r="G908" s="57"/>
      <c r="H908" s="57"/>
    </row>
    <row r="909" ht="15.75" customHeight="1">
      <c r="G909" s="57"/>
      <c r="H909" s="57"/>
    </row>
    <row r="910" ht="15.75" customHeight="1">
      <c r="G910" s="57"/>
      <c r="H910" s="57"/>
    </row>
    <row r="911" ht="15.75" customHeight="1">
      <c r="G911" s="57"/>
      <c r="H911" s="57"/>
    </row>
    <row r="912" ht="15.75" customHeight="1">
      <c r="G912" s="57"/>
      <c r="H912" s="57"/>
    </row>
    <row r="913" ht="15.75" customHeight="1">
      <c r="G913" s="57"/>
      <c r="H913" s="57"/>
    </row>
    <row r="914" ht="15.75" customHeight="1">
      <c r="G914" s="57"/>
      <c r="H914" s="57"/>
    </row>
    <row r="915" ht="15.75" customHeight="1">
      <c r="G915" s="57"/>
      <c r="H915" s="57"/>
    </row>
    <row r="916" ht="15.75" customHeight="1">
      <c r="G916" s="57"/>
      <c r="H916" s="57"/>
    </row>
    <row r="917" ht="15.75" customHeight="1">
      <c r="G917" s="57"/>
      <c r="H917" s="57"/>
    </row>
    <row r="918" ht="15.75" customHeight="1">
      <c r="G918" s="57"/>
      <c r="H918" s="57"/>
    </row>
    <row r="919" ht="15.75" customHeight="1">
      <c r="G919" s="57"/>
      <c r="H919" s="57"/>
    </row>
    <row r="920" ht="15.75" customHeight="1">
      <c r="G920" s="57"/>
      <c r="H920" s="57"/>
    </row>
    <row r="921" ht="15.75" customHeight="1">
      <c r="G921" s="57"/>
      <c r="H921" s="57"/>
    </row>
    <row r="922" ht="15.75" customHeight="1">
      <c r="G922" s="57"/>
      <c r="H922" s="57"/>
    </row>
    <row r="923" ht="15.75" customHeight="1">
      <c r="G923" s="57"/>
      <c r="H923" s="57"/>
    </row>
    <row r="924" ht="15.75" customHeight="1">
      <c r="G924" s="57"/>
      <c r="H924" s="57"/>
    </row>
    <row r="925" ht="15.75" customHeight="1">
      <c r="G925" s="57"/>
      <c r="H925" s="57"/>
    </row>
    <row r="926" ht="15.75" customHeight="1">
      <c r="G926" s="57"/>
      <c r="H926" s="57"/>
    </row>
    <row r="927" ht="15.75" customHeight="1">
      <c r="G927" s="57"/>
      <c r="H927" s="57"/>
    </row>
    <row r="928" ht="15.75" customHeight="1">
      <c r="G928" s="57"/>
      <c r="H928" s="57"/>
    </row>
    <row r="929" ht="15.75" customHeight="1">
      <c r="G929" s="57"/>
      <c r="H929" s="57"/>
    </row>
    <row r="930" ht="15.75" customHeight="1">
      <c r="G930" s="57"/>
      <c r="H930" s="57"/>
    </row>
    <row r="931" ht="15.75" customHeight="1">
      <c r="G931" s="57"/>
      <c r="H931" s="57"/>
    </row>
    <row r="932" ht="15.75" customHeight="1">
      <c r="G932" s="57"/>
      <c r="H932" s="57"/>
    </row>
    <row r="933" ht="15.75" customHeight="1">
      <c r="G933" s="57"/>
      <c r="H933" s="57"/>
    </row>
    <row r="934" ht="15.75" customHeight="1">
      <c r="G934" s="57"/>
      <c r="H934" s="57"/>
    </row>
    <row r="935" ht="15.75" customHeight="1">
      <c r="G935" s="57"/>
      <c r="H935" s="57"/>
    </row>
    <row r="936" ht="15.75" customHeight="1">
      <c r="G936" s="57"/>
      <c r="H936" s="57"/>
    </row>
    <row r="937" ht="15.75" customHeight="1">
      <c r="G937" s="57"/>
      <c r="H937" s="57"/>
    </row>
    <row r="938" ht="15.75" customHeight="1">
      <c r="G938" s="57"/>
      <c r="H938" s="57"/>
    </row>
    <row r="939" ht="15.75" customHeight="1">
      <c r="G939" s="57"/>
      <c r="H939" s="57"/>
    </row>
    <row r="940" ht="15.75" customHeight="1">
      <c r="G940" s="57"/>
      <c r="H940" s="57"/>
    </row>
    <row r="941" ht="15.75" customHeight="1">
      <c r="G941" s="57"/>
      <c r="H941" s="57"/>
    </row>
    <row r="942" ht="15.75" customHeight="1">
      <c r="G942" s="57"/>
      <c r="H942" s="57"/>
    </row>
    <row r="943" ht="15.75" customHeight="1">
      <c r="G943" s="57"/>
      <c r="H943" s="57"/>
    </row>
    <row r="944" ht="15.75" customHeight="1">
      <c r="G944" s="57"/>
      <c r="H944" s="57"/>
    </row>
    <row r="945" ht="15.75" customHeight="1">
      <c r="G945" s="57"/>
      <c r="H945" s="57"/>
    </row>
    <row r="946" ht="15.75" customHeight="1">
      <c r="G946" s="57"/>
      <c r="H946" s="57"/>
    </row>
    <row r="947" ht="15.75" customHeight="1">
      <c r="G947" s="57"/>
      <c r="H947" s="57"/>
    </row>
    <row r="948" ht="15.75" customHeight="1">
      <c r="G948" s="57"/>
      <c r="H948" s="57"/>
    </row>
    <row r="949" ht="15.75" customHeight="1">
      <c r="G949" s="57"/>
      <c r="H949" s="57"/>
    </row>
    <row r="950" ht="15.75" customHeight="1">
      <c r="G950" s="57"/>
      <c r="H950" s="57"/>
    </row>
    <row r="951" ht="15.75" customHeight="1">
      <c r="G951" s="57"/>
      <c r="H951" s="57"/>
    </row>
    <row r="952" ht="15.75" customHeight="1">
      <c r="G952" s="57"/>
      <c r="H952" s="57"/>
    </row>
    <row r="953" ht="15.75" customHeight="1">
      <c r="G953" s="57"/>
      <c r="H953" s="57"/>
    </row>
    <row r="954" ht="15.75" customHeight="1">
      <c r="G954" s="57"/>
      <c r="H954" s="57"/>
    </row>
    <row r="955" ht="15.75" customHeight="1">
      <c r="G955" s="57"/>
      <c r="H955" s="57"/>
    </row>
    <row r="956" ht="15.75" customHeight="1">
      <c r="G956" s="57"/>
      <c r="H956" s="57"/>
    </row>
    <row r="957" ht="15.75" customHeight="1">
      <c r="G957" s="57"/>
      <c r="H957" s="57"/>
    </row>
    <row r="958" ht="15.75" customHeight="1">
      <c r="G958" s="57"/>
      <c r="H958" s="57"/>
    </row>
    <row r="959" ht="15.75" customHeight="1">
      <c r="G959" s="57"/>
      <c r="H959" s="57"/>
    </row>
    <row r="960" ht="15.75" customHeight="1">
      <c r="G960" s="57"/>
      <c r="H960" s="57"/>
    </row>
    <row r="961" ht="15.75" customHeight="1">
      <c r="G961" s="57"/>
      <c r="H961" s="57"/>
    </row>
    <row r="962" ht="15.75" customHeight="1">
      <c r="G962" s="57"/>
      <c r="H962" s="57"/>
    </row>
    <row r="963" ht="15.75" customHeight="1">
      <c r="G963" s="57"/>
      <c r="H963" s="57"/>
    </row>
    <row r="964" ht="15.75" customHeight="1">
      <c r="G964" s="57"/>
      <c r="H964" s="57"/>
    </row>
    <row r="965" ht="15.75" customHeight="1">
      <c r="G965" s="57"/>
      <c r="H965" s="57"/>
    </row>
    <row r="966" ht="15.75" customHeight="1">
      <c r="G966" s="57"/>
      <c r="H966" s="57"/>
    </row>
    <row r="967" ht="15.75" customHeight="1">
      <c r="G967" s="57"/>
      <c r="H967" s="57"/>
    </row>
    <row r="968" ht="15.75" customHeight="1">
      <c r="G968" s="57"/>
      <c r="H968" s="57"/>
    </row>
    <row r="969" ht="15.75" customHeight="1">
      <c r="G969" s="57"/>
      <c r="H969" s="57"/>
    </row>
    <row r="970" ht="15.75" customHeight="1">
      <c r="G970" s="57"/>
      <c r="H970" s="57"/>
    </row>
    <row r="971" ht="15.75" customHeight="1">
      <c r="G971" s="57"/>
      <c r="H971" s="57"/>
    </row>
    <row r="972" ht="15.75" customHeight="1">
      <c r="G972" s="57"/>
      <c r="H972" s="57"/>
    </row>
    <row r="973" ht="15.75" customHeight="1">
      <c r="G973" s="57"/>
      <c r="H973" s="57"/>
    </row>
    <row r="974" ht="15.75" customHeight="1">
      <c r="G974" s="57"/>
      <c r="H974" s="57"/>
    </row>
    <row r="975" ht="15.75" customHeight="1">
      <c r="G975" s="57"/>
      <c r="H975" s="57"/>
    </row>
    <row r="976" ht="15.75" customHeight="1">
      <c r="G976" s="57"/>
      <c r="H976" s="57"/>
    </row>
    <row r="977" ht="15.75" customHeight="1">
      <c r="G977" s="57"/>
      <c r="H977" s="57"/>
    </row>
    <row r="978" ht="15.75" customHeight="1">
      <c r="G978" s="57"/>
      <c r="H978" s="57"/>
    </row>
    <row r="979" ht="15.75" customHeight="1">
      <c r="G979" s="57"/>
      <c r="H979" s="57"/>
    </row>
    <row r="980" ht="15.75" customHeight="1">
      <c r="G980" s="57"/>
      <c r="H980" s="57"/>
    </row>
    <row r="981" ht="15.75" customHeight="1">
      <c r="G981" s="57"/>
      <c r="H981" s="57"/>
    </row>
    <row r="982" ht="15.75" customHeight="1">
      <c r="G982" s="57"/>
      <c r="H982" s="57"/>
    </row>
    <row r="983" ht="15.75" customHeight="1">
      <c r="G983" s="57"/>
      <c r="H983" s="57"/>
    </row>
    <row r="984" ht="15.75" customHeight="1">
      <c r="G984" s="57"/>
      <c r="H984" s="57"/>
    </row>
    <row r="985" ht="15.75" customHeight="1">
      <c r="G985" s="57"/>
      <c r="H985" s="57"/>
    </row>
    <row r="986" ht="15.75" customHeight="1">
      <c r="G986" s="57"/>
      <c r="H986" s="57"/>
    </row>
    <row r="987" ht="15.75" customHeight="1">
      <c r="G987" s="57"/>
      <c r="H987" s="57"/>
    </row>
    <row r="988" ht="15.75" customHeight="1">
      <c r="G988" s="57"/>
      <c r="H988" s="57"/>
    </row>
    <row r="989" ht="15.75" customHeight="1">
      <c r="G989" s="57"/>
      <c r="H989" s="57"/>
    </row>
    <row r="990" ht="15.75" customHeight="1">
      <c r="G990" s="57"/>
      <c r="H990" s="57"/>
    </row>
    <row r="991" ht="15.75" customHeight="1">
      <c r="G991" s="57"/>
      <c r="H991" s="57"/>
    </row>
    <row r="992" ht="15.75" customHeight="1">
      <c r="G992" s="57"/>
      <c r="H992" s="57"/>
    </row>
    <row r="993" ht="15.75" customHeight="1">
      <c r="G993" s="57"/>
      <c r="H993" s="57"/>
    </row>
    <row r="994" ht="15.75" customHeight="1">
      <c r="G994" s="57"/>
      <c r="H994" s="57"/>
    </row>
    <row r="995" ht="15.75" customHeight="1">
      <c r="G995" s="57"/>
      <c r="H995" s="57"/>
    </row>
    <row r="996" ht="15.75" customHeight="1">
      <c r="G996" s="57"/>
      <c r="H996" s="57"/>
    </row>
  </sheetData>
  <mergeCells count="35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A16:J16"/>
    <mergeCell ref="A17:J17"/>
    <mergeCell ref="A18:J18"/>
    <mergeCell ref="A35:B35"/>
    <mergeCell ref="A36:B36"/>
    <mergeCell ref="A40:A41"/>
    <mergeCell ref="F36:G36"/>
    <mergeCell ref="A37:J37"/>
    <mergeCell ref="F38:G38"/>
    <mergeCell ref="F39:G39"/>
    <mergeCell ref="A21:J21"/>
    <mergeCell ref="A24:J24"/>
    <mergeCell ref="D26:J26"/>
    <mergeCell ref="A28:J28"/>
    <mergeCell ref="G30:H30"/>
    <mergeCell ref="A34:J34"/>
    <mergeCell ref="F35:G35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7"/>
      <c r="B1" s="57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AB1" s="183"/>
      <c r="AC1" s="183"/>
      <c r="AD1" s="183"/>
      <c r="AE1" s="183"/>
    </row>
    <row r="2">
      <c r="A2" s="184" t="s">
        <v>123</v>
      </c>
      <c r="B2" s="185"/>
      <c r="C2" s="186"/>
      <c r="D2" s="186"/>
      <c r="E2" s="186" t="s">
        <v>0</v>
      </c>
      <c r="G2" s="181"/>
      <c r="H2" s="187" t="s">
        <v>124</v>
      </c>
      <c r="I2" s="188"/>
      <c r="J2" s="189">
        <f>+General!D6</f>
        <v>70.566</v>
      </c>
      <c r="K2" s="182"/>
      <c r="L2" s="182"/>
      <c r="M2" s="182"/>
      <c r="AB2" s="183"/>
      <c r="AC2" s="183"/>
      <c r="AD2" s="183"/>
      <c r="AE2" s="183"/>
    </row>
    <row r="3">
      <c r="A3" s="185"/>
      <c r="B3" s="57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AB3" s="183"/>
      <c r="AC3" s="183"/>
      <c r="AD3" s="183"/>
      <c r="AE3" s="183"/>
    </row>
    <row r="4">
      <c r="A4" s="57"/>
      <c r="B4" s="57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125</v>
      </c>
      <c r="B5" s="193" t="s">
        <v>100</v>
      </c>
      <c r="C5" s="194">
        <v>44236.0</v>
      </c>
      <c r="D5" s="194">
        <v>44237.0</v>
      </c>
      <c r="E5" s="194">
        <v>44238.0</v>
      </c>
      <c r="F5" s="194">
        <v>44239.0</v>
      </c>
      <c r="G5" s="194">
        <v>44240.0</v>
      </c>
      <c r="H5" s="195">
        <v>44241.0</v>
      </c>
      <c r="I5" s="196">
        <v>44242.0</v>
      </c>
      <c r="J5" s="197">
        <v>44243.0</v>
      </c>
      <c r="K5" s="194">
        <v>44244.0</v>
      </c>
      <c r="L5" s="194">
        <v>44245.0</v>
      </c>
      <c r="M5" s="194">
        <v>44246.0</v>
      </c>
      <c r="N5" s="194"/>
      <c r="O5" s="198"/>
      <c r="P5" s="199"/>
      <c r="Q5" s="198"/>
      <c r="R5" s="198"/>
      <c r="S5" s="200"/>
      <c r="T5" s="200"/>
      <c r="U5" s="200"/>
      <c r="V5" s="200"/>
      <c r="W5" s="200"/>
      <c r="X5" s="200"/>
      <c r="Y5" s="200"/>
      <c r="Z5" s="200"/>
      <c r="AA5" s="201"/>
      <c r="AB5" s="202"/>
      <c r="AC5" s="203"/>
      <c r="AD5" s="204"/>
      <c r="AE5" s="205"/>
    </row>
    <row r="6">
      <c r="A6" s="206"/>
      <c r="B6" s="207" t="s">
        <v>126</v>
      </c>
      <c r="C6" s="208">
        <v>79.0</v>
      </c>
      <c r="D6" s="209">
        <v>72.0</v>
      </c>
      <c r="E6" s="210">
        <v>68.0</v>
      </c>
      <c r="F6" s="211">
        <v>105.0</v>
      </c>
      <c r="G6" s="212">
        <v>87.0</v>
      </c>
      <c r="H6" s="213">
        <v>86.0</v>
      </c>
      <c r="I6" s="214">
        <v>112.0</v>
      </c>
      <c r="J6" s="215">
        <v>93.0</v>
      </c>
      <c r="K6" s="216">
        <v>96.0</v>
      </c>
      <c r="L6" s="209">
        <v>91.0</v>
      </c>
      <c r="M6" s="210">
        <v>105.0</v>
      </c>
      <c r="N6" s="217"/>
      <c r="O6" s="218"/>
      <c r="P6" s="219"/>
      <c r="Q6" s="220"/>
      <c r="R6" s="221"/>
      <c r="S6" s="222"/>
      <c r="T6" s="223"/>
      <c r="U6" s="224"/>
      <c r="V6" s="225"/>
      <c r="W6" s="222"/>
      <c r="X6" s="223"/>
      <c r="Y6" s="224"/>
      <c r="Z6" s="223"/>
      <c r="AA6" s="224"/>
      <c r="AB6" s="226"/>
      <c r="AC6" s="227"/>
      <c r="AD6" s="228"/>
      <c r="AE6" s="205"/>
    </row>
    <row r="7">
      <c r="A7" s="206"/>
      <c r="B7" s="229" t="s">
        <v>127</v>
      </c>
      <c r="C7" s="230">
        <v>151.0</v>
      </c>
      <c r="D7" s="231">
        <v>123.0</v>
      </c>
      <c r="E7" s="232">
        <v>158.0</v>
      </c>
      <c r="F7" s="233">
        <v>109.0</v>
      </c>
      <c r="G7" s="234">
        <v>136.0</v>
      </c>
      <c r="H7" s="235">
        <v>140.0</v>
      </c>
      <c r="I7" s="214">
        <v>136.0</v>
      </c>
      <c r="J7" s="236">
        <v>116.0</v>
      </c>
      <c r="K7" s="237">
        <v>117.0</v>
      </c>
      <c r="L7" s="231">
        <v>77.0</v>
      </c>
      <c r="M7" s="232">
        <v>114.0</v>
      </c>
      <c r="N7" s="238"/>
      <c r="O7" s="239"/>
      <c r="P7" s="240"/>
      <c r="Q7" s="241"/>
      <c r="R7" s="242"/>
      <c r="S7" s="243"/>
      <c r="T7" s="244"/>
      <c r="U7" s="245"/>
      <c r="V7" s="246"/>
      <c r="W7" s="243"/>
      <c r="X7" s="244"/>
      <c r="Y7" s="245"/>
      <c r="Z7" s="244"/>
      <c r="AA7" s="245"/>
      <c r="AB7" s="247"/>
      <c r="AC7" s="248"/>
      <c r="AD7" s="249"/>
      <c r="AE7" s="205"/>
    </row>
    <row r="8">
      <c r="A8" s="206"/>
      <c r="B8" s="229" t="s">
        <v>128</v>
      </c>
      <c r="C8" s="230">
        <v>62.0</v>
      </c>
      <c r="D8" s="235">
        <v>52.0</v>
      </c>
      <c r="E8" s="230">
        <v>98.0</v>
      </c>
      <c r="F8" s="233">
        <v>60.0</v>
      </c>
      <c r="G8" s="234">
        <v>68.0</v>
      </c>
      <c r="H8" s="235">
        <v>69.0</v>
      </c>
      <c r="I8" s="250">
        <v>97.0</v>
      </c>
      <c r="J8" s="233">
        <v>65.0</v>
      </c>
      <c r="K8" s="234">
        <v>69.0</v>
      </c>
      <c r="L8" s="235">
        <v>61.0</v>
      </c>
      <c r="M8" s="232">
        <v>86.0</v>
      </c>
      <c r="N8" s="238"/>
      <c r="O8" s="251"/>
      <c r="P8" s="240"/>
      <c r="Q8" s="241"/>
      <c r="R8" s="252"/>
      <c r="S8" s="243"/>
      <c r="T8" s="244"/>
      <c r="U8" s="245"/>
      <c r="V8" s="246"/>
      <c r="W8" s="243"/>
      <c r="X8" s="244"/>
      <c r="Y8" s="245"/>
      <c r="Z8" s="244"/>
      <c r="AA8" s="245"/>
      <c r="AB8" s="247"/>
      <c r="AC8" s="248"/>
      <c r="AD8" s="249"/>
      <c r="AE8" s="205"/>
    </row>
    <row r="9">
      <c r="A9" s="206"/>
      <c r="B9" s="253" t="s">
        <v>129</v>
      </c>
      <c r="C9" s="230"/>
      <c r="D9" s="235">
        <v>37.9</v>
      </c>
      <c r="E9" s="230">
        <v>36.8</v>
      </c>
      <c r="F9" s="233">
        <v>37.6</v>
      </c>
      <c r="G9" s="234">
        <v>37.6</v>
      </c>
      <c r="H9" s="254"/>
      <c r="I9" s="255"/>
      <c r="J9" s="256"/>
      <c r="K9" s="234">
        <v>37.0</v>
      </c>
      <c r="L9" s="254"/>
      <c r="M9" s="232">
        <v>36.7</v>
      </c>
      <c r="N9" s="242"/>
      <c r="O9" s="251"/>
      <c r="P9" s="240"/>
      <c r="Q9" s="241"/>
      <c r="R9" s="252"/>
      <c r="S9" s="243"/>
      <c r="T9" s="244"/>
      <c r="U9" s="245"/>
      <c r="V9" s="246"/>
      <c r="W9" s="243"/>
      <c r="X9" s="244"/>
      <c r="Y9" s="245"/>
      <c r="Z9" s="244"/>
      <c r="AA9" s="245"/>
      <c r="AB9" s="247"/>
      <c r="AC9" s="248"/>
      <c r="AD9" s="249"/>
      <c r="AE9" s="205"/>
    </row>
    <row r="10">
      <c r="A10" s="206"/>
      <c r="B10" s="253" t="s">
        <v>130</v>
      </c>
      <c r="C10" s="230">
        <v>100.0</v>
      </c>
      <c r="D10" s="231">
        <v>98.0</v>
      </c>
      <c r="E10" s="232">
        <v>98.0</v>
      </c>
      <c r="F10" s="233">
        <v>98.0</v>
      </c>
      <c r="G10" s="234">
        <v>99.0</v>
      </c>
      <c r="H10" s="235">
        <v>98.0</v>
      </c>
      <c r="I10" s="214">
        <v>95.0</v>
      </c>
      <c r="J10" s="236">
        <v>97.0</v>
      </c>
      <c r="K10" s="237">
        <v>100.0</v>
      </c>
      <c r="L10" s="231">
        <v>99.0</v>
      </c>
      <c r="M10" s="232">
        <v>100.0</v>
      </c>
      <c r="N10" s="238"/>
      <c r="O10" s="239"/>
      <c r="P10" s="240"/>
      <c r="Q10" s="241"/>
      <c r="R10" s="252"/>
      <c r="S10" s="243"/>
      <c r="T10" s="244"/>
      <c r="U10" s="245"/>
      <c r="V10" s="246"/>
      <c r="W10" s="243"/>
      <c r="X10" s="244"/>
      <c r="Y10" s="245"/>
      <c r="Z10" s="244"/>
      <c r="AA10" s="245"/>
      <c r="AB10" s="247"/>
      <c r="AC10" s="248"/>
      <c r="AD10" s="249"/>
      <c r="AE10" s="205"/>
    </row>
    <row r="11">
      <c r="A11" s="206"/>
      <c r="B11" s="257" t="s">
        <v>131</v>
      </c>
      <c r="C11" s="232"/>
      <c r="D11" s="231">
        <v>0.0</v>
      </c>
      <c r="E11" s="232">
        <v>0.0</v>
      </c>
      <c r="F11" s="233">
        <v>0.0</v>
      </c>
      <c r="G11" s="234">
        <v>0.0</v>
      </c>
      <c r="H11" s="254"/>
      <c r="I11" s="214">
        <v>0.0</v>
      </c>
      <c r="J11" s="252"/>
      <c r="K11" s="237">
        <v>0.0</v>
      </c>
      <c r="L11" s="231">
        <v>0.0</v>
      </c>
      <c r="M11" s="232">
        <v>0.0</v>
      </c>
      <c r="N11" s="238"/>
      <c r="O11" s="239"/>
      <c r="P11" s="240"/>
      <c r="Q11" s="241"/>
      <c r="R11" s="252"/>
      <c r="S11" s="243"/>
      <c r="T11" s="244"/>
      <c r="U11" s="245"/>
      <c r="V11" s="246"/>
      <c r="W11" s="243"/>
      <c r="X11" s="244"/>
      <c r="Y11" s="245"/>
      <c r="Z11" s="244"/>
      <c r="AA11" s="245"/>
      <c r="AB11" s="247"/>
      <c r="AC11" s="248"/>
      <c r="AD11" s="249"/>
      <c r="AE11" s="205"/>
    </row>
    <row r="12">
      <c r="A12" s="206"/>
      <c r="B12" s="258"/>
      <c r="C12" s="232" t="s">
        <v>132</v>
      </c>
      <c r="D12" s="237" t="s">
        <v>132</v>
      </c>
      <c r="E12" s="232" t="s">
        <v>132</v>
      </c>
      <c r="F12" s="237" t="s">
        <v>132</v>
      </c>
      <c r="G12" s="232" t="s">
        <v>132</v>
      </c>
      <c r="H12" s="237" t="s">
        <v>132</v>
      </c>
      <c r="I12" s="259" t="s">
        <v>132</v>
      </c>
      <c r="J12" s="237" t="s">
        <v>132</v>
      </c>
      <c r="K12" s="232" t="s">
        <v>132</v>
      </c>
      <c r="L12" s="237" t="s">
        <v>132</v>
      </c>
      <c r="M12" s="232"/>
      <c r="N12" s="237"/>
      <c r="O12" s="232"/>
      <c r="P12" s="260"/>
      <c r="Q12" s="232"/>
      <c r="R12" s="237"/>
      <c r="S12" s="232"/>
      <c r="T12" s="237"/>
      <c r="U12" s="232"/>
      <c r="V12" s="237"/>
      <c r="W12" s="232"/>
      <c r="X12" s="237"/>
      <c r="Y12" s="232"/>
      <c r="Z12" s="237"/>
      <c r="AA12" s="232"/>
      <c r="AB12" s="237"/>
      <c r="AC12" s="232"/>
      <c r="AD12" s="260"/>
      <c r="AE12" s="205"/>
    </row>
    <row r="13">
      <c r="A13" s="206"/>
      <c r="B13" s="257" t="s">
        <v>133</v>
      </c>
      <c r="C13" s="232"/>
      <c r="D13" s="231">
        <v>-5.0</v>
      </c>
      <c r="E13" s="232">
        <v>-5.0</v>
      </c>
      <c r="F13" s="236">
        <v>-4.0</v>
      </c>
      <c r="G13" s="237">
        <v>-4.0</v>
      </c>
      <c r="H13" s="231">
        <v>-4.0</v>
      </c>
      <c r="I13" s="214">
        <v>-5.0</v>
      </c>
      <c r="J13" s="236" t="s">
        <v>134</v>
      </c>
      <c r="K13" s="237">
        <v>-4.0</v>
      </c>
      <c r="L13" s="231">
        <v>-4.0</v>
      </c>
      <c r="M13" s="232">
        <v>-2.0</v>
      </c>
      <c r="N13" s="236"/>
      <c r="O13" s="239"/>
      <c r="P13" s="240"/>
      <c r="Q13" s="241"/>
      <c r="R13" s="252"/>
      <c r="S13" s="243"/>
      <c r="T13" s="244"/>
      <c r="U13" s="245"/>
      <c r="V13" s="246"/>
      <c r="W13" s="243"/>
      <c r="X13" s="244"/>
      <c r="Y13" s="245"/>
      <c r="Z13" s="244"/>
      <c r="AA13" s="245"/>
      <c r="AB13" s="247"/>
      <c r="AC13" s="248"/>
      <c r="AD13" s="249"/>
      <c r="AE13" s="205"/>
    </row>
    <row r="14">
      <c r="A14" s="206"/>
      <c r="B14" s="258"/>
      <c r="C14" s="232" t="s">
        <v>135</v>
      </c>
      <c r="D14" s="237" t="s">
        <v>135</v>
      </c>
      <c r="E14" s="232" t="s">
        <v>135</v>
      </c>
      <c r="F14" s="237" t="s">
        <v>136</v>
      </c>
      <c r="G14" s="232"/>
      <c r="H14" s="237" t="s">
        <v>136</v>
      </c>
      <c r="I14" s="259" t="s">
        <v>136</v>
      </c>
      <c r="J14" s="237"/>
      <c r="K14" s="232"/>
      <c r="L14" s="237"/>
      <c r="M14" s="232"/>
      <c r="N14" s="237"/>
      <c r="O14" s="232"/>
      <c r="P14" s="260"/>
      <c r="Q14" s="232"/>
      <c r="R14" s="237"/>
      <c r="S14" s="232"/>
      <c r="T14" s="237"/>
      <c r="U14" s="232"/>
      <c r="V14" s="237"/>
      <c r="W14" s="232"/>
      <c r="X14" s="237"/>
      <c r="Y14" s="232"/>
      <c r="Z14" s="237"/>
      <c r="AA14" s="232"/>
      <c r="AB14" s="237"/>
      <c r="AC14" s="232"/>
      <c r="AD14" s="261"/>
      <c r="AE14" s="205"/>
    </row>
    <row r="15">
      <c r="A15" s="206"/>
      <c r="B15" s="262" t="s">
        <v>137</v>
      </c>
      <c r="C15" s="232"/>
      <c r="D15" s="237" t="s">
        <v>138</v>
      </c>
      <c r="E15" s="232" t="s">
        <v>138</v>
      </c>
      <c r="F15" s="237"/>
      <c r="G15" s="232"/>
      <c r="H15" s="237" t="s">
        <v>138</v>
      </c>
      <c r="I15" s="259" t="s">
        <v>138</v>
      </c>
      <c r="J15" s="237" t="s">
        <v>138</v>
      </c>
      <c r="K15" s="232" t="s">
        <v>138</v>
      </c>
      <c r="L15" s="237" t="s">
        <v>138</v>
      </c>
      <c r="M15" s="232" t="s">
        <v>138</v>
      </c>
      <c r="N15" s="237"/>
      <c r="O15" s="263"/>
      <c r="P15" s="264"/>
      <c r="Q15" s="263"/>
      <c r="R15" s="265"/>
      <c r="S15" s="263"/>
      <c r="T15" s="265"/>
      <c r="U15" s="263"/>
      <c r="V15" s="265"/>
      <c r="W15" s="263"/>
      <c r="X15" s="265"/>
      <c r="Y15" s="263"/>
      <c r="Z15" s="266"/>
      <c r="AA15" s="263"/>
      <c r="AB15" s="267"/>
      <c r="AC15" s="265"/>
      <c r="AD15" s="268"/>
      <c r="AE15" s="205"/>
    </row>
    <row r="16">
      <c r="A16" s="206"/>
      <c r="C16" s="232"/>
      <c r="D16" s="265"/>
      <c r="E16" s="232"/>
      <c r="F16" s="265"/>
      <c r="G16" s="232"/>
      <c r="H16" s="265"/>
      <c r="I16" s="269" t="s">
        <v>139</v>
      </c>
      <c r="J16" s="237" t="s">
        <v>139</v>
      </c>
      <c r="K16" s="232" t="s">
        <v>139</v>
      </c>
      <c r="L16" s="237" t="s">
        <v>139</v>
      </c>
      <c r="M16" s="232" t="s">
        <v>139</v>
      </c>
      <c r="N16" s="237"/>
      <c r="O16" s="263"/>
      <c r="P16" s="264"/>
      <c r="Q16" s="263"/>
      <c r="R16" s="265"/>
      <c r="S16" s="263"/>
      <c r="T16" s="265"/>
      <c r="U16" s="263"/>
      <c r="V16" s="265"/>
      <c r="W16" s="263"/>
      <c r="X16" s="265"/>
      <c r="Y16" s="263"/>
      <c r="Z16" s="265"/>
      <c r="AA16" s="263"/>
      <c r="AB16" s="265"/>
      <c r="AC16" s="263"/>
      <c r="AD16" s="270"/>
      <c r="AE16" s="205"/>
    </row>
    <row r="17" ht="15.75" customHeight="1">
      <c r="A17" s="206"/>
      <c r="B17" s="271" t="s">
        <v>140</v>
      </c>
      <c r="C17" s="232"/>
      <c r="D17" s="231"/>
      <c r="E17" s="232"/>
      <c r="F17" s="252"/>
      <c r="G17" s="237"/>
      <c r="H17" s="272"/>
      <c r="I17" s="255"/>
      <c r="J17" s="236"/>
      <c r="K17" s="237"/>
      <c r="L17" s="272"/>
      <c r="M17" s="241"/>
      <c r="N17" s="252"/>
      <c r="O17" s="239"/>
      <c r="P17" s="240"/>
      <c r="Q17" s="241"/>
      <c r="R17" s="252"/>
      <c r="S17" s="243"/>
      <c r="T17" s="244"/>
      <c r="U17" s="245"/>
      <c r="V17" s="246"/>
      <c r="W17" s="243"/>
      <c r="X17" s="244"/>
      <c r="Y17" s="245"/>
      <c r="Z17" s="244"/>
      <c r="AA17" s="245"/>
      <c r="AB17" s="247"/>
      <c r="AC17" s="248"/>
      <c r="AD17" s="249"/>
      <c r="AE17" s="205"/>
    </row>
    <row r="18">
      <c r="A18" s="206"/>
      <c r="B18" s="273"/>
      <c r="C18" s="232"/>
      <c r="D18" s="237"/>
      <c r="E18" s="232"/>
      <c r="F18" s="274"/>
      <c r="G18" s="232"/>
      <c r="H18" s="274"/>
      <c r="I18" s="259"/>
      <c r="J18" s="274"/>
      <c r="K18" s="232"/>
      <c r="L18" s="274"/>
      <c r="M18" s="232"/>
      <c r="N18" s="274"/>
      <c r="O18" s="232"/>
      <c r="P18" s="261"/>
      <c r="Q18" s="232"/>
      <c r="R18" s="274"/>
      <c r="S18" s="232"/>
      <c r="T18" s="274"/>
      <c r="U18" s="232"/>
      <c r="V18" s="274"/>
      <c r="W18" s="232"/>
      <c r="X18" s="274"/>
      <c r="Y18" s="232"/>
      <c r="Z18" s="274"/>
      <c r="AA18" s="232"/>
      <c r="AB18" s="274"/>
      <c r="AC18" s="232"/>
      <c r="AD18" s="261"/>
      <c r="AE18" s="205"/>
    </row>
    <row r="19">
      <c r="A19" s="275"/>
      <c r="B19" s="276" t="s">
        <v>115</v>
      </c>
      <c r="C19" s="277" t="s">
        <v>141</v>
      </c>
      <c r="D19" s="278" t="s">
        <v>141</v>
      </c>
      <c r="E19" s="277" t="s">
        <v>141</v>
      </c>
      <c r="F19" s="278"/>
      <c r="G19" s="277"/>
      <c r="H19" s="278"/>
      <c r="I19" s="279"/>
      <c r="J19" s="278"/>
      <c r="K19" s="277"/>
      <c r="L19" s="278"/>
      <c r="M19" s="277"/>
      <c r="N19" s="278"/>
      <c r="O19" s="277"/>
      <c r="P19" s="280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80"/>
      <c r="AE19" s="205"/>
    </row>
    <row r="20">
      <c r="A20" s="281" t="s">
        <v>142</v>
      </c>
      <c r="B20" s="282" t="s">
        <v>143</v>
      </c>
      <c r="C20" s="210">
        <v>7.32</v>
      </c>
      <c r="D20" s="213">
        <v>7.35</v>
      </c>
      <c r="E20" s="210">
        <v>7.39</v>
      </c>
      <c r="F20" s="283">
        <v>7.44</v>
      </c>
      <c r="G20" s="284">
        <v>7.41</v>
      </c>
      <c r="H20" s="285">
        <v>7.4</v>
      </c>
      <c r="I20" s="214">
        <v>7.43</v>
      </c>
      <c r="J20" s="283">
        <v>7.43</v>
      </c>
      <c r="K20" s="284">
        <v>7.41</v>
      </c>
      <c r="L20" s="285">
        <v>7.41</v>
      </c>
      <c r="M20" s="286">
        <v>7.39</v>
      </c>
      <c r="N20" s="283"/>
      <c r="O20" s="222"/>
      <c r="P20" s="219"/>
      <c r="Q20" s="220"/>
      <c r="R20" s="221"/>
      <c r="S20" s="222"/>
      <c r="T20" s="223"/>
      <c r="U20" s="224"/>
      <c r="V20" s="225"/>
      <c r="W20" s="222"/>
      <c r="X20" s="223"/>
      <c r="Y20" s="224"/>
      <c r="Z20" s="225"/>
      <c r="AA20" s="287"/>
      <c r="AB20" s="288"/>
      <c r="AC20" s="289"/>
      <c r="AD20" s="290"/>
      <c r="AE20" s="205"/>
    </row>
    <row r="21">
      <c r="A21" s="291"/>
      <c r="B21" s="292" t="s">
        <v>144</v>
      </c>
      <c r="C21" s="232">
        <v>43.8</v>
      </c>
      <c r="D21" s="235">
        <v>46.7</v>
      </c>
      <c r="E21" s="232">
        <v>43.8</v>
      </c>
      <c r="F21" s="117">
        <v>42.6</v>
      </c>
      <c r="G21" s="293">
        <v>43.0</v>
      </c>
      <c r="H21" s="294">
        <v>43.9</v>
      </c>
      <c r="I21" s="214">
        <v>41.9</v>
      </c>
      <c r="J21" s="117">
        <v>41.7</v>
      </c>
      <c r="K21" s="293">
        <v>44.0</v>
      </c>
      <c r="L21" s="294">
        <v>43.0</v>
      </c>
      <c r="M21" s="295">
        <v>42.7</v>
      </c>
      <c r="N21" s="117"/>
      <c r="O21" s="243"/>
      <c r="P21" s="240"/>
      <c r="Q21" s="241"/>
      <c r="R21" s="252"/>
      <c r="S21" s="243"/>
      <c r="T21" s="244"/>
      <c r="U21" s="245"/>
      <c r="V21" s="246"/>
      <c r="W21" s="243"/>
      <c r="X21" s="244"/>
      <c r="Y21" s="245"/>
      <c r="Z21" s="246"/>
      <c r="AA21" s="296"/>
      <c r="AB21" s="247"/>
      <c r="AC21" s="297"/>
      <c r="AD21" s="249"/>
      <c r="AE21" s="205"/>
    </row>
    <row r="22" ht="15.75" customHeight="1">
      <c r="A22" s="291"/>
      <c r="B22" s="292" t="s">
        <v>145</v>
      </c>
      <c r="C22" s="232">
        <v>177.3</v>
      </c>
      <c r="D22" s="235">
        <v>116.0</v>
      </c>
      <c r="E22" s="232">
        <v>117.4</v>
      </c>
      <c r="F22" s="117">
        <v>141.5</v>
      </c>
      <c r="G22" s="293">
        <v>83.0</v>
      </c>
      <c r="H22" s="294">
        <v>100.3</v>
      </c>
      <c r="I22" s="214">
        <v>101.4</v>
      </c>
      <c r="J22" s="117">
        <v>91.0</v>
      </c>
      <c r="K22" s="293">
        <v>136.0</v>
      </c>
      <c r="L22" s="294">
        <v>114.0</v>
      </c>
      <c r="M22" s="295">
        <v>74.6</v>
      </c>
      <c r="N22" s="117"/>
      <c r="O22" s="243"/>
      <c r="P22" s="240"/>
      <c r="Q22" s="241"/>
      <c r="R22" s="252"/>
      <c r="S22" s="243"/>
      <c r="T22" s="244"/>
      <c r="U22" s="245"/>
      <c r="V22" s="246"/>
      <c r="W22" s="243"/>
      <c r="X22" s="244"/>
      <c r="Y22" s="245"/>
      <c r="Z22" s="246"/>
      <c r="AA22" s="296"/>
      <c r="AB22" s="247"/>
      <c r="AC22" s="297"/>
      <c r="AD22" s="249"/>
      <c r="AE22" s="205"/>
    </row>
    <row r="23" ht="15.75" customHeight="1">
      <c r="A23" s="291"/>
      <c r="B23" s="292" t="s">
        <v>146</v>
      </c>
      <c r="C23" s="232">
        <v>22.1</v>
      </c>
      <c r="D23" s="235">
        <v>25.4</v>
      </c>
      <c r="E23" s="232">
        <v>26.2</v>
      </c>
      <c r="F23" s="117">
        <v>28.8</v>
      </c>
      <c r="G23" s="293">
        <v>27.0</v>
      </c>
      <c r="H23" s="294">
        <v>26.9</v>
      </c>
      <c r="I23" s="214">
        <v>27.6</v>
      </c>
      <c r="J23" s="117">
        <v>27.5</v>
      </c>
      <c r="K23" s="293">
        <v>27.5</v>
      </c>
      <c r="L23" s="294">
        <v>27.0</v>
      </c>
      <c r="M23" s="295">
        <v>25.7</v>
      </c>
      <c r="N23" s="117"/>
      <c r="O23" s="243"/>
      <c r="P23" s="240"/>
      <c r="Q23" s="241"/>
      <c r="R23" s="252"/>
      <c r="S23" s="243"/>
      <c r="T23" s="244"/>
      <c r="U23" s="245"/>
      <c r="V23" s="246"/>
      <c r="W23" s="243"/>
      <c r="X23" s="244"/>
      <c r="Y23" s="245"/>
      <c r="Z23" s="246"/>
      <c r="AA23" s="296"/>
      <c r="AB23" s="247"/>
      <c r="AC23" s="297"/>
      <c r="AD23" s="249"/>
      <c r="AE23" s="205"/>
    </row>
    <row r="24" ht="15.75" customHeight="1">
      <c r="A24" s="291"/>
      <c r="B24" s="292" t="s">
        <v>147</v>
      </c>
      <c r="C24" s="232">
        <v>-3.9</v>
      </c>
      <c r="D24" s="235">
        <v>-0.4</v>
      </c>
      <c r="E24" s="232">
        <v>1.0</v>
      </c>
      <c r="F24" s="117">
        <v>4.3</v>
      </c>
      <c r="G24" s="293">
        <v>2.1</v>
      </c>
      <c r="H24" s="294">
        <v>2.0</v>
      </c>
      <c r="I24" s="214">
        <v>3.0</v>
      </c>
      <c r="J24" s="117">
        <v>3.0</v>
      </c>
      <c r="K24" s="293">
        <v>2.4</v>
      </c>
      <c r="L24" s="294">
        <v>2.2</v>
      </c>
      <c r="M24" s="295">
        <v>0.8</v>
      </c>
      <c r="N24" s="117"/>
      <c r="O24" s="243"/>
      <c r="P24" s="240"/>
      <c r="Q24" s="241"/>
      <c r="R24" s="252"/>
      <c r="S24" s="243"/>
      <c r="T24" s="244"/>
      <c r="U24" s="245"/>
      <c r="V24" s="246"/>
      <c r="W24" s="243"/>
      <c r="X24" s="244"/>
      <c r="Y24" s="245"/>
      <c r="Z24" s="246"/>
      <c r="AA24" s="296"/>
      <c r="AB24" s="247"/>
      <c r="AC24" s="297"/>
      <c r="AD24" s="249"/>
      <c r="AE24" s="205"/>
    </row>
    <row r="25" ht="15.75" customHeight="1">
      <c r="A25" s="291"/>
      <c r="B25" s="298" t="s">
        <v>148</v>
      </c>
      <c r="C25" s="232">
        <v>99.4</v>
      </c>
      <c r="D25" s="235">
        <v>98.4</v>
      </c>
      <c r="E25" s="232">
        <v>98.0</v>
      </c>
      <c r="F25" s="117">
        <v>99.3</v>
      </c>
      <c r="G25" s="293">
        <v>96.0</v>
      </c>
      <c r="H25" s="294">
        <v>97.8</v>
      </c>
      <c r="I25" s="214">
        <v>98.0</v>
      </c>
      <c r="J25" s="117">
        <v>97.3</v>
      </c>
      <c r="K25" s="293">
        <v>99.0</v>
      </c>
      <c r="L25" s="294">
        <v>98.0</v>
      </c>
      <c r="M25" s="295">
        <v>94.8</v>
      </c>
      <c r="N25" s="117"/>
      <c r="O25" s="243"/>
      <c r="P25" s="240"/>
      <c r="Q25" s="241"/>
      <c r="R25" s="252"/>
      <c r="S25" s="243"/>
      <c r="T25" s="244"/>
      <c r="U25" s="245"/>
      <c r="V25" s="246"/>
      <c r="W25" s="243"/>
      <c r="X25" s="244"/>
      <c r="Y25" s="245"/>
      <c r="Z25" s="246"/>
      <c r="AA25" s="296"/>
      <c r="AB25" s="247"/>
      <c r="AC25" s="297"/>
      <c r="AD25" s="249"/>
      <c r="AE25" s="205"/>
    </row>
    <row r="26" ht="15.75" customHeight="1">
      <c r="A26" s="291"/>
      <c r="B26" s="292" t="s">
        <v>149</v>
      </c>
      <c r="C26" s="245"/>
      <c r="D26" s="244"/>
      <c r="E26" s="245"/>
      <c r="F26" s="246"/>
      <c r="G26" s="243"/>
      <c r="H26" s="244"/>
      <c r="I26" s="214"/>
      <c r="J26" s="246"/>
      <c r="K26" s="243"/>
      <c r="L26" s="244"/>
      <c r="M26" s="245"/>
      <c r="N26" s="246"/>
      <c r="O26" s="243"/>
      <c r="P26" s="240"/>
      <c r="Q26" s="241"/>
      <c r="R26" s="252"/>
      <c r="S26" s="243"/>
      <c r="T26" s="244"/>
      <c r="U26" s="245"/>
      <c r="V26" s="246"/>
      <c r="W26" s="243"/>
      <c r="X26" s="244"/>
      <c r="Y26" s="245"/>
      <c r="Z26" s="246"/>
      <c r="AA26" s="296"/>
      <c r="AB26" s="247"/>
      <c r="AC26" s="297"/>
      <c r="AD26" s="249"/>
      <c r="AE26" s="205"/>
    </row>
    <row r="27" ht="15.75" customHeight="1">
      <c r="A27" s="291"/>
      <c r="B27" s="299" t="s">
        <v>150</v>
      </c>
      <c r="C27" s="300">
        <v>0.7</v>
      </c>
      <c r="D27" s="301">
        <v>0.4</v>
      </c>
      <c r="E27" s="300">
        <v>0.4</v>
      </c>
      <c r="F27" s="301">
        <v>0.35</v>
      </c>
      <c r="G27" s="300">
        <v>0.4</v>
      </c>
      <c r="H27" s="301">
        <v>0.4</v>
      </c>
      <c r="I27" s="302">
        <v>0.3</v>
      </c>
      <c r="J27" s="301">
        <v>0.35</v>
      </c>
      <c r="K27" s="300">
        <v>0.6</v>
      </c>
      <c r="L27" s="301">
        <v>0.4</v>
      </c>
      <c r="M27" s="300">
        <v>0.4</v>
      </c>
      <c r="N27" s="301"/>
      <c r="O27" s="300"/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151</v>
      </c>
      <c r="C28" s="307">
        <f t="shared" ref="C28:M28" si="1">IF(AND(C22&gt;0,C27&gt;0),C22/C27,"")</f>
        <v>253.2857143</v>
      </c>
      <c r="D28" s="308">
        <f t="shared" si="1"/>
        <v>290</v>
      </c>
      <c r="E28" s="307">
        <f t="shared" si="1"/>
        <v>293.5</v>
      </c>
      <c r="F28" s="309">
        <f t="shared" si="1"/>
        <v>404.2857143</v>
      </c>
      <c r="G28" s="310">
        <f t="shared" si="1"/>
        <v>207.5</v>
      </c>
      <c r="H28" s="308">
        <f t="shared" si="1"/>
        <v>250.75</v>
      </c>
      <c r="I28" s="311">
        <f t="shared" si="1"/>
        <v>338</v>
      </c>
      <c r="J28" s="307">
        <f t="shared" si="1"/>
        <v>260</v>
      </c>
      <c r="K28" s="307">
        <f t="shared" si="1"/>
        <v>226.6666667</v>
      </c>
      <c r="L28" s="307">
        <f t="shared" si="1"/>
        <v>285</v>
      </c>
      <c r="M28" s="307">
        <f t="shared" si="1"/>
        <v>186.5</v>
      </c>
      <c r="N28" s="307"/>
      <c r="O28" s="307" t="str">
        <f t="shared" ref="O28:AD28" si="2">IF(AND(O22&gt;0,O27&gt;0),O22/O27,"")</f>
        <v/>
      </c>
      <c r="P28" s="307" t="str">
        <f t="shared" si="2"/>
        <v/>
      </c>
      <c r="Q28" s="307" t="str">
        <f t="shared" si="2"/>
        <v/>
      </c>
      <c r="R28" s="309" t="str">
        <f t="shared" si="2"/>
        <v/>
      </c>
      <c r="S28" s="310" t="str">
        <f t="shared" si="2"/>
        <v/>
      </c>
      <c r="T28" s="308" t="str">
        <f t="shared" si="2"/>
        <v/>
      </c>
      <c r="U28" s="307" t="str">
        <f t="shared" si="2"/>
        <v/>
      </c>
      <c r="V28" s="309" t="str">
        <f t="shared" si="2"/>
        <v/>
      </c>
      <c r="W28" s="310" t="str">
        <f t="shared" si="2"/>
        <v/>
      </c>
      <c r="X28" s="308" t="str">
        <f t="shared" si="2"/>
        <v/>
      </c>
      <c r="Y28" s="307" t="str">
        <f t="shared" si="2"/>
        <v/>
      </c>
      <c r="Z28" s="309" t="str">
        <f t="shared" si="2"/>
        <v/>
      </c>
      <c r="AA28" s="312" t="str">
        <f t="shared" si="2"/>
        <v/>
      </c>
      <c r="AB28" s="313" t="str">
        <f t="shared" si="2"/>
        <v/>
      </c>
      <c r="AC28" s="314" t="str">
        <f t="shared" si="2"/>
        <v/>
      </c>
      <c r="AD28" s="313" t="str">
        <f t="shared" si="2"/>
        <v/>
      </c>
      <c r="AE28" s="315"/>
    </row>
    <row r="29" ht="15.75" customHeight="1">
      <c r="A29" s="281" t="s">
        <v>152</v>
      </c>
      <c r="B29" s="282" t="s">
        <v>153</v>
      </c>
      <c r="C29" s="210" t="s">
        <v>154</v>
      </c>
      <c r="D29" s="216" t="s">
        <v>154</v>
      </c>
      <c r="E29" s="210" t="s">
        <v>154</v>
      </c>
      <c r="F29" s="216" t="s">
        <v>154</v>
      </c>
      <c r="G29" s="210" t="s">
        <v>155</v>
      </c>
      <c r="H29" s="216" t="s">
        <v>155</v>
      </c>
      <c r="I29" s="259" t="s">
        <v>155</v>
      </c>
      <c r="J29" s="216" t="s">
        <v>155</v>
      </c>
      <c r="K29" s="210" t="s">
        <v>155</v>
      </c>
      <c r="L29" s="216" t="s">
        <v>155</v>
      </c>
      <c r="M29" s="210" t="s">
        <v>155</v>
      </c>
      <c r="N29" s="216"/>
      <c r="O29" s="316"/>
      <c r="P29" s="317"/>
      <c r="Q29" s="316"/>
      <c r="R29" s="318"/>
      <c r="S29" s="316"/>
      <c r="T29" s="318"/>
      <c r="U29" s="316"/>
      <c r="V29" s="318"/>
      <c r="W29" s="316"/>
      <c r="X29" s="318"/>
      <c r="Y29" s="316"/>
      <c r="Z29" s="318"/>
      <c r="AA29" s="316"/>
      <c r="AB29" s="319"/>
      <c r="AC29" s="316"/>
      <c r="AD29" s="320"/>
      <c r="AE29" s="205"/>
    </row>
    <row r="30" ht="15.75" customHeight="1">
      <c r="A30" s="291"/>
      <c r="B30" s="292" t="s">
        <v>156</v>
      </c>
      <c r="C30" s="232">
        <v>420.0</v>
      </c>
      <c r="D30" s="231">
        <v>420.0</v>
      </c>
      <c r="E30" s="232">
        <v>420.0</v>
      </c>
      <c r="F30" s="233">
        <v>440.0</v>
      </c>
      <c r="G30" s="234">
        <v>16.0</v>
      </c>
      <c r="H30" s="235">
        <v>15.0</v>
      </c>
      <c r="I30" s="214">
        <v>18.0</v>
      </c>
      <c r="J30" s="236">
        <v>18.0</v>
      </c>
      <c r="K30" s="237">
        <v>18.0</v>
      </c>
      <c r="L30" s="231">
        <v>16.0</v>
      </c>
      <c r="M30" s="232">
        <v>16.0</v>
      </c>
      <c r="N30" s="238"/>
      <c r="O30" s="239"/>
      <c r="P30" s="240"/>
      <c r="Q30" s="241"/>
      <c r="R30" s="252"/>
      <c r="S30" s="243"/>
      <c r="T30" s="244"/>
      <c r="U30" s="245"/>
      <c r="V30" s="246"/>
      <c r="W30" s="243"/>
      <c r="X30" s="244"/>
      <c r="Y30" s="245"/>
      <c r="Z30" s="246"/>
      <c r="AA30" s="296"/>
      <c r="AB30" s="247"/>
      <c r="AC30" s="297"/>
      <c r="AD30" s="249"/>
      <c r="AE30" s="205"/>
    </row>
    <row r="31" ht="15.75" customHeight="1">
      <c r="A31" s="291"/>
      <c r="B31" s="292" t="s">
        <v>157</v>
      </c>
      <c r="C31" s="232">
        <v>22.0</v>
      </c>
      <c r="D31" s="231">
        <v>22.0</v>
      </c>
      <c r="E31" s="232">
        <v>24.0</v>
      </c>
      <c r="F31" s="233">
        <v>22.0</v>
      </c>
      <c r="G31" s="234">
        <v>20.0</v>
      </c>
      <c r="H31" s="235">
        <v>20.0</v>
      </c>
      <c r="I31" s="214">
        <v>20.0</v>
      </c>
      <c r="J31" s="236">
        <v>20.0</v>
      </c>
      <c r="K31" s="237">
        <v>20.0</v>
      </c>
      <c r="L31" s="231">
        <v>16.0</v>
      </c>
      <c r="M31" s="232">
        <v>16.0</v>
      </c>
      <c r="N31" s="238"/>
      <c r="O31" s="251"/>
      <c r="P31" s="240"/>
      <c r="Q31" s="241"/>
      <c r="R31" s="252"/>
      <c r="S31" s="243"/>
      <c r="T31" s="244"/>
      <c r="U31" s="245"/>
      <c r="V31" s="246"/>
      <c r="W31" s="243"/>
      <c r="X31" s="244"/>
      <c r="Y31" s="245"/>
      <c r="Z31" s="246"/>
      <c r="AA31" s="296"/>
      <c r="AB31" s="247"/>
      <c r="AC31" s="297"/>
      <c r="AD31" s="249"/>
      <c r="AE31" s="205"/>
    </row>
    <row r="32" ht="15.75" customHeight="1">
      <c r="A32" s="291"/>
      <c r="B32" s="292" t="s">
        <v>158</v>
      </c>
      <c r="C32" s="232">
        <v>8.0</v>
      </c>
      <c r="D32" s="231">
        <v>8.0</v>
      </c>
      <c r="E32" s="232">
        <v>10.0</v>
      </c>
      <c r="F32" s="233">
        <v>10.0</v>
      </c>
      <c r="G32" s="234">
        <v>10.0</v>
      </c>
      <c r="H32" s="235">
        <v>10.0</v>
      </c>
      <c r="I32" s="214">
        <v>8.0</v>
      </c>
      <c r="J32" s="236">
        <v>8.0</v>
      </c>
      <c r="K32" s="237">
        <v>12.0</v>
      </c>
      <c r="L32" s="231">
        <v>8.0</v>
      </c>
      <c r="M32" s="232">
        <v>6.0</v>
      </c>
      <c r="N32" s="238"/>
      <c r="O32" s="239"/>
      <c r="P32" s="240"/>
      <c r="Q32" s="241"/>
      <c r="R32" s="252"/>
      <c r="S32" s="243"/>
      <c r="T32" s="244"/>
      <c r="U32" s="245"/>
      <c r="V32" s="246"/>
      <c r="W32" s="243"/>
      <c r="X32" s="244"/>
      <c r="Y32" s="245"/>
      <c r="Z32" s="246"/>
      <c r="AA32" s="296"/>
      <c r="AB32" s="247"/>
      <c r="AC32" s="297"/>
      <c r="AD32" s="249"/>
      <c r="AE32" s="205"/>
    </row>
    <row r="33" ht="15.75" customHeight="1">
      <c r="A33" s="291"/>
      <c r="B33" s="292" t="s">
        <v>159</v>
      </c>
      <c r="C33" s="232">
        <v>0.7</v>
      </c>
      <c r="D33" s="231">
        <v>0.4</v>
      </c>
      <c r="E33" s="232">
        <v>0.4</v>
      </c>
      <c r="F33" s="233">
        <v>0.35</v>
      </c>
      <c r="G33" s="234">
        <v>0.4</v>
      </c>
      <c r="H33" s="235">
        <v>0.4</v>
      </c>
      <c r="I33" s="214">
        <v>0.35</v>
      </c>
      <c r="J33" s="236">
        <v>0.3</v>
      </c>
      <c r="K33" s="237">
        <v>0.6</v>
      </c>
      <c r="L33" s="231">
        <v>0.45</v>
      </c>
      <c r="M33" s="232">
        <v>0.4</v>
      </c>
      <c r="N33" s="238"/>
      <c r="O33" s="239"/>
      <c r="P33" s="240"/>
      <c r="Q33" s="241"/>
      <c r="R33" s="252"/>
      <c r="S33" s="243"/>
      <c r="T33" s="244"/>
      <c r="U33" s="245"/>
      <c r="V33" s="246"/>
      <c r="W33" s="243"/>
      <c r="X33" s="244"/>
      <c r="Y33" s="245"/>
      <c r="Z33" s="246"/>
      <c r="AA33" s="296"/>
      <c r="AB33" s="247"/>
      <c r="AC33" s="297"/>
      <c r="AD33" s="249"/>
      <c r="AE33" s="205"/>
    </row>
    <row r="34" ht="15.75" customHeight="1">
      <c r="A34" s="291"/>
      <c r="B34" s="321" t="s">
        <v>160</v>
      </c>
      <c r="C34" s="230">
        <v>0.75</v>
      </c>
      <c r="D34" s="235">
        <v>0.7</v>
      </c>
      <c r="E34" s="232">
        <v>0.7</v>
      </c>
      <c r="F34" s="233">
        <v>0.7</v>
      </c>
      <c r="G34" s="234">
        <v>0.9</v>
      </c>
      <c r="H34" s="235">
        <v>0.9</v>
      </c>
      <c r="I34" s="214">
        <v>0.85</v>
      </c>
      <c r="J34" s="233">
        <v>1.0</v>
      </c>
      <c r="K34" s="237">
        <v>0.8</v>
      </c>
      <c r="L34" s="231">
        <v>0.85</v>
      </c>
      <c r="M34" s="232">
        <v>0.8</v>
      </c>
      <c r="N34" s="238"/>
      <c r="O34" s="239"/>
      <c r="P34" s="322"/>
      <c r="Q34" s="230"/>
      <c r="R34" s="252"/>
      <c r="S34" s="243"/>
      <c r="T34" s="244"/>
      <c r="U34" s="245"/>
      <c r="V34" s="246"/>
      <c r="W34" s="243"/>
      <c r="X34" s="244"/>
      <c r="Y34" s="245"/>
      <c r="Z34" s="246"/>
      <c r="AA34" s="296"/>
      <c r="AB34" s="247"/>
      <c r="AC34" s="297"/>
      <c r="AD34" s="249"/>
      <c r="AE34" s="205"/>
    </row>
    <row r="35" ht="15.75" customHeight="1">
      <c r="A35" s="291"/>
      <c r="B35" s="321" t="s">
        <v>161</v>
      </c>
      <c r="C35" s="230">
        <v>46.0</v>
      </c>
      <c r="D35" s="235">
        <v>50.0</v>
      </c>
      <c r="E35" s="232">
        <v>50.0</v>
      </c>
      <c r="F35" s="233">
        <v>58.0</v>
      </c>
      <c r="G35" s="234">
        <v>51.0</v>
      </c>
      <c r="H35" s="254"/>
      <c r="I35" s="255"/>
      <c r="J35" s="256"/>
      <c r="K35" s="239"/>
      <c r="L35" s="272"/>
      <c r="M35" s="323"/>
      <c r="N35" s="238"/>
      <c r="O35" s="251"/>
      <c r="P35" s="322"/>
      <c r="Q35" s="324"/>
      <c r="R35" s="242"/>
      <c r="S35" s="243"/>
      <c r="T35" s="244"/>
      <c r="U35" s="245"/>
      <c r="V35" s="246"/>
      <c r="W35" s="243"/>
      <c r="X35" s="244"/>
      <c r="Y35" s="245"/>
      <c r="Z35" s="246"/>
      <c r="AA35" s="296"/>
      <c r="AB35" s="247"/>
      <c r="AC35" s="297"/>
      <c r="AD35" s="249"/>
      <c r="AE35" s="205"/>
    </row>
    <row r="36" ht="15.75" customHeight="1">
      <c r="A36" s="291"/>
      <c r="B36" s="299" t="s">
        <v>162</v>
      </c>
      <c r="C36" s="325" t="s">
        <v>163</v>
      </c>
      <c r="D36" s="326" t="s">
        <v>164</v>
      </c>
      <c r="E36" s="325" t="s">
        <v>164</v>
      </c>
      <c r="F36" s="326" t="s">
        <v>164</v>
      </c>
      <c r="G36" s="325" t="s">
        <v>164</v>
      </c>
      <c r="H36" s="326" t="s">
        <v>163</v>
      </c>
      <c r="I36" s="259" t="s">
        <v>163</v>
      </c>
      <c r="J36" s="326" t="s">
        <v>163</v>
      </c>
      <c r="K36" s="325" t="s">
        <v>163</v>
      </c>
      <c r="L36" s="326" t="s">
        <v>163</v>
      </c>
      <c r="M36" s="325" t="s">
        <v>163</v>
      </c>
      <c r="N36" s="326"/>
      <c r="O36" s="325"/>
      <c r="P36" s="327"/>
      <c r="Q36" s="325"/>
      <c r="R36" s="326"/>
      <c r="S36" s="325"/>
      <c r="T36" s="328"/>
      <c r="U36" s="325"/>
      <c r="V36" s="328"/>
      <c r="W36" s="325"/>
      <c r="X36" s="328"/>
      <c r="Y36" s="325"/>
      <c r="Z36" s="328"/>
      <c r="AA36" s="325"/>
      <c r="AB36" s="326"/>
      <c r="AC36" s="325"/>
      <c r="AD36" s="329"/>
      <c r="AE36" s="330"/>
    </row>
    <row r="37" ht="15.75" customHeight="1">
      <c r="A37" s="331" t="s">
        <v>165</v>
      </c>
      <c r="B37" s="282" t="s">
        <v>166</v>
      </c>
      <c r="C37" s="208">
        <v>22.0</v>
      </c>
      <c r="D37" s="215">
        <v>22.0</v>
      </c>
      <c r="E37" s="216">
        <v>24.0</v>
      </c>
      <c r="F37" s="213">
        <v>25.0</v>
      </c>
      <c r="G37" s="208">
        <v>20.0</v>
      </c>
      <c r="H37" s="211">
        <v>20.0</v>
      </c>
      <c r="I37" s="214">
        <v>29.0</v>
      </c>
      <c r="J37" s="209">
        <v>21.0</v>
      </c>
      <c r="K37" s="210">
        <v>21.0</v>
      </c>
      <c r="L37" s="215">
        <v>17.0</v>
      </c>
      <c r="M37" s="216">
        <v>20.0</v>
      </c>
      <c r="N37" s="332"/>
      <c r="O37" s="220"/>
      <c r="P37" s="333"/>
      <c r="Q37" s="334"/>
      <c r="R37" s="335"/>
      <c r="S37" s="224"/>
      <c r="T37" s="225"/>
      <c r="U37" s="222"/>
      <c r="V37" s="223"/>
      <c r="W37" s="224"/>
      <c r="X37" s="225"/>
      <c r="Y37" s="222"/>
      <c r="Z37" s="223"/>
      <c r="AA37" s="224"/>
      <c r="AB37" s="226"/>
      <c r="AC37" s="336"/>
      <c r="AD37" s="228"/>
      <c r="AE37" s="205"/>
    </row>
    <row r="38" ht="15.75" customHeight="1">
      <c r="A38" s="206"/>
      <c r="B38" s="298" t="s">
        <v>167</v>
      </c>
      <c r="C38" s="230">
        <v>420.0</v>
      </c>
      <c r="D38" s="236">
        <v>420.0</v>
      </c>
      <c r="E38" s="237">
        <v>420.0</v>
      </c>
      <c r="F38" s="235">
        <v>470.0</v>
      </c>
      <c r="G38" s="230">
        <v>540.0</v>
      </c>
      <c r="H38" s="233">
        <v>547.0</v>
      </c>
      <c r="I38" s="214">
        <v>470.0</v>
      </c>
      <c r="J38" s="231">
        <v>480.0</v>
      </c>
      <c r="K38" s="232">
        <v>496.0</v>
      </c>
      <c r="L38" s="236">
        <v>508.0</v>
      </c>
      <c r="M38" s="234">
        <v>480.0</v>
      </c>
      <c r="N38" s="337"/>
      <c r="O38" s="241"/>
      <c r="P38" s="338"/>
      <c r="Q38" s="239"/>
      <c r="R38" s="272"/>
      <c r="S38" s="245"/>
      <c r="T38" s="246"/>
      <c r="U38" s="243"/>
      <c r="V38" s="244"/>
      <c r="W38" s="245"/>
      <c r="X38" s="246"/>
      <c r="Y38" s="243"/>
      <c r="Z38" s="244"/>
      <c r="AA38" s="245"/>
      <c r="AB38" s="247"/>
      <c r="AC38" s="339"/>
      <c r="AD38" s="249"/>
      <c r="AE38" s="205"/>
    </row>
    <row r="39" ht="15.75" customHeight="1">
      <c r="A39" s="206"/>
      <c r="B39" s="292" t="s">
        <v>168</v>
      </c>
      <c r="C39" s="230">
        <v>9.22</v>
      </c>
      <c r="D39" s="233">
        <v>9.2</v>
      </c>
      <c r="E39" s="237">
        <v>10.0</v>
      </c>
      <c r="F39" s="235">
        <v>11.4</v>
      </c>
      <c r="G39" s="230">
        <v>10.8</v>
      </c>
      <c r="H39" s="233">
        <v>10.7</v>
      </c>
      <c r="I39" s="340">
        <v>13.0</v>
      </c>
      <c r="J39" s="231">
        <v>10.2</v>
      </c>
      <c r="K39" s="232">
        <v>10.4</v>
      </c>
      <c r="L39" s="233">
        <v>8.3</v>
      </c>
      <c r="M39" s="237">
        <v>9.1</v>
      </c>
      <c r="N39" s="337"/>
      <c r="O39" s="241"/>
      <c r="P39" s="338"/>
      <c r="Q39" s="239"/>
      <c r="R39" s="272"/>
      <c r="S39" s="245"/>
      <c r="T39" s="246"/>
      <c r="U39" s="243"/>
      <c r="V39" s="244"/>
      <c r="W39" s="245"/>
      <c r="X39" s="246"/>
      <c r="Y39" s="243"/>
      <c r="Z39" s="244"/>
      <c r="AA39" s="245"/>
      <c r="AB39" s="247"/>
      <c r="AC39" s="339"/>
      <c r="AD39" s="249"/>
      <c r="AE39" s="205"/>
    </row>
    <row r="40" ht="15.75" customHeight="1">
      <c r="A40" s="206"/>
      <c r="B40" s="292" t="s">
        <v>169</v>
      </c>
      <c r="C40" s="230">
        <v>26.0</v>
      </c>
      <c r="D40" s="236">
        <v>26.0</v>
      </c>
      <c r="E40" s="237">
        <v>29.0</v>
      </c>
      <c r="F40" s="235">
        <v>21.0</v>
      </c>
      <c r="G40" s="230">
        <v>26.0</v>
      </c>
      <c r="H40" s="233">
        <v>25.0</v>
      </c>
      <c r="I40" s="214">
        <v>26.0</v>
      </c>
      <c r="J40" s="231">
        <v>21.0</v>
      </c>
      <c r="K40" s="232">
        <v>30.0</v>
      </c>
      <c r="L40" s="236">
        <v>24.0</v>
      </c>
      <c r="M40" s="237">
        <v>22.0</v>
      </c>
      <c r="N40" s="337"/>
      <c r="O40" s="241"/>
      <c r="P40" s="338"/>
      <c r="Q40" s="251"/>
      <c r="R40" s="272"/>
      <c r="S40" s="245"/>
      <c r="T40" s="246"/>
      <c r="U40" s="243"/>
      <c r="V40" s="244"/>
      <c r="W40" s="245"/>
      <c r="X40" s="246"/>
      <c r="Y40" s="243"/>
      <c r="Z40" s="244"/>
      <c r="AA40" s="245"/>
      <c r="AB40" s="247"/>
      <c r="AC40" s="339"/>
      <c r="AD40" s="249"/>
      <c r="AE40" s="205"/>
    </row>
    <row r="41" ht="15.75" customHeight="1">
      <c r="A41" s="206"/>
      <c r="B41" s="292" t="s">
        <v>170</v>
      </c>
      <c r="C41" s="230">
        <v>16.0</v>
      </c>
      <c r="D41" s="233">
        <v>17.0</v>
      </c>
      <c r="E41" s="234">
        <v>20.0</v>
      </c>
      <c r="F41" s="235">
        <v>18.0</v>
      </c>
      <c r="G41" s="230">
        <v>20.0</v>
      </c>
      <c r="H41" s="256"/>
      <c r="I41" s="255"/>
      <c r="J41" s="272"/>
      <c r="K41" s="241"/>
      <c r="L41" s="252"/>
      <c r="M41" s="234">
        <v>20.0</v>
      </c>
      <c r="N41" s="337"/>
      <c r="O41" s="324"/>
      <c r="P41" s="341"/>
      <c r="Q41" s="251"/>
      <c r="R41" s="272"/>
      <c r="S41" s="245"/>
      <c r="T41" s="246"/>
      <c r="U41" s="243"/>
      <c r="V41" s="244"/>
      <c r="W41" s="245"/>
      <c r="X41" s="246"/>
      <c r="Y41" s="243"/>
      <c r="Z41" s="244"/>
      <c r="AA41" s="245"/>
      <c r="AB41" s="247"/>
      <c r="AC41" s="339"/>
      <c r="AD41" s="249"/>
      <c r="AE41" s="205"/>
    </row>
    <row r="42" ht="15.75" customHeight="1">
      <c r="A42" s="206"/>
      <c r="B42" s="292" t="s">
        <v>171</v>
      </c>
      <c r="C42" s="230">
        <v>8.3</v>
      </c>
      <c r="D42" s="233">
        <v>8.5</v>
      </c>
      <c r="E42" s="234">
        <v>10.4</v>
      </c>
      <c r="F42" s="235">
        <v>12.0</v>
      </c>
      <c r="G42" s="230">
        <v>12.0</v>
      </c>
      <c r="H42" s="256"/>
      <c r="I42" s="214">
        <v>8.0</v>
      </c>
      <c r="J42" s="272"/>
      <c r="K42" s="241"/>
      <c r="L42" s="252"/>
      <c r="M42" s="342"/>
      <c r="N42" s="337"/>
      <c r="O42" s="324"/>
      <c r="P42" s="341"/>
      <c r="Q42" s="251"/>
      <c r="R42" s="272"/>
      <c r="S42" s="245"/>
      <c r="T42" s="246"/>
      <c r="U42" s="243"/>
      <c r="V42" s="244"/>
      <c r="W42" s="245"/>
      <c r="X42" s="246"/>
      <c r="Y42" s="243"/>
      <c r="Z42" s="244"/>
      <c r="AA42" s="245"/>
      <c r="AB42" s="247"/>
      <c r="AC42" s="339"/>
      <c r="AD42" s="249"/>
      <c r="AE42" s="205"/>
    </row>
    <row r="43" ht="15.75" customHeight="1">
      <c r="A43" s="206"/>
      <c r="B43" s="299" t="s">
        <v>172</v>
      </c>
      <c r="C43" s="325" t="s">
        <v>94</v>
      </c>
      <c r="D43" s="343" t="s">
        <v>94</v>
      </c>
      <c r="E43" s="328" t="s">
        <v>94</v>
      </c>
      <c r="F43" s="344" t="s">
        <v>73</v>
      </c>
      <c r="G43" s="325" t="s">
        <v>73</v>
      </c>
      <c r="H43" s="343" t="s">
        <v>73</v>
      </c>
      <c r="I43" s="214" t="s">
        <v>73</v>
      </c>
      <c r="J43" s="344" t="s">
        <v>73</v>
      </c>
      <c r="K43" s="325" t="s">
        <v>73</v>
      </c>
      <c r="L43" s="343" t="s">
        <v>73</v>
      </c>
      <c r="M43" s="328" t="s">
        <v>73</v>
      </c>
      <c r="N43" s="344"/>
      <c r="O43" s="345"/>
      <c r="P43" s="346"/>
      <c r="Q43" s="347"/>
      <c r="R43" s="348"/>
      <c r="S43" s="345"/>
      <c r="T43" s="349"/>
      <c r="U43" s="347"/>
      <c r="V43" s="348"/>
      <c r="W43" s="345"/>
      <c r="X43" s="349"/>
      <c r="Y43" s="347"/>
      <c r="Z43" s="348"/>
      <c r="AA43" s="345"/>
      <c r="AB43" s="349"/>
      <c r="AC43" s="350"/>
      <c r="AD43" s="351"/>
      <c r="AE43" s="205"/>
    </row>
    <row r="44" ht="15.75" customHeight="1">
      <c r="A44" s="206"/>
      <c r="B44" s="298" t="s">
        <v>173</v>
      </c>
      <c r="C44" s="245"/>
      <c r="D44" s="246"/>
      <c r="E44" s="243"/>
      <c r="F44" s="244"/>
      <c r="G44" s="295">
        <v>0.6</v>
      </c>
      <c r="H44" s="117">
        <v>-1.0</v>
      </c>
      <c r="I44" s="352"/>
      <c r="J44" s="244"/>
      <c r="K44" s="295">
        <v>0.4</v>
      </c>
      <c r="L44" s="117">
        <v>0.9</v>
      </c>
      <c r="M44" s="293">
        <v>1.4</v>
      </c>
      <c r="N44" s="294"/>
      <c r="O44" s="245"/>
      <c r="P44" s="351"/>
      <c r="Q44" s="243"/>
      <c r="R44" s="244"/>
      <c r="S44" s="245"/>
      <c r="T44" s="246"/>
      <c r="U44" s="243"/>
      <c r="V44" s="244"/>
      <c r="W44" s="245"/>
      <c r="X44" s="246"/>
      <c r="Y44" s="243"/>
      <c r="Z44" s="244"/>
      <c r="AA44" s="245"/>
      <c r="AB44" s="247"/>
      <c r="AC44" s="339"/>
      <c r="AD44" s="249"/>
      <c r="AE44" s="205"/>
    </row>
    <row r="45" ht="15.75" customHeight="1">
      <c r="A45" s="206"/>
      <c r="B45" s="299" t="s">
        <v>174</v>
      </c>
      <c r="C45" s="345"/>
      <c r="D45" s="349"/>
      <c r="E45" s="347"/>
      <c r="F45" s="348"/>
      <c r="G45" s="325">
        <v>10.0</v>
      </c>
      <c r="H45" s="349"/>
      <c r="I45" s="353"/>
      <c r="J45" s="348"/>
      <c r="K45" s="345"/>
      <c r="L45" s="349"/>
      <c r="M45" s="347"/>
      <c r="N45" s="348"/>
      <c r="O45" s="345"/>
      <c r="P45" s="346"/>
      <c r="Q45" s="347"/>
      <c r="R45" s="348"/>
      <c r="S45" s="345"/>
      <c r="T45" s="349"/>
      <c r="U45" s="347"/>
      <c r="V45" s="348"/>
      <c r="W45" s="345"/>
      <c r="X45" s="349"/>
      <c r="Y45" s="347"/>
      <c r="Z45" s="348"/>
      <c r="AA45" s="345"/>
      <c r="AB45" s="354"/>
      <c r="AC45" s="355"/>
      <c r="AD45" s="356"/>
      <c r="AE45" s="205"/>
    </row>
    <row r="46" ht="15.75" customHeight="1">
      <c r="A46" s="275"/>
      <c r="B46" s="357" t="s">
        <v>175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176</v>
      </c>
      <c r="B47" s="365" t="s">
        <v>177</v>
      </c>
      <c r="C47" s="366">
        <f t="shared" ref="C47:AD47" si="3">IFS(C29="VC-CMV",C30/$J$2,C29="PC-CMV",C38/$J$2,C29="PC-CSV",C38/$J$2,C29="CPAP",C38/$J$2,C29="VMNI",C38/$J$2,C29="PC-SIMV",C38/$J$2,C29="","")</f>
        <v>5.951874841</v>
      </c>
      <c r="D47" s="367">
        <f t="shared" si="3"/>
        <v>5.951874841</v>
      </c>
      <c r="E47" s="368">
        <f t="shared" si="3"/>
        <v>5.951874841</v>
      </c>
      <c r="F47" s="369">
        <f t="shared" si="3"/>
        <v>6.235297452</v>
      </c>
      <c r="G47" s="366">
        <f t="shared" si="3"/>
        <v>7.652410509</v>
      </c>
      <c r="H47" s="367">
        <f t="shared" si="3"/>
        <v>7.751608423</v>
      </c>
      <c r="I47" s="370">
        <f t="shared" si="3"/>
        <v>6.660431369</v>
      </c>
      <c r="J47" s="369">
        <f t="shared" si="3"/>
        <v>6.802142675</v>
      </c>
      <c r="K47" s="366">
        <f t="shared" si="3"/>
        <v>7.028880764</v>
      </c>
      <c r="L47" s="367">
        <f t="shared" si="3"/>
        <v>7.198934331</v>
      </c>
      <c r="M47" s="368">
        <f t="shared" si="3"/>
        <v>6.802142675</v>
      </c>
      <c r="N47" s="369" t="str">
        <f t="shared" si="3"/>
        <v/>
      </c>
      <c r="O47" s="366" t="str">
        <f t="shared" si="3"/>
        <v/>
      </c>
      <c r="P47" s="371" t="str">
        <f t="shared" si="3"/>
        <v/>
      </c>
      <c r="Q47" s="368" t="str">
        <f t="shared" si="3"/>
        <v/>
      </c>
      <c r="R47" s="369" t="str">
        <f t="shared" si="3"/>
        <v/>
      </c>
      <c r="S47" s="366" t="str">
        <f t="shared" si="3"/>
        <v/>
      </c>
      <c r="T47" s="367" t="str">
        <f t="shared" si="3"/>
        <v/>
      </c>
      <c r="U47" s="368" t="str">
        <f t="shared" si="3"/>
        <v/>
      </c>
      <c r="V47" s="369" t="str">
        <f t="shared" si="3"/>
        <v/>
      </c>
      <c r="W47" s="366" t="str">
        <f t="shared" si="3"/>
        <v/>
      </c>
      <c r="X47" s="367" t="str">
        <f t="shared" si="3"/>
        <v/>
      </c>
      <c r="Y47" s="368" t="str">
        <f t="shared" si="3"/>
        <v/>
      </c>
      <c r="Z47" s="369" t="str">
        <f t="shared" si="3"/>
        <v/>
      </c>
      <c r="AA47" s="366" t="str">
        <f t="shared" si="3"/>
        <v/>
      </c>
      <c r="AB47" s="367" t="str">
        <f t="shared" si="3"/>
        <v/>
      </c>
      <c r="AC47" s="368" t="str">
        <f t="shared" si="3"/>
        <v/>
      </c>
      <c r="AD47" s="372" t="str">
        <f t="shared" si="3"/>
        <v/>
      </c>
      <c r="AE47" s="373"/>
    </row>
    <row r="48" ht="15.75" customHeight="1">
      <c r="A48" s="206"/>
      <c r="B48" s="374" t="s">
        <v>178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30"/>
    </row>
    <row r="49" ht="15.75" customHeight="1">
      <c r="A49" s="206"/>
      <c r="B49" s="384" t="s">
        <v>179</v>
      </c>
      <c r="C49" s="385">
        <f t="shared" ref="C49:AD49" si="4">((60/C31)-C34)/C34</f>
        <v>2.636363636</v>
      </c>
      <c r="D49" s="386">
        <f t="shared" si="4"/>
        <v>2.896103896</v>
      </c>
      <c r="E49" s="387">
        <f t="shared" si="4"/>
        <v>2.571428571</v>
      </c>
      <c r="F49" s="388">
        <f t="shared" si="4"/>
        <v>2.896103896</v>
      </c>
      <c r="G49" s="385">
        <f t="shared" si="4"/>
        <v>2.333333333</v>
      </c>
      <c r="H49" s="386">
        <f t="shared" si="4"/>
        <v>2.333333333</v>
      </c>
      <c r="I49" s="389">
        <f t="shared" si="4"/>
        <v>2.529411765</v>
      </c>
      <c r="J49" s="388">
        <f t="shared" si="4"/>
        <v>2</v>
      </c>
      <c r="K49" s="385">
        <f t="shared" si="4"/>
        <v>2.75</v>
      </c>
      <c r="L49" s="386">
        <f t="shared" si="4"/>
        <v>3.411764706</v>
      </c>
      <c r="M49" s="387">
        <f t="shared" si="4"/>
        <v>3.6875</v>
      </c>
      <c r="N49" s="388" t="str">
        <f t="shared" si="4"/>
        <v>#DIV/0!</v>
      </c>
      <c r="O49" s="385" t="str">
        <f t="shared" si="4"/>
        <v>#DIV/0!</v>
      </c>
      <c r="P49" s="390" t="str">
        <f t="shared" si="4"/>
        <v>#DIV/0!</v>
      </c>
      <c r="Q49" s="387" t="str">
        <f t="shared" si="4"/>
        <v>#DIV/0!</v>
      </c>
      <c r="R49" s="388" t="str">
        <f t="shared" si="4"/>
        <v>#DIV/0!</v>
      </c>
      <c r="S49" s="385" t="str">
        <f t="shared" si="4"/>
        <v>#DIV/0!</v>
      </c>
      <c r="T49" s="386" t="str">
        <f t="shared" si="4"/>
        <v>#DIV/0!</v>
      </c>
      <c r="U49" s="387" t="str">
        <f t="shared" si="4"/>
        <v>#DIV/0!</v>
      </c>
      <c r="V49" s="388" t="str">
        <f t="shared" si="4"/>
        <v>#DIV/0!</v>
      </c>
      <c r="W49" s="385" t="str">
        <f t="shared" si="4"/>
        <v>#DIV/0!</v>
      </c>
      <c r="X49" s="386" t="str">
        <f t="shared" si="4"/>
        <v>#DIV/0!</v>
      </c>
      <c r="Y49" s="387" t="str">
        <f t="shared" si="4"/>
        <v>#DIV/0!</v>
      </c>
      <c r="Z49" s="388" t="str">
        <f t="shared" si="4"/>
        <v>#DIV/0!</v>
      </c>
      <c r="AA49" s="385" t="str">
        <f t="shared" si="4"/>
        <v>#DIV/0!</v>
      </c>
      <c r="AB49" s="391" t="str">
        <f t="shared" si="4"/>
        <v>#DIV/0!</v>
      </c>
      <c r="AC49" s="392" t="str">
        <f t="shared" si="4"/>
        <v>#DIV/0!</v>
      </c>
      <c r="AD49" s="393" t="str">
        <f t="shared" si="4"/>
        <v>#DIV/0!</v>
      </c>
      <c r="AE49" s="304"/>
    </row>
    <row r="50" ht="15.75" customHeight="1">
      <c r="A50" s="206"/>
      <c r="B50" s="394" t="s">
        <v>180</v>
      </c>
      <c r="C50" s="395">
        <f t="shared" ref="C50:AD50" si="5">IF(C51&lt;&gt;"",(C51*C34)+C42,"")</f>
        <v>14.075</v>
      </c>
      <c r="D50" s="396">
        <f t="shared" si="5"/>
        <v>14.45</v>
      </c>
      <c r="E50" s="395">
        <f t="shared" si="5"/>
        <v>17.12</v>
      </c>
      <c r="F50" s="396">
        <f t="shared" si="5"/>
        <v>16.2</v>
      </c>
      <c r="G50" s="395">
        <f t="shared" si="5"/>
        <v>19.2</v>
      </c>
      <c r="H50" s="396" t="str">
        <f t="shared" si="5"/>
        <v/>
      </c>
      <c r="I50" s="397" t="str">
        <f t="shared" si="5"/>
        <v/>
      </c>
      <c r="J50" s="396" t="str">
        <f t="shared" si="5"/>
        <v/>
      </c>
      <c r="K50" s="395" t="str">
        <f t="shared" si="5"/>
        <v/>
      </c>
      <c r="L50" s="396" t="str">
        <f t="shared" si="5"/>
        <v/>
      </c>
      <c r="M50" s="395" t="str">
        <f t="shared" si="5"/>
        <v/>
      </c>
      <c r="N50" s="396" t="str">
        <f t="shared" si="5"/>
        <v/>
      </c>
      <c r="O50" s="395" t="str">
        <f t="shared" si="5"/>
        <v/>
      </c>
      <c r="P50" s="398" t="str">
        <f t="shared" si="5"/>
        <v/>
      </c>
      <c r="Q50" s="395" t="str">
        <f t="shared" si="5"/>
        <v/>
      </c>
      <c r="R50" s="396" t="str">
        <f t="shared" si="5"/>
        <v/>
      </c>
      <c r="S50" s="395" t="str">
        <f t="shared" si="5"/>
        <v/>
      </c>
      <c r="T50" s="396" t="str">
        <f t="shared" si="5"/>
        <v/>
      </c>
      <c r="U50" s="395" t="str">
        <f t="shared" si="5"/>
        <v/>
      </c>
      <c r="V50" s="396" t="str">
        <f t="shared" si="5"/>
        <v/>
      </c>
      <c r="W50" s="395" t="str">
        <f t="shared" si="5"/>
        <v/>
      </c>
      <c r="X50" s="396" t="str">
        <f t="shared" si="5"/>
        <v/>
      </c>
      <c r="Y50" s="395" t="str">
        <f t="shared" si="5"/>
        <v/>
      </c>
      <c r="Z50" s="396" t="str">
        <f t="shared" si="5"/>
        <v/>
      </c>
      <c r="AA50" s="395" t="str">
        <f t="shared" si="5"/>
        <v/>
      </c>
      <c r="AB50" s="396" t="str">
        <f t="shared" si="5"/>
        <v/>
      </c>
      <c r="AC50" s="395" t="str">
        <f t="shared" si="5"/>
        <v/>
      </c>
      <c r="AD50" s="397" t="str">
        <f t="shared" si="5"/>
        <v/>
      </c>
      <c r="AE50" s="205"/>
    </row>
    <row r="51" ht="15.75" customHeight="1">
      <c r="A51" s="206"/>
      <c r="B51" s="394" t="s">
        <v>181</v>
      </c>
      <c r="C51" s="399">
        <f t="shared" ref="C51:AD51" si="6">IF(AND(C42&gt;0,C41&gt;0),C41-C42,"")</f>
        <v>7.7</v>
      </c>
      <c r="D51" s="400">
        <f t="shared" si="6"/>
        <v>8.5</v>
      </c>
      <c r="E51" s="401">
        <f t="shared" si="6"/>
        <v>9.6</v>
      </c>
      <c r="F51" s="402">
        <f t="shared" si="6"/>
        <v>6</v>
      </c>
      <c r="G51" s="399">
        <f t="shared" si="6"/>
        <v>8</v>
      </c>
      <c r="H51" s="400" t="str">
        <f t="shared" si="6"/>
        <v/>
      </c>
      <c r="I51" s="403" t="str">
        <f t="shared" si="6"/>
        <v/>
      </c>
      <c r="J51" s="402" t="str">
        <f t="shared" si="6"/>
        <v/>
      </c>
      <c r="K51" s="399" t="str">
        <f t="shared" si="6"/>
        <v/>
      </c>
      <c r="L51" s="400" t="str">
        <f t="shared" si="6"/>
        <v/>
      </c>
      <c r="M51" s="401" t="str">
        <f t="shared" si="6"/>
        <v/>
      </c>
      <c r="N51" s="402" t="str">
        <f t="shared" si="6"/>
        <v/>
      </c>
      <c r="O51" s="399" t="str">
        <f t="shared" si="6"/>
        <v/>
      </c>
      <c r="P51" s="404" t="str">
        <f t="shared" si="6"/>
        <v/>
      </c>
      <c r="Q51" s="401" t="str">
        <f t="shared" si="6"/>
        <v/>
      </c>
      <c r="R51" s="402" t="str">
        <f t="shared" si="6"/>
        <v/>
      </c>
      <c r="S51" s="399" t="str">
        <f t="shared" si="6"/>
        <v/>
      </c>
      <c r="T51" s="400" t="str">
        <f t="shared" si="6"/>
        <v/>
      </c>
      <c r="U51" s="401" t="str">
        <f t="shared" si="6"/>
        <v/>
      </c>
      <c r="V51" s="402" t="str">
        <f t="shared" si="6"/>
        <v/>
      </c>
      <c r="W51" s="399" t="str">
        <f t="shared" si="6"/>
        <v/>
      </c>
      <c r="X51" s="400" t="str">
        <f t="shared" si="6"/>
        <v/>
      </c>
      <c r="Y51" s="401" t="str">
        <f t="shared" si="6"/>
        <v/>
      </c>
      <c r="Z51" s="402" t="str">
        <f t="shared" si="6"/>
        <v/>
      </c>
      <c r="AA51" s="399" t="str">
        <f t="shared" si="6"/>
        <v/>
      </c>
      <c r="AB51" s="400" t="str">
        <f t="shared" si="6"/>
        <v/>
      </c>
      <c r="AC51" s="401" t="str">
        <f t="shared" si="6"/>
        <v/>
      </c>
      <c r="AD51" s="405" t="str">
        <f t="shared" si="6"/>
        <v/>
      </c>
      <c r="AE51" s="205"/>
    </row>
    <row r="52" ht="15.75" customHeight="1">
      <c r="A52" s="206"/>
      <c r="B52" s="394" t="s">
        <v>182</v>
      </c>
      <c r="C52" s="385">
        <f t="shared" ref="C52:AD52" si="7">IF(AND(C38&gt;0,C51&gt;0),C38/C51,"")</f>
        <v>54.54545455</v>
      </c>
      <c r="D52" s="386">
        <f t="shared" si="7"/>
        <v>49.41176471</v>
      </c>
      <c r="E52" s="387">
        <f t="shared" si="7"/>
        <v>43.75</v>
      </c>
      <c r="F52" s="388">
        <f t="shared" si="7"/>
        <v>78.33333333</v>
      </c>
      <c r="G52" s="385">
        <f t="shared" si="7"/>
        <v>67.5</v>
      </c>
      <c r="H52" s="386" t="str">
        <f t="shared" si="7"/>
        <v>#DIV/0!</v>
      </c>
      <c r="I52" s="389" t="str">
        <f t="shared" si="7"/>
        <v>#DIV/0!</v>
      </c>
      <c r="J52" s="388" t="str">
        <f t="shared" si="7"/>
        <v>#DIV/0!</v>
      </c>
      <c r="K52" s="385" t="str">
        <f t="shared" si="7"/>
        <v>#DIV/0!</v>
      </c>
      <c r="L52" s="386" t="str">
        <f t="shared" si="7"/>
        <v>#DIV/0!</v>
      </c>
      <c r="M52" s="387" t="str">
        <f t="shared" si="7"/>
        <v>#DIV/0!</v>
      </c>
      <c r="N52" s="388" t="str">
        <f t="shared" si="7"/>
        <v/>
      </c>
      <c r="O52" s="385" t="str">
        <f t="shared" si="7"/>
        <v/>
      </c>
      <c r="P52" s="390" t="str">
        <f t="shared" si="7"/>
        <v/>
      </c>
      <c r="Q52" s="387" t="str">
        <f t="shared" si="7"/>
        <v/>
      </c>
      <c r="R52" s="388" t="str">
        <f t="shared" si="7"/>
        <v/>
      </c>
      <c r="S52" s="385" t="str">
        <f t="shared" si="7"/>
        <v/>
      </c>
      <c r="T52" s="386" t="str">
        <f t="shared" si="7"/>
        <v/>
      </c>
      <c r="U52" s="387" t="str">
        <f t="shared" si="7"/>
        <v/>
      </c>
      <c r="V52" s="388" t="str">
        <f t="shared" si="7"/>
        <v/>
      </c>
      <c r="W52" s="385" t="str">
        <f t="shared" si="7"/>
        <v/>
      </c>
      <c r="X52" s="386" t="str">
        <f t="shared" si="7"/>
        <v/>
      </c>
      <c r="Y52" s="387" t="str">
        <f t="shared" si="7"/>
        <v/>
      </c>
      <c r="Z52" s="388" t="str">
        <f t="shared" si="7"/>
        <v/>
      </c>
      <c r="AA52" s="385" t="str">
        <f t="shared" si="7"/>
        <v/>
      </c>
      <c r="AB52" s="386" t="str">
        <f t="shared" si="7"/>
        <v/>
      </c>
      <c r="AC52" s="387" t="str">
        <f t="shared" si="7"/>
        <v/>
      </c>
      <c r="AD52" s="406" t="str">
        <f t="shared" si="7"/>
        <v/>
      </c>
      <c r="AE52" s="205"/>
    </row>
    <row r="53" ht="15.75" customHeight="1">
      <c r="A53" s="206"/>
      <c r="B53" s="394" t="s">
        <v>183</v>
      </c>
      <c r="C53" s="407">
        <f t="shared" ref="C53:AD53" si="8">IF(AND(C29="VC-CMV",C43="NO"),(C40-C41)/(C35/60),"")</f>
        <v>13.04347826</v>
      </c>
      <c r="D53" s="408">
        <f t="shared" si="8"/>
        <v>10.8</v>
      </c>
      <c r="E53" s="407">
        <f t="shared" si="8"/>
        <v>10.8</v>
      </c>
      <c r="F53" s="408" t="str">
        <f t="shared" si="8"/>
        <v/>
      </c>
      <c r="G53" s="407" t="str">
        <f t="shared" si="8"/>
        <v/>
      </c>
      <c r="H53" s="408" t="str">
        <f t="shared" si="8"/>
        <v/>
      </c>
      <c r="I53" s="409" t="str">
        <f t="shared" si="8"/>
        <v/>
      </c>
      <c r="J53" s="408" t="str">
        <f t="shared" si="8"/>
        <v/>
      </c>
      <c r="K53" s="407" t="str">
        <f t="shared" si="8"/>
        <v/>
      </c>
      <c r="L53" s="408" t="str">
        <f t="shared" si="8"/>
        <v/>
      </c>
      <c r="M53" s="407" t="str">
        <f t="shared" si="8"/>
        <v/>
      </c>
      <c r="N53" s="408" t="str">
        <f t="shared" si="8"/>
        <v/>
      </c>
      <c r="O53" s="407" t="str">
        <f t="shared" si="8"/>
        <v/>
      </c>
      <c r="P53" s="410" t="str">
        <f t="shared" si="8"/>
        <v/>
      </c>
      <c r="Q53" s="407" t="str">
        <f t="shared" si="8"/>
        <v/>
      </c>
      <c r="R53" s="408" t="str">
        <f t="shared" si="8"/>
        <v/>
      </c>
      <c r="S53" s="407" t="str">
        <f t="shared" si="8"/>
        <v/>
      </c>
      <c r="T53" s="408" t="str">
        <f t="shared" si="8"/>
        <v/>
      </c>
      <c r="U53" s="407" t="str">
        <f t="shared" si="8"/>
        <v/>
      </c>
      <c r="V53" s="408" t="str">
        <f t="shared" si="8"/>
        <v/>
      </c>
      <c r="W53" s="407" t="str">
        <f t="shared" si="8"/>
        <v/>
      </c>
      <c r="X53" s="408" t="str">
        <f t="shared" si="8"/>
        <v/>
      </c>
      <c r="Y53" s="407" t="str">
        <f t="shared" si="8"/>
        <v/>
      </c>
      <c r="Z53" s="408" t="str">
        <f t="shared" si="8"/>
        <v/>
      </c>
      <c r="AA53" s="407" t="str">
        <f t="shared" si="8"/>
        <v/>
      </c>
      <c r="AB53" s="408" t="str">
        <f t="shared" si="8"/>
        <v/>
      </c>
      <c r="AC53" s="407" t="str">
        <f t="shared" si="8"/>
        <v/>
      </c>
      <c r="AD53" s="410" t="str">
        <f t="shared" si="8"/>
        <v/>
      </c>
      <c r="AE53" s="411"/>
    </row>
    <row r="54" ht="15.75" customHeight="1">
      <c r="A54" s="206"/>
      <c r="B54" s="412" t="s">
        <v>184</v>
      </c>
      <c r="C54" s="413" t="str">
        <f t="shared" ref="C54:AD54" si="9">IF(AND(C29="VC-CMV",AND(C36="Cuadrada",C43="NO")), (((0.5*(C51/(C38/1000))+(1+(C48/C49))/(60*(C48/C49))*C37*C53)*((C38/1000)*(C38/1000))+(C38/1000)*C42)*C37*0.098),"")</f>
        <v/>
      </c>
      <c r="D54" s="414">
        <f t="shared" si="9"/>
        <v>17.4131496</v>
      </c>
      <c r="E54" s="415">
        <f t="shared" si="9"/>
        <v>21.4163712</v>
      </c>
      <c r="F54" s="416" t="str">
        <f t="shared" si="9"/>
        <v/>
      </c>
      <c r="G54" s="413" t="str">
        <f t="shared" si="9"/>
        <v/>
      </c>
      <c r="H54" s="414" t="str">
        <f t="shared" si="9"/>
        <v/>
      </c>
      <c r="I54" s="417" t="str">
        <f t="shared" si="9"/>
        <v/>
      </c>
      <c r="J54" s="416" t="str">
        <f t="shared" si="9"/>
        <v/>
      </c>
      <c r="K54" s="413" t="str">
        <f t="shared" si="9"/>
        <v/>
      </c>
      <c r="L54" s="414" t="str">
        <f t="shared" si="9"/>
        <v/>
      </c>
      <c r="M54" s="415" t="str">
        <f t="shared" si="9"/>
        <v/>
      </c>
      <c r="N54" s="416" t="str">
        <f t="shared" si="9"/>
        <v/>
      </c>
      <c r="O54" s="413" t="str">
        <f t="shared" si="9"/>
        <v/>
      </c>
      <c r="P54" s="418" t="str">
        <f t="shared" si="9"/>
        <v/>
      </c>
      <c r="Q54" s="415" t="str">
        <f t="shared" si="9"/>
        <v/>
      </c>
      <c r="R54" s="416" t="str">
        <f t="shared" si="9"/>
        <v/>
      </c>
      <c r="S54" s="413" t="str">
        <f t="shared" si="9"/>
        <v/>
      </c>
      <c r="T54" s="414" t="str">
        <f t="shared" si="9"/>
        <v/>
      </c>
      <c r="U54" s="415" t="str">
        <f t="shared" si="9"/>
        <v/>
      </c>
      <c r="V54" s="416" t="str">
        <f t="shared" si="9"/>
        <v/>
      </c>
      <c r="W54" s="413" t="str">
        <f t="shared" si="9"/>
        <v/>
      </c>
      <c r="X54" s="414" t="str">
        <f t="shared" si="9"/>
        <v/>
      </c>
      <c r="Y54" s="415" t="str">
        <f t="shared" si="9"/>
        <v/>
      </c>
      <c r="Z54" s="416" t="str">
        <f t="shared" si="9"/>
        <v/>
      </c>
      <c r="AA54" s="413" t="str">
        <f t="shared" si="9"/>
        <v/>
      </c>
      <c r="AB54" s="414" t="str">
        <f t="shared" si="9"/>
        <v/>
      </c>
      <c r="AC54" s="415" t="str">
        <f t="shared" si="9"/>
        <v/>
      </c>
      <c r="AD54" s="419" t="str">
        <f t="shared" si="9"/>
        <v/>
      </c>
      <c r="AE54" s="373"/>
    </row>
    <row r="55" ht="15.75" customHeight="1">
      <c r="A55" s="206"/>
      <c r="B55" s="420" t="s">
        <v>185</v>
      </c>
      <c r="C55" s="413" t="str">
        <f t="shared" ref="C55:AD55" si="10">IFS(OR(C52="",C54=""),"",AND(C52&gt;0,C54&gt;0),C54/C52)</f>
        <v/>
      </c>
      <c r="D55" s="421">
        <f t="shared" si="10"/>
        <v>0.35240898</v>
      </c>
      <c r="E55" s="415">
        <f t="shared" si="10"/>
        <v>0.489517056</v>
      </c>
      <c r="F55" s="421" t="str">
        <f t="shared" si="10"/>
        <v/>
      </c>
      <c r="G55" s="415" t="str">
        <f t="shared" si="10"/>
        <v/>
      </c>
      <c r="H55" s="421" t="str">
        <f t="shared" si="10"/>
        <v>#DIV/0!</v>
      </c>
      <c r="I55" s="417" t="str">
        <f t="shared" si="10"/>
        <v>#DIV/0!</v>
      </c>
      <c r="J55" s="421" t="str">
        <f t="shared" si="10"/>
        <v>#DIV/0!</v>
      </c>
      <c r="K55" s="415" t="str">
        <f t="shared" si="10"/>
        <v>#DIV/0!</v>
      </c>
      <c r="L55" s="421" t="str">
        <f t="shared" si="10"/>
        <v>#DIV/0!</v>
      </c>
      <c r="M55" s="415" t="str">
        <f t="shared" si="10"/>
        <v>#DIV/0!</v>
      </c>
      <c r="N55" s="421" t="str">
        <f t="shared" si="10"/>
        <v/>
      </c>
      <c r="O55" s="415" t="str">
        <f t="shared" si="10"/>
        <v/>
      </c>
      <c r="P55" s="422" t="str">
        <f t="shared" si="10"/>
        <v/>
      </c>
      <c r="Q55" s="415" t="str">
        <f t="shared" si="10"/>
        <v/>
      </c>
      <c r="R55" s="421" t="str">
        <f t="shared" si="10"/>
        <v/>
      </c>
      <c r="S55" s="415" t="str">
        <f t="shared" si="10"/>
        <v/>
      </c>
      <c r="T55" s="421" t="str">
        <f t="shared" si="10"/>
        <v/>
      </c>
      <c r="U55" s="415" t="str">
        <f t="shared" si="10"/>
        <v/>
      </c>
      <c r="V55" s="421" t="str">
        <f t="shared" si="10"/>
        <v/>
      </c>
      <c r="W55" s="415" t="str">
        <f t="shared" si="10"/>
        <v/>
      </c>
      <c r="X55" s="421" t="str">
        <f t="shared" si="10"/>
        <v/>
      </c>
      <c r="Y55" s="415" t="str">
        <f t="shared" si="10"/>
        <v/>
      </c>
      <c r="Z55" s="421" t="str">
        <f t="shared" si="10"/>
        <v/>
      </c>
      <c r="AA55" s="415" t="str">
        <f t="shared" si="10"/>
        <v/>
      </c>
      <c r="AB55" s="421" t="str">
        <f t="shared" si="10"/>
        <v/>
      </c>
      <c r="AC55" s="415" t="str">
        <f t="shared" si="10"/>
        <v/>
      </c>
      <c r="AD55" s="423" t="str">
        <f t="shared" si="10"/>
        <v/>
      </c>
      <c r="AE55" s="373"/>
    </row>
    <row r="56" ht="15.75" customHeight="1">
      <c r="A56" s="206"/>
      <c r="B56" s="420" t="s">
        <v>186</v>
      </c>
      <c r="C56" s="413" t="str">
        <f t="shared" ref="C56:AD56" si="11">IFS(OR(C54="",$J$2=""),"",AND(C54&gt;0,$J$2&gt;0),C54/$J$2)</f>
        <v/>
      </c>
      <c r="D56" s="414">
        <f t="shared" si="11"/>
        <v>0.2467640167</v>
      </c>
      <c r="E56" s="415">
        <f t="shared" si="11"/>
        <v>0.3034941927</v>
      </c>
      <c r="F56" s="416" t="str">
        <f t="shared" si="11"/>
        <v/>
      </c>
      <c r="G56" s="413" t="str">
        <f t="shared" si="11"/>
        <v/>
      </c>
      <c r="H56" s="414" t="str">
        <f t="shared" si="11"/>
        <v/>
      </c>
      <c r="I56" s="417" t="str">
        <f t="shared" si="11"/>
        <v/>
      </c>
      <c r="J56" s="416" t="str">
        <f t="shared" si="11"/>
        <v/>
      </c>
      <c r="K56" s="413" t="str">
        <f t="shared" si="11"/>
        <v/>
      </c>
      <c r="L56" s="414" t="str">
        <f t="shared" si="11"/>
        <v/>
      </c>
      <c r="M56" s="415" t="str">
        <f t="shared" si="11"/>
        <v/>
      </c>
      <c r="N56" s="416" t="str">
        <f t="shared" si="11"/>
        <v/>
      </c>
      <c r="O56" s="424" t="str">
        <f t="shared" si="11"/>
        <v/>
      </c>
      <c r="P56" s="425" t="str">
        <f t="shared" si="11"/>
        <v/>
      </c>
      <c r="Q56" s="426" t="str">
        <f t="shared" si="11"/>
        <v/>
      </c>
      <c r="R56" s="427" t="str">
        <f t="shared" si="11"/>
        <v/>
      </c>
      <c r="S56" s="424" t="str">
        <f t="shared" si="11"/>
        <v/>
      </c>
      <c r="T56" s="428" t="str">
        <f t="shared" si="11"/>
        <v/>
      </c>
      <c r="U56" s="426" t="str">
        <f t="shared" si="11"/>
        <v/>
      </c>
      <c r="V56" s="427" t="str">
        <f t="shared" si="11"/>
        <v/>
      </c>
      <c r="W56" s="424" t="str">
        <f t="shared" si="11"/>
        <v/>
      </c>
      <c r="X56" s="428" t="str">
        <f t="shared" si="11"/>
        <v/>
      </c>
      <c r="Y56" s="426" t="str">
        <f t="shared" si="11"/>
        <v/>
      </c>
      <c r="Z56" s="427" t="str">
        <f t="shared" si="11"/>
        <v/>
      </c>
      <c r="AA56" s="424" t="str">
        <f t="shared" si="11"/>
        <v/>
      </c>
      <c r="AB56" s="428" t="str">
        <f t="shared" si="11"/>
        <v/>
      </c>
      <c r="AC56" s="426" t="str">
        <f t="shared" si="11"/>
        <v/>
      </c>
      <c r="AD56" s="429" t="str">
        <f t="shared" si="11"/>
        <v/>
      </c>
      <c r="AE56" s="373"/>
    </row>
    <row r="57" ht="15.75" customHeight="1">
      <c r="A57" s="206"/>
      <c r="B57" s="420" t="s">
        <v>187</v>
      </c>
      <c r="C57" s="413">
        <f t="shared" ref="C57:AD57" si="12">IF(AND(C21&gt;0,C39&gt;0),(C39*1000*C21)/($J$2*37.5*100),"")</f>
        <v>1.526083383</v>
      </c>
      <c r="D57" s="414">
        <f t="shared" si="12"/>
        <v>1.623595877</v>
      </c>
      <c r="E57" s="415">
        <f t="shared" si="12"/>
        <v>1.655188051</v>
      </c>
      <c r="F57" s="416">
        <f t="shared" si="12"/>
        <v>1.835218094</v>
      </c>
      <c r="G57" s="413">
        <f t="shared" si="12"/>
        <v>1.75495281</v>
      </c>
      <c r="H57" s="414">
        <f t="shared" si="12"/>
        <v>1.77509471</v>
      </c>
      <c r="I57" s="417">
        <f t="shared" si="12"/>
        <v>2.058403953</v>
      </c>
      <c r="J57" s="416">
        <f t="shared" si="12"/>
        <v>1.607346314</v>
      </c>
      <c r="K57" s="413">
        <f t="shared" si="12"/>
        <v>1.729255827</v>
      </c>
      <c r="L57" s="414">
        <f t="shared" si="12"/>
        <v>1.348713734</v>
      </c>
      <c r="M57" s="415">
        <f t="shared" si="12"/>
        <v>1.468393655</v>
      </c>
      <c r="N57" s="416" t="str">
        <f t="shared" si="12"/>
        <v/>
      </c>
      <c r="O57" s="413" t="str">
        <f t="shared" si="12"/>
        <v/>
      </c>
      <c r="P57" s="418" t="str">
        <f t="shared" si="12"/>
        <v/>
      </c>
      <c r="Q57" s="415" t="str">
        <f t="shared" si="12"/>
        <v/>
      </c>
      <c r="R57" s="416" t="str">
        <f t="shared" si="12"/>
        <v/>
      </c>
      <c r="S57" s="413" t="str">
        <f t="shared" si="12"/>
        <v/>
      </c>
      <c r="T57" s="414" t="str">
        <f t="shared" si="12"/>
        <v/>
      </c>
      <c r="U57" s="415" t="str">
        <f t="shared" si="12"/>
        <v/>
      </c>
      <c r="V57" s="416" t="str">
        <f t="shared" si="12"/>
        <v/>
      </c>
      <c r="W57" s="413" t="str">
        <f t="shared" si="12"/>
        <v/>
      </c>
      <c r="X57" s="414" t="str">
        <f t="shared" si="12"/>
        <v/>
      </c>
      <c r="Y57" s="415" t="str">
        <f t="shared" si="12"/>
        <v/>
      </c>
      <c r="Z57" s="416" t="str">
        <f t="shared" si="12"/>
        <v/>
      </c>
      <c r="AA57" s="413" t="str">
        <f t="shared" si="12"/>
        <v/>
      </c>
      <c r="AB57" s="414" t="str">
        <f t="shared" si="12"/>
        <v/>
      </c>
      <c r="AC57" s="415" t="str">
        <f t="shared" si="12"/>
        <v/>
      </c>
      <c r="AD57" s="419" t="str">
        <f t="shared" si="12"/>
        <v/>
      </c>
      <c r="AE57" s="373"/>
    </row>
    <row r="58" ht="15.75" customHeight="1">
      <c r="A58" s="206"/>
      <c r="B58" s="430" t="s">
        <v>188</v>
      </c>
      <c r="C58" s="431" t="str">
        <f t="shared" ref="C58:AD58" si="13">IFS(C41="","",C41=C40,"0",C41&lt;C40,"",C41&gt;C40,C41-(C40-C32))</f>
        <v/>
      </c>
      <c r="D58" s="432" t="str">
        <f t="shared" si="13"/>
        <v/>
      </c>
      <c r="E58" s="433" t="str">
        <f t="shared" si="13"/>
        <v/>
      </c>
      <c r="F58" s="434" t="str">
        <f t="shared" si="13"/>
        <v/>
      </c>
      <c r="G58" s="431" t="str">
        <f t="shared" si="13"/>
        <v/>
      </c>
      <c r="H58" s="432" t="str">
        <f t="shared" si="13"/>
        <v/>
      </c>
      <c r="I58" s="435" t="str">
        <f t="shared" si="13"/>
        <v/>
      </c>
      <c r="J58" s="434" t="str">
        <f t="shared" si="13"/>
        <v/>
      </c>
      <c r="K58" s="431" t="str">
        <f t="shared" si="13"/>
        <v/>
      </c>
      <c r="L58" s="432" t="str">
        <f t="shared" si="13"/>
        <v/>
      </c>
      <c r="M58" s="433" t="str">
        <f t="shared" si="13"/>
        <v/>
      </c>
      <c r="N58" s="434" t="str">
        <f t="shared" si="13"/>
        <v/>
      </c>
      <c r="O58" s="431" t="str">
        <f t="shared" si="13"/>
        <v/>
      </c>
      <c r="P58" s="436" t="str">
        <f t="shared" si="13"/>
        <v/>
      </c>
      <c r="Q58" s="433" t="str">
        <f t="shared" si="13"/>
        <v/>
      </c>
      <c r="R58" s="434" t="str">
        <f t="shared" si="13"/>
        <v/>
      </c>
      <c r="S58" s="431" t="str">
        <f t="shared" si="13"/>
        <v/>
      </c>
      <c r="T58" s="432" t="str">
        <f t="shared" si="13"/>
        <v/>
      </c>
      <c r="U58" s="433" t="str">
        <f t="shared" si="13"/>
        <v/>
      </c>
      <c r="V58" s="434" t="str">
        <f t="shared" si="13"/>
        <v/>
      </c>
      <c r="W58" s="431" t="str">
        <f t="shared" si="13"/>
        <v/>
      </c>
      <c r="X58" s="432" t="str">
        <f t="shared" si="13"/>
        <v/>
      </c>
      <c r="Y58" s="433" t="str">
        <f t="shared" si="13"/>
        <v/>
      </c>
      <c r="Z58" s="434" t="str">
        <f t="shared" si="13"/>
        <v/>
      </c>
      <c r="AA58" s="431" t="str">
        <f t="shared" si="13"/>
        <v/>
      </c>
      <c r="AB58" s="432" t="str">
        <f t="shared" si="13"/>
        <v/>
      </c>
      <c r="AC58" s="433" t="str">
        <f t="shared" si="13"/>
        <v/>
      </c>
      <c r="AD58" s="437" t="str">
        <f t="shared" si="13"/>
        <v/>
      </c>
      <c r="AE58" s="373"/>
    </row>
    <row r="59" ht="15.75" customHeight="1">
      <c r="A59" s="206"/>
      <c r="B59" s="438" t="s">
        <v>189</v>
      </c>
      <c r="C59" s="439" t="str">
        <f t="shared" ref="C59:AD59" si="14">IF(C45&gt;0,(C40-C41)*(C45*0.66),"")</f>
        <v/>
      </c>
      <c r="D59" s="440" t="str">
        <f t="shared" si="14"/>
        <v/>
      </c>
      <c r="E59" s="439" t="str">
        <f t="shared" si="14"/>
        <v/>
      </c>
      <c r="F59" s="440" t="str">
        <f t="shared" si="14"/>
        <v/>
      </c>
      <c r="G59" s="439">
        <f t="shared" si="14"/>
        <v>39.6</v>
      </c>
      <c r="H59" s="440" t="str">
        <f t="shared" si="14"/>
        <v/>
      </c>
      <c r="I59" s="441" t="str">
        <f t="shared" si="14"/>
        <v/>
      </c>
      <c r="J59" s="440" t="str">
        <f t="shared" si="14"/>
        <v/>
      </c>
      <c r="K59" s="439" t="str">
        <f t="shared" si="14"/>
        <v/>
      </c>
      <c r="L59" s="440" t="str">
        <f t="shared" si="14"/>
        <v/>
      </c>
      <c r="M59" s="439" t="str">
        <f t="shared" si="14"/>
        <v/>
      </c>
      <c r="N59" s="440" t="str">
        <f t="shared" si="14"/>
        <v/>
      </c>
      <c r="O59" s="439" t="str">
        <f t="shared" si="14"/>
        <v/>
      </c>
      <c r="P59" s="442" t="str">
        <f t="shared" si="14"/>
        <v/>
      </c>
      <c r="Q59" s="439" t="str">
        <f t="shared" si="14"/>
        <v/>
      </c>
      <c r="R59" s="440" t="str">
        <f t="shared" si="14"/>
        <v/>
      </c>
      <c r="S59" s="439" t="str">
        <f t="shared" si="14"/>
        <v/>
      </c>
      <c r="T59" s="440" t="str">
        <f t="shared" si="14"/>
        <v/>
      </c>
      <c r="U59" s="439" t="str">
        <f t="shared" si="14"/>
        <v/>
      </c>
      <c r="V59" s="440" t="str">
        <f t="shared" si="14"/>
        <v/>
      </c>
      <c r="W59" s="439" t="str">
        <f t="shared" si="14"/>
        <v/>
      </c>
      <c r="X59" s="440" t="str">
        <f t="shared" si="14"/>
        <v/>
      </c>
      <c r="Y59" s="439" t="str">
        <f t="shared" si="14"/>
        <v/>
      </c>
      <c r="Z59" s="440" t="str">
        <f t="shared" si="14"/>
        <v/>
      </c>
      <c r="AA59" s="439" t="str">
        <f t="shared" si="14"/>
        <v/>
      </c>
      <c r="AB59" s="440" t="str">
        <f t="shared" si="14"/>
        <v/>
      </c>
      <c r="AC59" s="439" t="str">
        <f t="shared" si="14"/>
        <v/>
      </c>
      <c r="AD59" s="442" t="str">
        <f t="shared" si="14"/>
        <v/>
      </c>
      <c r="AE59" s="205"/>
    </row>
    <row r="60" ht="15.75" customHeight="1">
      <c r="A60" s="206"/>
      <c r="B60" s="438" t="s">
        <v>190</v>
      </c>
      <c r="C60" s="439" t="str">
        <f t="shared" ref="C60:AD60" si="15">IF(C45&gt;0,C45*0.75,"")</f>
        <v/>
      </c>
      <c r="D60" s="440" t="str">
        <f t="shared" si="15"/>
        <v/>
      </c>
      <c r="E60" s="439" t="str">
        <f t="shared" si="15"/>
        <v/>
      </c>
      <c r="F60" s="440" t="str">
        <f t="shared" si="15"/>
        <v/>
      </c>
      <c r="G60" s="439">
        <f t="shared" si="15"/>
        <v>7.5</v>
      </c>
      <c r="H60" s="440" t="str">
        <f t="shared" si="15"/>
        <v/>
      </c>
      <c r="I60" s="441" t="str">
        <f t="shared" si="15"/>
        <v/>
      </c>
      <c r="J60" s="440" t="str">
        <f t="shared" si="15"/>
        <v/>
      </c>
      <c r="K60" s="439" t="str">
        <f t="shared" si="15"/>
        <v/>
      </c>
      <c r="L60" s="440" t="str">
        <f t="shared" si="15"/>
        <v/>
      </c>
      <c r="M60" s="439" t="str">
        <f t="shared" si="15"/>
        <v/>
      </c>
      <c r="N60" s="440" t="str">
        <f t="shared" si="15"/>
        <v/>
      </c>
      <c r="O60" s="439" t="str">
        <f t="shared" si="15"/>
        <v/>
      </c>
      <c r="P60" s="442" t="str">
        <f t="shared" si="15"/>
        <v/>
      </c>
      <c r="Q60" s="439" t="str">
        <f t="shared" si="15"/>
        <v/>
      </c>
      <c r="R60" s="440" t="str">
        <f t="shared" si="15"/>
        <v/>
      </c>
      <c r="S60" s="439" t="str">
        <f t="shared" si="15"/>
        <v/>
      </c>
      <c r="T60" s="440" t="str">
        <f t="shared" si="15"/>
        <v/>
      </c>
      <c r="U60" s="439" t="str">
        <f t="shared" si="15"/>
        <v/>
      </c>
      <c r="V60" s="440" t="str">
        <f t="shared" si="15"/>
        <v/>
      </c>
      <c r="W60" s="439" t="str">
        <f t="shared" si="15"/>
        <v/>
      </c>
      <c r="X60" s="440" t="str">
        <f t="shared" si="15"/>
        <v/>
      </c>
      <c r="Y60" s="439" t="str">
        <f t="shared" si="15"/>
        <v/>
      </c>
      <c r="Z60" s="440" t="str">
        <f t="shared" si="15"/>
        <v/>
      </c>
      <c r="AA60" s="439" t="str">
        <f t="shared" si="15"/>
        <v/>
      </c>
      <c r="AB60" s="440" t="str">
        <f t="shared" si="15"/>
        <v/>
      </c>
      <c r="AC60" s="439" t="str">
        <f t="shared" si="15"/>
        <v/>
      </c>
      <c r="AD60" s="442" t="str">
        <f t="shared" si="15"/>
        <v/>
      </c>
      <c r="AE60" s="205"/>
    </row>
    <row r="61" ht="15.75" customHeight="1">
      <c r="A61" s="206"/>
      <c r="B61" s="438" t="s">
        <v>191</v>
      </c>
      <c r="C61" s="439">
        <f t="shared" ref="C61:AD61" si="16">IFS(AND(C51&lt;&gt;"",C37&lt;&gt;""),C51*C37,AND(C51&lt;&gt;"",C31&lt;&gt;""),C51*C31,C51="","")</f>
        <v>169.4</v>
      </c>
      <c r="D61" s="440">
        <f t="shared" si="16"/>
        <v>187</v>
      </c>
      <c r="E61" s="439">
        <f t="shared" si="16"/>
        <v>230.4</v>
      </c>
      <c r="F61" s="440">
        <f t="shared" si="16"/>
        <v>150</v>
      </c>
      <c r="G61" s="439">
        <f t="shared" si="16"/>
        <v>160</v>
      </c>
      <c r="H61" s="443" t="str">
        <f t="shared" si="16"/>
        <v/>
      </c>
      <c r="I61" s="444" t="str">
        <f t="shared" si="16"/>
        <v/>
      </c>
      <c r="J61" s="440" t="str">
        <f t="shared" si="16"/>
        <v/>
      </c>
      <c r="K61" s="439" t="str">
        <f t="shared" si="16"/>
        <v/>
      </c>
      <c r="L61" s="440" t="str">
        <f t="shared" si="16"/>
        <v/>
      </c>
      <c r="M61" s="439" t="str">
        <f t="shared" si="16"/>
        <v/>
      </c>
      <c r="N61" s="440" t="str">
        <f t="shared" si="16"/>
        <v/>
      </c>
      <c r="O61" s="439" t="str">
        <f t="shared" si="16"/>
        <v/>
      </c>
      <c r="P61" s="442" t="str">
        <f t="shared" si="16"/>
        <v/>
      </c>
      <c r="Q61" s="439" t="str">
        <f t="shared" si="16"/>
        <v/>
      </c>
      <c r="R61" s="440" t="str">
        <f t="shared" si="16"/>
        <v/>
      </c>
      <c r="S61" s="439" t="str">
        <f t="shared" si="16"/>
        <v/>
      </c>
      <c r="T61" s="439" t="str">
        <f t="shared" si="16"/>
        <v/>
      </c>
      <c r="U61" s="439" t="str">
        <f t="shared" si="16"/>
        <v/>
      </c>
      <c r="V61" s="440" t="str">
        <f t="shared" si="16"/>
        <v/>
      </c>
      <c r="W61" s="439" t="str">
        <f t="shared" si="16"/>
        <v/>
      </c>
      <c r="X61" s="440" t="str">
        <f t="shared" si="16"/>
        <v/>
      </c>
      <c r="Y61" s="439" t="str">
        <f t="shared" si="16"/>
        <v/>
      </c>
      <c r="Z61" s="440" t="str">
        <f t="shared" si="16"/>
        <v/>
      </c>
      <c r="AA61" s="439" t="str">
        <f t="shared" si="16"/>
        <v/>
      </c>
      <c r="AB61" s="440" t="str">
        <f t="shared" si="16"/>
        <v/>
      </c>
      <c r="AC61" s="439" t="str">
        <f t="shared" si="16"/>
        <v/>
      </c>
      <c r="AD61" s="441" t="str">
        <f t="shared" si="16"/>
        <v/>
      </c>
      <c r="AE61" s="205"/>
    </row>
    <row r="62" ht="15.75" customHeight="1">
      <c r="A62" s="275"/>
      <c r="B62" s="445" t="s">
        <v>192</v>
      </c>
      <c r="C62" s="446">
        <f t="shared" ref="C62:AD62" si="17">IFS(C50="","",AND(C50&lt;&gt;"",C27&lt;&gt;""),(C50*100*C27)/C22)</f>
        <v>5.556965595</v>
      </c>
      <c r="D62" s="447">
        <f t="shared" si="17"/>
        <v>4.982758621</v>
      </c>
      <c r="E62" s="448">
        <f t="shared" si="17"/>
        <v>5.833049404</v>
      </c>
      <c r="F62" s="447">
        <f t="shared" si="17"/>
        <v>4.007067138</v>
      </c>
      <c r="G62" s="448">
        <f t="shared" si="17"/>
        <v>9.253012048</v>
      </c>
      <c r="H62" s="447" t="str">
        <f t="shared" si="17"/>
        <v/>
      </c>
      <c r="I62" s="449" t="str">
        <f t="shared" si="17"/>
        <v/>
      </c>
      <c r="J62" s="447" t="str">
        <f t="shared" si="17"/>
        <v/>
      </c>
      <c r="K62" s="448" t="str">
        <f t="shared" si="17"/>
        <v/>
      </c>
      <c r="L62" s="447" t="str">
        <f t="shared" si="17"/>
        <v/>
      </c>
      <c r="M62" s="448" t="str">
        <f t="shared" si="17"/>
        <v/>
      </c>
      <c r="N62" s="447" t="str">
        <f t="shared" si="17"/>
        <v/>
      </c>
      <c r="O62" s="448" t="str">
        <f t="shared" si="17"/>
        <v/>
      </c>
      <c r="P62" s="450" t="str">
        <f t="shared" si="17"/>
        <v/>
      </c>
      <c r="Q62" s="448" t="str">
        <f t="shared" si="17"/>
        <v/>
      </c>
      <c r="R62" s="447" t="str">
        <f t="shared" si="17"/>
        <v/>
      </c>
      <c r="S62" s="451" t="str">
        <f t="shared" si="17"/>
        <v/>
      </c>
      <c r="T62" s="452" t="str">
        <f t="shared" si="17"/>
        <v/>
      </c>
      <c r="U62" s="451" t="str">
        <f t="shared" si="17"/>
        <v/>
      </c>
      <c r="V62" s="452" t="str">
        <f t="shared" si="17"/>
        <v/>
      </c>
      <c r="W62" s="451" t="str">
        <f t="shared" si="17"/>
        <v/>
      </c>
      <c r="X62" s="452" t="str">
        <f t="shared" si="17"/>
        <v/>
      </c>
      <c r="Y62" s="451" t="str">
        <f t="shared" si="17"/>
        <v/>
      </c>
      <c r="Z62" s="452" t="str">
        <f t="shared" si="17"/>
        <v/>
      </c>
      <c r="AA62" s="451" t="str">
        <f t="shared" si="17"/>
        <v/>
      </c>
      <c r="AB62" s="452" t="str">
        <f t="shared" si="17"/>
        <v/>
      </c>
      <c r="AC62" s="451" t="str">
        <f t="shared" si="17"/>
        <v/>
      </c>
      <c r="AD62" s="453" t="str">
        <f t="shared" si="17"/>
        <v/>
      </c>
      <c r="AE62" s="205"/>
    </row>
    <row r="63" ht="15.75" customHeight="1">
      <c r="A63" s="454"/>
      <c r="B63" s="455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B63" s="183"/>
      <c r="AC63" s="183"/>
      <c r="AD63" s="183"/>
      <c r="AE63" s="205"/>
    </row>
    <row r="64" ht="15.75" customHeight="1">
      <c r="A64" s="454"/>
      <c r="B64" s="455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B64" s="183"/>
      <c r="AC64" s="183"/>
      <c r="AD64" s="183"/>
      <c r="AE64" s="205"/>
    </row>
    <row r="65" ht="15.75" customHeight="1">
      <c r="A65" s="454"/>
      <c r="B65" s="456" t="s">
        <v>114</v>
      </c>
      <c r="C65" s="457">
        <f>SUM(C66:C70)</f>
        <v>6</v>
      </c>
      <c r="D65" s="181"/>
      <c r="E65" s="458" t="s">
        <v>113</v>
      </c>
      <c r="F65" s="459">
        <f>F66+F67+F68+F69+F71</f>
        <v>10</v>
      </c>
      <c r="G65" s="181"/>
      <c r="H65" s="458" t="s">
        <v>115</v>
      </c>
      <c r="I65" s="460">
        <f>SUM(I66:I72)</f>
        <v>3</v>
      </c>
      <c r="J65" s="181"/>
      <c r="K65" s="461" t="s">
        <v>193</v>
      </c>
      <c r="L65" s="188"/>
      <c r="M65" s="462">
        <f>COUNTIF(15:15,"POSITIVO")</f>
        <v>0</v>
      </c>
      <c r="N65" s="57"/>
      <c r="O65" s="463" t="s">
        <v>110</v>
      </c>
      <c r="P65" s="457" t="str">
        <f>IF(P66&gt;0,"SI","NO")</f>
        <v>NO</v>
      </c>
      <c r="Q65" s="57"/>
      <c r="R65" s="57"/>
      <c r="S65" s="464" t="s">
        <v>107</v>
      </c>
      <c r="T65" s="465">
        <f>COUNTIF(28:28,"&lt;200")</f>
        <v>1</v>
      </c>
      <c r="U65" s="57"/>
      <c r="V65" s="57"/>
      <c r="W65" s="57"/>
      <c r="X65" s="57"/>
      <c r="Y65" s="57"/>
      <c r="Z65" s="57"/>
      <c r="AB65" s="183"/>
      <c r="AC65" s="183"/>
      <c r="AD65" s="183"/>
      <c r="AE65" s="205"/>
    </row>
    <row r="66" ht="15.75" customHeight="1">
      <c r="A66" s="57"/>
      <c r="B66" s="466" t="s">
        <v>194</v>
      </c>
      <c r="C66" s="467">
        <f>COUNTIF(14:14,"MDZ")</f>
        <v>3</v>
      </c>
      <c r="D66" s="181"/>
      <c r="E66" s="468" t="s">
        <v>195</v>
      </c>
      <c r="F66" s="469">
        <f>COUNTIF(12:12,"FNT")</f>
        <v>10</v>
      </c>
      <c r="G66" s="181"/>
      <c r="H66" s="468" t="s">
        <v>196</v>
      </c>
      <c r="I66" s="470">
        <f>COUNTIF(19:19,"NORA")</f>
        <v>3</v>
      </c>
      <c r="J66" s="471"/>
      <c r="K66" s="472" t="s">
        <v>197</v>
      </c>
      <c r="L66" s="188"/>
      <c r="M66" s="473">
        <f>COUNTIF(15:15,"NEGATIVO")</f>
        <v>0</v>
      </c>
      <c r="N66" s="177"/>
      <c r="O66" s="474" t="s">
        <v>198</v>
      </c>
      <c r="P66" s="469">
        <f>COUNTIFS(17:17,"&gt;=0",17:17,"&lt;48")</f>
        <v>0</v>
      </c>
      <c r="Q66" s="475" t="s">
        <v>199</v>
      </c>
      <c r="AB66" s="183"/>
      <c r="AC66" s="183"/>
      <c r="AD66" s="183"/>
      <c r="AE66" s="183"/>
    </row>
    <row r="67" ht="15.75" customHeight="1">
      <c r="A67" s="476"/>
      <c r="B67" s="477" t="s">
        <v>200</v>
      </c>
      <c r="C67" s="478">
        <f>COUNTIF(14:14,"PROPO")</f>
        <v>0</v>
      </c>
      <c r="D67" s="479"/>
      <c r="E67" s="480" t="s">
        <v>201</v>
      </c>
      <c r="F67" s="481">
        <f>COUNTIF(12:12,"MORF")</f>
        <v>0</v>
      </c>
      <c r="G67" s="479"/>
      <c r="H67" s="480" t="s">
        <v>202</v>
      </c>
      <c r="I67" s="482">
        <f>COUNTIF(19:19,"VASO")</f>
        <v>0</v>
      </c>
      <c r="J67" s="471"/>
      <c r="K67" s="472" t="s">
        <v>203</v>
      </c>
      <c r="L67" s="188"/>
      <c r="M67" s="473">
        <f>COUNTIF(15:15,"N/E")</f>
        <v>8</v>
      </c>
      <c r="N67" s="177"/>
      <c r="O67" s="483" t="s">
        <v>204</v>
      </c>
      <c r="P67" s="484">
        <f>COUNTIF(17:17,"&gt;=48")</f>
        <v>0</v>
      </c>
      <c r="Q67" s="485" t="s">
        <v>199</v>
      </c>
      <c r="AB67" s="183"/>
      <c r="AC67" s="183"/>
      <c r="AD67" s="183"/>
      <c r="AE67" s="183"/>
    </row>
    <row r="68" ht="15.75" customHeight="1">
      <c r="A68" s="476"/>
      <c r="B68" s="477" t="s">
        <v>205</v>
      </c>
      <c r="C68" s="478">
        <f>COUNTIF(14:14,"DEXMEDETO")</f>
        <v>0</v>
      </c>
      <c r="D68" s="479"/>
      <c r="E68" s="480" t="s">
        <v>206</v>
      </c>
      <c r="F68" s="481">
        <f>COUNTIF(12:12,"REMI")</f>
        <v>0</v>
      </c>
      <c r="G68" s="479"/>
      <c r="H68" s="480" t="s">
        <v>207</v>
      </c>
      <c r="I68" s="482">
        <f>COUNTIF(19:19,"DOPA")</f>
        <v>0</v>
      </c>
      <c r="J68" s="471"/>
      <c r="K68" s="471"/>
      <c r="L68" s="471"/>
      <c r="M68" s="471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6"/>
      <c r="B69" s="477" t="s">
        <v>135</v>
      </c>
      <c r="C69" s="486">
        <f>COUNTIF(14:14,"MDZ/PROPO")</f>
        <v>3</v>
      </c>
      <c r="D69" s="471"/>
      <c r="E69" s="480" t="s">
        <v>208</v>
      </c>
      <c r="F69" s="482">
        <f>COUNTIF(12:12,"DOLOFRIX")</f>
        <v>0</v>
      </c>
      <c r="G69" s="471"/>
      <c r="H69" s="480" t="s">
        <v>209</v>
      </c>
      <c r="I69" s="482">
        <f>COUNTIF(19:19,"NORA/VASO")</f>
        <v>0</v>
      </c>
      <c r="J69" s="471"/>
      <c r="K69" s="487" t="s">
        <v>210</v>
      </c>
      <c r="L69" s="188"/>
      <c r="M69" s="488">
        <f>SUM(M70:M72)</f>
        <v>5</v>
      </c>
      <c r="N69" s="177"/>
      <c r="O69" s="489" t="s">
        <v>116</v>
      </c>
      <c r="P69" s="490">
        <f>SUM(P70:P73)</f>
        <v>0</v>
      </c>
      <c r="Q69" s="177"/>
      <c r="AB69" s="183"/>
      <c r="AC69" s="183"/>
      <c r="AD69" s="183"/>
      <c r="AE69" s="183"/>
    </row>
    <row r="70" ht="15.75" customHeight="1">
      <c r="A70" s="476"/>
      <c r="B70" s="477" t="s">
        <v>211</v>
      </c>
      <c r="C70" s="486">
        <f>COUNTIF(14:14,"KETA")</f>
        <v>0</v>
      </c>
      <c r="D70" s="471"/>
      <c r="E70" s="480" t="s">
        <v>212</v>
      </c>
      <c r="F70" s="482">
        <f>COUNTIF(12:12,"AINES")</f>
        <v>0</v>
      </c>
      <c r="G70" s="471"/>
      <c r="H70" s="480" t="s">
        <v>213</v>
      </c>
      <c r="I70" s="482">
        <f>COUNTIF(19:19,"DOBUTA")</f>
        <v>0</v>
      </c>
      <c r="J70" s="471"/>
      <c r="K70" s="491" t="s">
        <v>214</v>
      </c>
      <c r="L70" s="139"/>
      <c r="M70" s="492">
        <f>COUNTIF(16:16,"QTP")</f>
        <v>5</v>
      </c>
      <c r="N70" s="177"/>
      <c r="O70" s="493" t="s">
        <v>215</v>
      </c>
      <c r="P70" s="494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6"/>
      <c r="B71" s="495" t="s">
        <v>216</v>
      </c>
      <c r="C71" s="496">
        <f>COUNTIF(14:14,"OTROS")</f>
        <v>0</v>
      </c>
      <c r="D71" s="471"/>
      <c r="E71" s="497" t="s">
        <v>216</v>
      </c>
      <c r="F71" s="484">
        <f>COUNTIF(12:12,"OTROS")</f>
        <v>0</v>
      </c>
      <c r="G71" s="471"/>
      <c r="H71" s="480" t="s">
        <v>217</v>
      </c>
      <c r="I71" s="482">
        <f>COUNTIF(19:19,"MILRI")</f>
        <v>0</v>
      </c>
      <c r="J71" s="471"/>
      <c r="K71" s="491" t="s">
        <v>218</v>
      </c>
      <c r="L71" s="139"/>
      <c r="M71" s="492">
        <f>COUNTIF(16:16,"HLP")</f>
        <v>0</v>
      </c>
      <c r="N71" s="177"/>
      <c r="O71" s="498" t="s">
        <v>219</v>
      </c>
      <c r="P71" s="496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1"/>
      <c r="D72" s="471"/>
      <c r="E72" s="471"/>
      <c r="F72" s="471"/>
      <c r="G72" s="471"/>
      <c r="H72" s="497" t="s">
        <v>216</v>
      </c>
      <c r="I72" s="484">
        <f>COUNTIF(19:19,"OTROS")</f>
        <v>0</v>
      </c>
      <c r="J72" s="471"/>
      <c r="K72" s="499" t="s">
        <v>220</v>
      </c>
      <c r="L72" s="60"/>
      <c r="M72" s="500">
        <f>COUNTIF(16:16,"QTP/HLP")</f>
        <v>0</v>
      </c>
      <c r="N72" s="177"/>
      <c r="O72" s="501"/>
      <c r="P72" s="471"/>
      <c r="Q72" s="177"/>
      <c r="AB72" s="183"/>
      <c r="AC72" s="183"/>
      <c r="AD72" s="183"/>
      <c r="AE72" s="183"/>
    </row>
    <row r="73" ht="15.75" customHeight="1">
      <c r="B73" s="177"/>
      <c r="C73" s="471"/>
      <c r="D73" s="471"/>
      <c r="E73" s="471"/>
      <c r="F73" s="471"/>
      <c r="G73" s="471"/>
      <c r="H73" s="471"/>
      <c r="I73" s="471"/>
      <c r="J73" s="471"/>
      <c r="K73" s="471"/>
      <c r="L73" s="471"/>
      <c r="M73" s="471"/>
      <c r="N73" s="177"/>
      <c r="O73" s="501"/>
      <c r="P73" s="471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2"/>
      <c r="EH2" s="502"/>
      <c r="EI2" s="502"/>
      <c r="EJ2" s="502"/>
      <c r="EK2" s="502"/>
      <c r="EL2" s="502"/>
      <c r="EM2" s="502"/>
      <c r="EN2" s="502"/>
      <c r="EO2" s="502"/>
      <c r="EP2" s="502"/>
      <c r="EQ2" s="502"/>
      <c r="ER2" s="502"/>
      <c r="ES2" s="502"/>
      <c r="ET2" s="502"/>
      <c r="EU2" s="502"/>
      <c r="EV2" s="502"/>
      <c r="EW2" s="502"/>
      <c r="EX2" s="502"/>
      <c r="EY2" s="502"/>
      <c r="EZ2" s="502"/>
      <c r="FA2" s="502"/>
      <c r="FB2" s="502"/>
      <c r="FC2" s="502"/>
      <c r="FD2" s="502"/>
      <c r="FE2" s="502"/>
      <c r="FF2" s="502"/>
      <c r="FG2" s="502"/>
      <c r="FH2" s="502"/>
      <c r="FI2" s="502"/>
      <c r="FJ2" s="502"/>
      <c r="FK2" s="502"/>
      <c r="FL2" s="502"/>
      <c r="FM2" s="503" t="s">
        <v>221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3" t="s">
        <v>221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4" t="s">
        <v>221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5" t="s">
        <v>222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2"/>
      <c r="EH3" s="502"/>
      <c r="EI3" s="502"/>
      <c r="EJ3" s="502"/>
      <c r="EK3" s="502"/>
      <c r="EL3" s="502"/>
      <c r="EM3" s="502"/>
      <c r="EN3" s="502"/>
      <c r="EO3" s="502"/>
      <c r="EP3" s="502"/>
      <c r="EQ3" s="502"/>
      <c r="ER3" s="502"/>
      <c r="ES3" s="502"/>
      <c r="ET3" s="502"/>
      <c r="EU3" s="502"/>
      <c r="EV3" s="502"/>
      <c r="EW3" s="502"/>
      <c r="EX3" s="502"/>
      <c r="EY3" s="502"/>
      <c r="EZ3" s="502"/>
      <c r="FA3" s="502"/>
      <c r="FB3" s="502"/>
      <c r="FC3" s="502"/>
      <c r="FD3" s="502"/>
      <c r="FE3" s="502"/>
      <c r="FF3" s="502"/>
      <c r="FG3" s="502"/>
      <c r="FH3" s="502"/>
      <c r="FI3" s="502"/>
      <c r="FJ3" s="502"/>
      <c r="FK3" s="502"/>
      <c r="FL3" s="502"/>
      <c r="FM3" s="305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1"/>
      <c r="HA3" s="305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1"/>
      <c r="KC3" s="305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1"/>
    </row>
    <row r="4" ht="24.75" customHeight="1">
      <c r="A4" s="506" t="s">
        <v>223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07" t="s">
        <v>224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08" t="s">
        <v>225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09" t="s">
        <v>60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10" t="s">
        <v>87</v>
      </c>
      <c r="CE4" s="125"/>
      <c r="CF4" s="125"/>
      <c r="CG4" s="125"/>
      <c r="CH4" s="125"/>
      <c r="CI4" s="125"/>
      <c r="CJ4" s="125"/>
      <c r="CK4" s="125"/>
      <c r="CL4" s="126"/>
      <c r="CM4" s="511" t="s">
        <v>226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12" t="s">
        <v>227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13" t="s">
        <v>228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4" t="s">
        <v>229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5" t="s">
        <v>230</v>
      </c>
      <c r="FK4" s="125"/>
      <c r="FL4" s="126"/>
      <c r="FM4" s="512" t="s">
        <v>231</v>
      </c>
      <c r="FN4" s="125"/>
      <c r="FO4" s="125"/>
      <c r="FP4" s="125"/>
      <c r="FQ4" s="126"/>
      <c r="FR4" s="506" t="s">
        <v>232</v>
      </c>
      <c r="FS4" s="125"/>
      <c r="FT4" s="125"/>
      <c r="FU4" s="125"/>
      <c r="FV4" s="126"/>
      <c r="FW4" s="513" t="s">
        <v>233</v>
      </c>
      <c r="FX4" s="125"/>
      <c r="FY4" s="125"/>
      <c r="FZ4" s="125"/>
      <c r="GA4" s="126"/>
      <c r="GB4" s="507" t="s">
        <v>234</v>
      </c>
      <c r="GC4" s="125"/>
      <c r="GD4" s="125"/>
      <c r="GE4" s="125"/>
      <c r="GF4" s="126"/>
      <c r="GG4" s="516" t="s">
        <v>235</v>
      </c>
      <c r="GH4" s="125"/>
      <c r="GI4" s="125"/>
      <c r="GJ4" s="125"/>
      <c r="GK4" s="126"/>
      <c r="GL4" s="515" t="s">
        <v>236</v>
      </c>
      <c r="GM4" s="125"/>
      <c r="GN4" s="125"/>
      <c r="GO4" s="125"/>
      <c r="GP4" s="126"/>
      <c r="GQ4" s="517" t="s">
        <v>237</v>
      </c>
      <c r="GR4" s="125"/>
      <c r="GS4" s="125"/>
      <c r="GT4" s="125"/>
      <c r="GU4" s="126"/>
      <c r="GV4" s="518" t="s">
        <v>238</v>
      </c>
      <c r="GW4" s="125"/>
      <c r="GX4" s="125"/>
      <c r="GY4" s="125"/>
      <c r="GZ4" s="126"/>
      <c r="HA4" s="514" t="s">
        <v>239</v>
      </c>
      <c r="HB4" s="125"/>
      <c r="HC4" s="125"/>
      <c r="HD4" s="125"/>
      <c r="HE4" s="126"/>
      <c r="HF4" s="513" t="s">
        <v>240</v>
      </c>
      <c r="HG4" s="125"/>
      <c r="HH4" s="125"/>
      <c r="HI4" s="125"/>
      <c r="HJ4" s="126"/>
      <c r="HK4" s="518" t="s">
        <v>241</v>
      </c>
      <c r="HL4" s="125"/>
      <c r="HM4" s="125"/>
      <c r="HN4" s="125"/>
      <c r="HO4" s="126"/>
      <c r="HP4" s="515" t="s">
        <v>177</v>
      </c>
      <c r="HQ4" s="125"/>
      <c r="HR4" s="125"/>
      <c r="HS4" s="125"/>
      <c r="HT4" s="126"/>
      <c r="HU4" s="519" t="s">
        <v>242</v>
      </c>
      <c r="HV4" s="125"/>
      <c r="HW4" s="125"/>
      <c r="HX4" s="125"/>
      <c r="HY4" s="126"/>
      <c r="HZ4" s="520" t="s">
        <v>243</v>
      </c>
      <c r="IA4" s="125"/>
      <c r="IB4" s="125"/>
      <c r="IC4" s="125"/>
      <c r="ID4" s="126"/>
      <c r="IE4" s="510" t="s">
        <v>244</v>
      </c>
      <c r="IF4" s="125"/>
      <c r="IG4" s="125"/>
      <c r="IH4" s="125"/>
      <c r="II4" s="126"/>
      <c r="IJ4" s="521" t="s">
        <v>245</v>
      </c>
      <c r="IK4" s="125"/>
      <c r="IL4" s="125"/>
      <c r="IM4" s="125"/>
      <c r="IN4" s="126"/>
      <c r="IO4" s="522" t="s">
        <v>246</v>
      </c>
      <c r="IP4" s="125"/>
      <c r="IQ4" s="125"/>
      <c r="IR4" s="125"/>
      <c r="IS4" s="126"/>
      <c r="IT4" s="522" t="s">
        <v>247</v>
      </c>
      <c r="IU4" s="125"/>
      <c r="IV4" s="125"/>
      <c r="IW4" s="125"/>
      <c r="IX4" s="126"/>
      <c r="IY4" s="506" t="s">
        <v>248</v>
      </c>
      <c r="IZ4" s="125"/>
      <c r="JA4" s="125"/>
      <c r="JB4" s="125"/>
      <c r="JC4" s="126"/>
      <c r="JD4" s="519" t="s">
        <v>249</v>
      </c>
      <c r="JE4" s="125"/>
      <c r="JF4" s="125"/>
      <c r="JG4" s="125"/>
      <c r="JH4" s="126"/>
      <c r="JI4" s="515" t="s">
        <v>250</v>
      </c>
      <c r="JJ4" s="125"/>
      <c r="JK4" s="125"/>
      <c r="JL4" s="125"/>
      <c r="JM4" s="126"/>
      <c r="JN4" s="518" t="s">
        <v>173</v>
      </c>
      <c r="JO4" s="125"/>
      <c r="JP4" s="125"/>
      <c r="JQ4" s="125"/>
      <c r="JR4" s="126"/>
      <c r="JS4" s="516" t="s">
        <v>174</v>
      </c>
      <c r="JT4" s="125"/>
      <c r="JU4" s="125"/>
      <c r="JV4" s="125"/>
      <c r="JW4" s="126"/>
      <c r="JX4" s="514" t="s">
        <v>251</v>
      </c>
      <c r="JY4" s="125"/>
      <c r="JZ4" s="125"/>
      <c r="KA4" s="125"/>
      <c r="KB4" s="126"/>
      <c r="KC4" s="520" t="s">
        <v>252</v>
      </c>
      <c r="KD4" s="125"/>
      <c r="KE4" s="125"/>
      <c r="KF4" s="125"/>
      <c r="KG4" s="126"/>
      <c r="KH4" s="520" t="s">
        <v>145</v>
      </c>
      <c r="KI4" s="125"/>
      <c r="KJ4" s="125"/>
      <c r="KK4" s="125"/>
      <c r="KL4" s="126"/>
      <c r="KM4" s="520" t="s">
        <v>144</v>
      </c>
      <c r="KN4" s="125"/>
      <c r="KO4" s="125"/>
      <c r="KP4" s="125"/>
      <c r="KQ4" s="126"/>
      <c r="KR4" s="520" t="s">
        <v>148</v>
      </c>
      <c r="KS4" s="125"/>
      <c r="KT4" s="125"/>
      <c r="KU4" s="125"/>
      <c r="KV4" s="126"/>
      <c r="KW4" s="520" t="s">
        <v>130</v>
      </c>
      <c r="KX4" s="125"/>
      <c r="KY4" s="125"/>
      <c r="KZ4" s="125"/>
      <c r="LA4" s="126"/>
      <c r="LB4" s="520" t="s">
        <v>253</v>
      </c>
      <c r="LC4" s="125"/>
      <c r="LD4" s="125"/>
      <c r="LE4" s="125"/>
      <c r="LF4" s="126"/>
      <c r="LG4" s="523"/>
      <c r="LH4" s="523"/>
      <c r="LI4" s="523"/>
      <c r="LJ4" s="523"/>
      <c r="LK4" s="523"/>
      <c r="LL4" s="523"/>
      <c r="LM4" s="524"/>
    </row>
    <row r="5" ht="42.0" customHeight="1">
      <c r="A5" s="525" t="s">
        <v>254</v>
      </c>
      <c r="B5" s="526" t="s">
        <v>255</v>
      </c>
      <c r="C5" s="526" t="s">
        <v>256</v>
      </c>
      <c r="D5" s="526" t="s">
        <v>257</v>
      </c>
      <c r="E5" s="526" t="s">
        <v>258</v>
      </c>
      <c r="F5" s="526" t="s">
        <v>13</v>
      </c>
      <c r="G5" s="526" t="s">
        <v>259</v>
      </c>
      <c r="H5" s="526" t="s">
        <v>16</v>
      </c>
      <c r="I5" s="526" t="s">
        <v>8</v>
      </c>
      <c r="J5" s="526" t="s">
        <v>260</v>
      </c>
      <c r="K5" s="526" t="s">
        <v>261</v>
      </c>
      <c r="L5" s="526" t="s">
        <v>262</v>
      </c>
      <c r="M5" s="526" t="s">
        <v>263</v>
      </c>
      <c r="N5" s="526" t="s">
        <v>264</v>
      </c>
      <c r="O5" s="526" t="s">
        <v>265</v>
      </c>
      <c r="P5" s="526" t="s">
        <v>104</v>
      </c>
      <c r="Q5" s="526" t="s">
        <v>266</v>
      </c>
      <c r="R5" s="526" t="s">
        <v>267</v>
      </c>
      <c r="S5" s="526" t="s">
        <v>268</v>
      </c>
      <c r="T5" s="526" t="s">
        <v>269</v>
      </c>
      <c r="U5" s="526" t="s">
        <v>270</v>
      </c>
      <c r="V5" s="527" t="s">
        <v>17</v>
      </c>
      <c r="W5" s="528" t="s">
        <v>271</v>
      </c>
      <c r="X5" s="529" t="s">
        <v>272</v>
      </c>
      <c r="Y5" s="530" t="s">
        <v>273</v>
      </c>
      <c r="Z5" s="530" t="s">
        <v>274</v>
      </c>
      <c r="AA5" s="530" t="s">
        <v>275</v>
      </c>
      <c r="AB5" s="530" t="s">
        <v>276</v>
      </c>
      <c r="AC5" s="530" t="s">
        <v>277</v>
      </c>
      <c r="AD5" s="530" t="s">
        <v>278</v>
      </c>
      <c r="AE5" s="530" t="s">
        <v>279</v>
      </c>
      <c r="AF5" s="530" t="s">
        <v>280</v>
      </c>
      <c r="AG5" s="530" t="s">
        <v>48</v>
      </c>
      <c r="AH5" s="530" t="s">
        <v>281</v>
      </c>
      <c r="AI5" s="531" t="s">
        <v>282</v>
      </c>
      <c r="AJ5" s="531" t="s">
        <v>283</v>
      </c>
      <c r="AK5" s="531" t="s">
        <v>284</v>
      </c>
      <c r="AL5" s="531" t="s">
        <v>285</v>
      </c>
      <c r="AM5" s="531" t="s">
        <v>286</v>
      </c>
      <c r="AN5" s="531" t="s">
        <v>21</v>
      </c>
      <c r="AO5" s="531" t="s">
        <v>287</v>
      </c>
      <c r="AP5" s="531" t="s">
        <v>288</v>
      </c>
      <c r="AQ5" s="531" t="s">
        <v>289</v>
      </c>
      <c r="AR5" s="531" t="s">
        <v>290</v>
      </c>
      <c r="AS5" s="531" t="s">
        <v>291</v>
      </c>
      <c r="AT5" s="531" t="s">
        <v>292</v>
      </c>
      <c r="AU5" s="531" t="s">
        <v>293</v>
      </c>
      <c r="AV5" s="531" t="s">
        <v>294</v>
      </c>
      <c r="AW5" s="531" t="s">
        <v>295</v>
      </c>
      <c r="AX5" s="530" t="s">
        <v>296</v>
      </c>
      <c r="AY5" s="530" t="s">
        <v>297</v>
      </c>
      <c r="AZ5" s="530" t="s">
        <v>22</v>
      </c>
      <c r="BA5" s="530" t="s">
        <v>298</v>
      </c>
      <c r="BB5" s="532" t="s">
        <v>299</v>
      </c>
      <c r="BC5" s="533" t="s">
        <v>300</v>
      </c>
      <c r="BD5" s="534" t="s">
        <v>301</v>
      </c>
      <c r="BE5" s="534" t="s">
        <v>302</v>
      </c>
      <c r="BF5" s="534" t="s">
        <v>303</v>
      </c>
      <c r="BG5" s="534" t="s">
        <v>304</v>
      </c>
      <c r="BH5" s="534" t="s">
        <v>305</v>
      </c>
      <c r="BI5" s="534" t="s">
        <v>42</v>
      </c>
      <c r="BJ5" s="534" t="s">
        <v>43</v>
      </c>
      <c r="BK5" s="534" t="s">
        <v>306</v>
      </c>
      <c r="BL5" s="535" t="s">
        <v>307</v>
      </c>
      <c r="BM5" s="534" t="s">
        <v>55</v>
      </c>
      <c r="BN5" s="534" t="s">
        <v>308</v>
      </c>
      <c r="BO5" s="536" t="s">
        <v>309</v>
      </c>
      <c r="BP5" s="537" t="s">
        <v>310</v>
      </c>
      <c r="BQ5" s="538" t="s">
        <v>311</v>
      </c>
      <c r="BR5" s="538" t="s">
        <v>312</v>
      </c>
      <c r="BS5" s="538" t="s">
        <v>313</v>
      </c>
      <c r="BT5" s="538" t="s">
        <v>314</v>
      </c>
      <c r="BU5" s="538" t="s">
        <v>315</v>
      </c>
      <c r="BV5" s="538" t="s">
        <v>316</v>
      </c>
      <c r="BW5" s="538" t="s">
        <v>317</v>
      </c>
      <c r="BX5" s="539" t="s">
        <v>318</v>
      </c>
      <c r="BY5" s="539" t="s">
        <v>319</v>
      </c>
      <c r="BZ5" s="539" t="s">
        <v>86</v>
      </c>
      <c r="CA5" s="539" t="s">
        <v>67</v>
      </c>
      <c r="CB5" s="538" t="s">
        <v>320</v>
      </c>
      <c r="CC5" s="540" t="s">
        <v>321</v>
      </c>
      <c r="CD5" s="541" t="s">
        <v>41</v>
      </c>
      <c r="CE5" s="542" t="s">
        <v>322</v>
      </c>
      <c r="CF5" s="542" t="s">
        <v>323</v>
      </c>
      <c r="CG5" s="542" t="s">
        <v>324</v>
      </c>
      <c r="CH5" s="542" t="s">
        <v>325</v>
      </c>
      <c r="CI5" s="542" t="s">
        <v>326</v>
      </c>
      <c r="CJ5" s="542" t="s">
        <v>327</v>
      </c>
      <c r="CK5" s="543" t="s">
        <v>328</v>
      </c>
      <c r="CL5" s="544" t="s">
        <v>329</v>
      </c>
      <c r="CM5" s="545" t="s">
        <v>29</v>
      </c>
      <c r="CN5" s="546" t="s">
        <v>330</v>
      </c>
      <c r="CO5" s="546" t="s">
        <v>310</v>
      </c>
      <c r="CP5" s="546" t="s">
        <v>331</v>
      </c>
      <c r="CQ5" s="546" t="s">
        <v>32</v>
      </c>
      <c r="CR5" s="546" t="s">
        <v>332</v>
      </c>
      <c r="CS5" s="546" t="s">
        <v>333</v>
      </c>
      <c r="CT5" s="546" t="s">
        <v>34</v>
      </c>
      <c r="CU5" s="546" t="s">
        <v>334</v>
      </c>
      <c r="CV5" s="546" t="s">
        <v>310</v>
      </c>
      <c r="CW5" s="546" t="s">
        <v>331</v>
      </c>
      <c r="CX5" s="546" t="s">
        <v>32</v>
      </c>
      <c r="CY5" s="547" t="s">
        <v>332</v>
      </c>
      <c r="CZ5" s="548" t="s">
        <v>335</v>
      </c>
      <c r="DA5" s="549" t="s">
        <v>29</v>
      </c>
      <c r="DB5" s="550" t="s">
        <v>47</v>
      </c>
      <c r="DC5" s="550" t="s">
        <v>310</v>
      </c>
      <c r="DD5" s="550" t="s">
        <v>331</v>
      </c>
      <c r="DE5" s="550" t="s">
        <v>32</v>
      </c>
      <c r="DF5" s="550" t="s">
        <v>336</v>
      </c>
      <c r="DG5" s="550" t="s">
        <v>333</v>
      </c>
      <c r="DH5" s="550" t="s">
        <v>34</v>
      </c>
      <c r="DI5" s="550" t="s">
        <v>47</v>
      </c>
      <c r="DJ5" s="550" t="s">
        <v>310</v>
      </c>
      <c r="DK5" s="550" t="s">
        <v>331</v>
      </c>
      <c r="DL5" s="551" t="s">
        <v>32</v>
      </c>
      <c r="DM5" s="551" t="s">
        <v>337</v>
      </c>
      <c r="DN5" s="552" t="s">
        <v>335</v>
      </c>
      <c r="DO5" s="553" t="s">
        <v>338</v>
      </c>
      <c r="DP5" s="554" t="s">
        <v>273</v>
      </c>
      <c r="DQ5" s="554" t="s">
        <v>275</v>
      </c>
      <c r="DR5" s="554" t="s">
        <v>108</v>
      </c>
      <c r="DS5" s="554" t="s">
        <v>339</v>
      </c>
      <c r="DT5" s="554" t="s">
        <v>340</v>
      </c>
      <c r="DU5" s="555" t="s">
        <v>110</v>
      </c>
      <c r="DV5" s="554" t="s">
        <v>341</v>
      </c>
      <c r="DW5" s="554" t="s">
        <v>342</v>
      </c>
      <c r="DX5" s="555" t="s">
        <v>343</v>
      </c>
      <c r="DY5" s="555" t="s">
        <v>230</v>
      </c>
      <c r="DZ5" s="554" t="s">
        <v>344</v>
      </c>
      <c r="EA5" s="554" t="s">
        <v>109</v>
      </c>
      <c r="EB5" s="554" t="s">
        <v>345</v>
      </c>
      <c r="EC5" s="554" t="s">
        <v>111</v>
      </c>
      <c r="ED5" s="554" t="s">
        <v>346</v>
      </c>
      <c r="EE5" s="554" t="s">
        <v>347</v>
      </c>
      <c r="EF5" s="556" t="s">
        <v>348</v>
      </c>
      <c r="EG5" s="557" t="s">
        <v>349</v>
      </c>
      <c r="EH5" s="557" t="s">
        <v>136</v>
      </c>
      <c r="EI5" s="557" t="s">
        <v>350</v>
      </c>
      <c r="EJ5" s="557" t="s">
        <v>351</v>
      </c>
      <c r="EK5" s="557" t="s">
        <v>135</v>
      </c>
      <c r="EL5" s="557" t="s">
        <v>352</v>
      </c>
      <c r="EM5" s="557" t="s">
        <v>353</v>
      </c>
      <c r="EN5" s="558" t="s">
        <v>354</v>
      </c>
      <c r="EO5" s="558" t="s">
        <v>132</v>
      </c>
      <c r="EP5" s="558" t="s">
        <v>355</v>
      </c>
      <c r="EQ5" s="558" t="s">
        <v>356</v>
      </c>
      <c r="ER5" s="558" t="s">
        <v>357</v>
      </c>
      <c r="ES5" s="558" t="s">
        <v>212</v>
      </c>
      <c r="ET5" s="558" t="s">
        <v>358</v>
      </c>
      <c r="EU5" s="559" t="s">
        <v>359</v>
      </c>
      <c r="EV5" s="559" t="s">
        <v>141</v>
      </c>
      <c r="EW5" s="559" t="s">
        <v>360</v>
      </c>
      <c r="EX5" s="559" t="s">
        <v>361</v>
      </c>
      <c r="EY5" s="559" t="s">
        <v>362</v>
      </c>
      <c r="EZ5" s="559" t="s">
        <v>363</v>
      </c>
      <c r="FA5" s="559" t="s">
        <v>364</v>
      </c>
      <c r="FB5" s="559" t="s">
        <v>365</v>
      </c>
      <c r="FC5" s="560" t="s">
        <v>210</v>
      </c>
      <c r="FD5" s="560" t="s">
        <v>139</v>
      </c>
      <c r="FE5" s="560" t="s">
        <v>366</v>
      </c>
      <c r="FF5" s="560" t="s">
        <v>220</v>
      </c>
      <c r="FG5" s="561" t="s">
        <v>116</v>
      </c>
      <c r="FH5" s="561" t="s">
        <v>367</v>
      </c>
      <c r="FI5" s="561" t="s">
        <v>368</v>
      </c>
      <c r="FJ5" s="562" t="s">
        <v>369</v>
      </c>
      <c r="FK5" s="562" t="s">
        <v>370</v>
      </c>
      <c r="FL5" s="563" t="s">
        <v>138</v>
      </c>
      <c r="FM5" s="564">
        <v>1.0</v>
      </c>
      <c r="FN5" s="550">
        <v>2.0</v>
      </c>
      <c r="FO5" s="550">
        <v>3.0</v>
      </c>
      <c r="FP5" s="550">
        <v>5.0</v>
      </c>
      <c r="FQ5" s="550">
        <v>7.0</v>
      </c>
      <c r="FR5" s="565">
        <v>1.0</v>
      </c>
      <c r="FS5" s="566">
        <v>2.0</v>
      </c>
      <c r="FT5" s="566">
        <v>3.0</v>
      </c>
      <c r="FU5" s="566">
        <v>5.0</v>
      </c>
      <c r="FV5" s="566">
        <v>7.0</v>
      </c>
      <c r="FW5" s="567">
        <v>1.0</v>
      </c>
      <c r="FX5" s="568">
        <v>2.0</v>
      </c>
      <c r="FY5" s="568">
        <v>3.0</v>
      </c>
      <c r="FZ5" s="568">
        <v>5.0</v>
      </c>
      <c r="GA5" s="568">
        <v>7.0</v>
      </c>
      <c r="GB5" s="569">
        <v>1.0</v>
      </c>
      <c r="GC5" s="570">
        <v>2.0</v>
      </c>
      <c r="GD5" s="570">
        <v>3.0</v>
      </c>
      <c r="GE5" s="570">
        <v>5.0</v>
      </c>
      <c r="GF5" s="570">
        <v>7.0</v>
      </c>
      <c r="GG5" s="571">
        <v>1.0</v>
      </c>
      <c r="GH5" s="572">
        <v>2.0</v>
      </c>
      <c r="GI5" s="572">
        <v>3.0</v>
      </c>
      <c r="GJ5" s="572">
        <v>5.0</v>
      </c>
      <c r="GK5" s="572">
        <v>7.0</v>
      </c>
      <c r="GL5" s="573">
        <v>1.0</v>
      </c>
      <c r="GM5" s="574">
        <v>2.0</v>
      </c>
      <c r="GN5" s="574">
        <v>3.0</v>
      </c>
      <c r="GO5" s="574">
        <v>5.0</v>
      </c>
      <c r="GP5" s="574">
        <v>7.0</v>
      </c>
      <c r="GQ5" s="575">
        <v>1.0</v>
      </c>
      <c r="GR5" s="576">
        <v>2.0</v>
      </c>
      <c r="GS5" s="576">
        <v>3.0</v>
      </c>
      <c r="GT5" s="576">
        <v>5.0</v>
      </c>
      <c r="GU5" s="576">
        <v>7.0</v>
      </c>
      <c r="GV5" s="545">
        <v>1.0</v>
      </c>
      <c r="GW5" s="546">
        <v>2.0</v>
      </c>
      <c r="GX5" s="546">
        <v>3.0</v>
      </c>
      <c r="GY5" s="546">
        <v>5.0</v>
      </c>
      <c r="GZ5" s="546">
        <v>7.0</v>
      </c>
      <c r="HA5" s="565">
        <v>1.0</v>
      </c>
      <c r="HB5" s="566">
        <v>2.0</v>
      </c>
      <c r="HC5" s="566">
        <v>3.0</v>
      </c>
      <c r="HD5" s="566">
        <v>5.0</v>
      </c>
      <c r="HE5" s="566">
        <v>7.0</v>
      </c>
      <c r="HF5" s="571">
        <v>1.0</v>
      </c>
      <c r="HG5" s="572">
        <v>2.0</v>
      </c>
      <c r="HH5" s="572">
        <v>3.0</v>
      </c>
      <c r="HI5" s="572">
        <v>5.0</v>
      </c>
      <c r="HJ5" s="572">
        <v>7.0</v>
      </c>
      <c r="HK5" s="577">
        <v>1.0</v>
      </c>
      <c r="HL5" s="546">
        <v>2.0</v>
      </c>
      <c r="HM5" s="546">
        <v>3.0</v>
      </c>
      <c r="HN5" s="546">
        <v>5.0</v>
      </c>
      <c r="HO5" s="546">
        <v>7.0</v>
      </c>
      <c r="HP5" s="578">
        <v>1.0</v>
      </c>
      <c r="HQ5" s="579">
        <v>2.0</v>
      </c>
      <c r="HR5" s="579">
        <v>3.0</v>
      </c>
      <c r="HS5" s="579">
        <v>5.0</v>
      </c>
      <c r="HT5" s="580">
        <v>7.0</v>
      </c>
      <c r="HU5" s="581">
        <v>1.0</v>
      </c>
      <c r="HV5" s="582">
        <v>2.0</v>
      </c>
      <c r="HW5" s="582">
        <v>3.0</v>
      </c>
      <c r="HX5" s="582">
        <v>5.0</v>
      </c>
      <c r="HY5" s="583">
        <v>7.0</v>
      </c>
      <c r="HZ5" s="584">
        <v>1.0</v>
      </c>
      <c r="IA5" s="585">
        <v>2.0</v>
      </c>
      <c r="IB5" s="585">
        <v>3.0</v>
      </c>
      <c r="IC5" s="585">
        <v>5.0</v>
      </c>
      <c r="ID5" s="586">
        <v>7.0</v>
      </c>
      <c r="IE5" s="549">
        <v>1.0</v>
      </c>
      <c r="IF5" s="550">
        <v>2.0</v>
      </c>
      <c r="IG5" s="550">
        <v>3.0</v>
      </c>
      <c r="IH5" s="550">
        <v>5.0</v>
      </c>
      <c r="II5" s="552">
        <v>7.0</v>
      </c>
      <c r="IJ5" s="578">
        <v>1.0</v>
      </c>
      <c r="IK5" s="579">
        <v>2.0</v>
      </c>
      <c r="IL5" s="579">
        <v>3.0</v>
      </c>
      <c r="IM5" s="579">
        <v>5.0</v>
      </c>
      <c r="IN5" s="579">
        <v>7.0</v>
      </c>
      <c r="IO5" s="578">
        <v>1.0</v>
      </c>
      <c r="IP5" s="579">
        <v>2.0</v>
      </c>
      <c r="IQ5" s="579">
        <v>3.0</v>
      </c>
      <c r="IR5" s="579">
        <v>5.0</v>
      </c>
      <c r="IS5" s="579">
        <v>7.0</v>
      </c>
      <c r="IT5" s="578">
        <v>1.0</v>
      </c>
      <c r="IU5" s="579">
        <v>2.0</v>
      </c>
      <c r="IV5" s="579">
        <v>3.0</v>
      </c>
      <c r="IW5" s="579">
        <v>5.0</v>
      </c>
      <c r="IX5" s="579">
        <v>7.0</v>
      </c>
      <c r="IY5" s="587">
        <v>1.0</v>
      </c>
      <c r="IZ5" s="566">
        <v>2.0</v>
      </c>
      <c r="JA5" s="566">
        <v>3.0</v>
      </c>
      <c r="JB5" s="566">
        <v>5.0</v>
      </c>
      <c r="JC5" s="566">
        <v>7.0</v>
      </c>
      <c r="JD5" s="588">
        <v>1.0</v>
      </c>
      <c r="JE5" s="582">
        <v>2.0</v>
      </c>
      <c r="JF5" s="582">
        <v>3.0</v>
      </c>
      <c r="JG5" s="582">
        <v>5.0</v>
      </c>
      <c r="JH5" s="582">
        <v>7.0</v>
      </c>
      <c r="JI5" s="589">
        <v>1.0</v>
      </c>
      <c r="JJ5" s="574">
        <v>2.0</v>
      </c>
      <c r="JK5" s="574">
        <v>3.0</v>
      </c>
      <c r="JL5" s="574">
        <v>5.0</v>
      </c>
      <c r="JM5" s="574">
        <v>7.0</v>
      </c>
      <c r="JN5" s="590">
        <v>1.0</v>
      </c>
      <c r="JO5" s="591">
        <v>2.0</v>
      </c>
      <c r="JP5" s="591">
        <v>3.0</v>
      </c>
      <c r="JQ5" s="591">
        <v>5.0</v>
      </c>
      <c r="JR5" s="591">
        <v>7.0</v>
      </c>
      <c r="JS5" s="592">
        <v>1.0</v>
      </c>
      <c r="JT5" s="572">
        <v>2.0</v>
      </c>
      <c r="JU5" s="572">
        <v>3.0</v>
      </c>
      <c r="JV5" s="572">
        <v>5.0</v>
      </c>
      <c r="JW5" s="593">
        <v>7.0</v>
      </c>
      <c r="JX5" s="565">
        <v>1.0</v>
      </c>
      <c r="JY5" s="566">
        <v>2.0</v>
      </c>
      <c r="JZ5" s="566">
        <v>3.0</v>
      </c>
      <c r="KA5" s="566">
        <v>5.0</v>
      </c>
      <c r="KB5" s="594">
        <v>7.0</v>
      </c>
      <c r="KC5" s="595">
        <v>1.0</v>
      </c>
      <c r="KD5" s="584">
        <v>2.0</v>
      </c>
      <c r="KE5" s="584">
        <v>3.0</v>
      </c>
      <c r="KF5" s="584">
        <v>5.0</v>
      </c>
      <c r="KG5" s="596">
        <v>7.0</v>
      </c>
      <c r="KH5" s="595">
        <v>1.0</v>
      </c>
      <c r="KI5" s="584">
        <v>2.0</v>
      </c>
      <c r="KJ5" s="584">
        <v>3.0</v>
      </c>
      <c r="KK5" s="584">
        <v>5.0</v>
      </c>
      <c r="KL5" s="597">
        <v>7.0</v>
      </c>
      <c r="KM5" s="584">
        <v>1.0</v>
      </c>
      <c r="KN5" s="584">
        <v>2.0</v>
      </c>
      <c r="KO5" s="584">
        <v>3.0</v>
      </c>
      <c r="KP5" s="584">
        <v>5.0</v>
      </c>
      <c r="KQ5" s="586">
        <v>7.0</v>
      </c>
      <c r="KR5" s="595">
        <v>1.0</v>
      </c>
      <c r="KS5" s="585">
        <v>2.0</v>
      </c>
      <c r="KT5" s="585">
        <v>3.0</v>
      </c>
      <c r="KU5" s="585">
        <v>5.0</v>
      </c>
      <c r="KV5" s="598">
        <v>7.0</v>
      </c>
      <c r="KW5" s="584">
        <v>1.0</v>
      </c>
      <c r="KX5" s="585">
        <v>2.0</v>
      </c>
      <c r="KY5" s="585">
        <v>3.0</v>
      </c>
      <c r="KZ5" s="585">
        <v>5.0</v>
      </c>
      <c r="LA5" s="586">
        <v>7.0</v>
      </c>
      <c r="LB5" s="595">
        <v>1.0</v>
      </c>
      <c r="LC5" s="585">
        <v>2.0</v>
      </c>
      <c r="LD5" s="585">
        <v>3.0</v>
      </c>
      <c r="LE5" s="585">
        <v>5.0</v>
      </c>
      <c r="LF5" s="598">
        <v>7.0</v>
      </c>
      <c r="LG5" s="599"/>
      <c r="LH5" s="600"/>
      <c r="LI5" s="600"/>
      <c r="LJ5" s="600"/>
      <c r="LK5" s="600"/>
      <c r="LL5" s="600"/>
      <c r="LM5" s="601"/>
    </row>
    <row r="6">
      <c r="A6" s="28">
        <f>+General!D3</f>
        <v>165610</v>
      </c>
      <c r="B6" s="28" t="str">
        <f>+General!B4</f>
        <v>Arrieta Ruben Dario</v>
      </c>
      <c r="C6" s="28">
        <f>+General!B5</f>
        <v>58</v>
      </c>
      <c r="D6" s="28" t="str">
        <f>+General!D5</f>
        <v>Hombre</v>
      </c>
      <c r="E6" s="602">
        <f>+General!B6</f>
        <v>175</v>
      </c>
      <c r="F6" s="28" t="str">
        <f>+General!G5</f>
        <v/>
      </c>
      <c r="H6" s="602">
        <f>+General!D6</f>
        <v>70.566</v>
      </c>
      <c r="I6" s="603">
        <f>+General!G4</f>
        <v>44235</v>
      </c>
      <c r="J6" s="604">
        <f>+General!D38</f>
        <v>44280</v>
      </c>
      <c r="K6" s="28" t="str">
        <f>+General!B38</f>
        <v>VIVO</v>
      </c>
      <c r="L6" s="28" t="str">
        <f>+General!J38</f>
        <v>3º NIVEL</v>
      </c>
      <c r="M6" s="603">
        <f>+General!G3</f>
        <v>44231</v>
      </c>
      <c r="P6" s="28" t="str">
        <f>+General!B39</f>
        <v>NO</v>
      </c>
      <c r="Q6" s="28">
        <f>+General!I5</f>
        <v>30</v>
      </c>
      <c r="R6" s="28">
        <f>+General!J5</f>
        <v>10.6</v>
      </c>
      <c r="S6" s="28">
        <f>+General!I4</f>
        <v>14</v>
      </c>
      <c r="T6" s="28">
        <f>+General!J4</f>
        <v>18.6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/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>DBT</v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>PSIQUIATRICOS</v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5">
        <f>+General!B22</f>
        <v>44236</v>
      </c>
      <c r="BD6" s="605">
        <f>+General!H22</f>
        <v>44236</v>
      </c>
      <c r="BE6" s="605">
        <f>+General!J22</f>
        <v>44280</v>
      </c>
      <c r="BF6" s="144">
        <f>IFS(OR(BD6="",BE6=""),"N/C",BE6-BD6=0,"1",AND(ISDATE(BD6),ISDATE(BE6)),BE6-BD6)</f>
        <v>44</v>
      </c>
      <c r="BG6" s="28">
        <f>+General!H43</f>
        <v>10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3" t="str">
        <f>+General!D27</f>
        <v/>
      </c>
      <c r="BO6" s="603" t="str">
        <f>+General!F27</f>
        <v/>
      </c>
      <c r="BP6" s="606">
        <f>+General!B29</f>
        <v>44244</v>
      </c>
      <c r="BQ6" s="28" t="str">
        <f>+General!D29</f>
        <v>PSV</v>
      </c>
      <c r="BR6" s="28">
        <f>+General!F29</f>
        <v>60</v>
      </c>
      <c r="BS6" s="606">
        <f>+General!B30</f>
        <v>44246</v>
      </c>
      <c r="BT6" s="28" t="str">
        <f>+General!D30</f>
        <v>Deseada</v>
      </c>
      <c r="BU6" s="28" t="str">
        <f>+General!F30</f>
        <v>SI</v>
      </c>
      <c r="BV6" s="28">
        <f>+General!I30</f>
        <v>48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Una falla</v>
      </c>
      <c r="BZ6" s="28" t="str">
        <f>+General!I33</f>
        <v/>
      </c>
      <c r="CA6" s="28" t="str">
        <f>+General!J29</f>
        <v>Destete prolongado no exitoso</v>
      </c>
      <c r="CB6" s="28" t="str">
        <f>+General!H29</f>
        <v>Prolongado</v>
      </c>
      <c r="CC6" s="28" t="str">
        <f>+General!H38</f>
        <v>SI</v>
      </c>
      <c r="CD6" s="28" t="str">
        <f>+General!B23</f>
        <v/>
      </c>
      <c r="CE6" s="604">
        <f>+General!C35</f>
        <v>44258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03" t="str">
        <f>+General!E36</f>
        <v/>
      </c>
      <c r="CN6" s="28" t="str">
        <f>+General!B19</f>
        <v/>
      </c>
      <c r="CO6" s="603" t="str">
        <f>+General!D19</f>
        <v/>
      </c>
      <c r="CP6" s="60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3" t="str">
        <f>+General!D20</f>
        <v/>
      </c>
      <c r="CW6" s="603" t="str">
        <f>+General!F20</f>
        <v/>
      </c>
      <c r="CX6" s="28" t="str">
        <f>+General!H20</f>
        <v/>
      </c>
      <c r="CY6" s="607" t="str">
        <f>+General!J20</f>
        <v/>
      </c>
      <c r="DA6" s="18" t="str">
        <f>+General!B32</f>
        <v/>
      </c>
      <c r="DC6" s="606" t="str">
        <f>+General!D32</f>
        <v/>
      </c>
      <c r="DD6" s="60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3" t="str">
        <f>+General!D31</f>
        <v/>
      </c>
      <c r="DK6" s="60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PAFI&lt;200</v>
      </c>
      <c r="DP6" s="28" t="str">
        <f>+General!C40</f>
        <v>SDRA</v>
      </c>
      <c r="DQ6" s="28" t="str">
        <f>+General!D40</f>
        <v>SHOCK/SEPSIS</v>
      </c>
      <c r="DR6" s="28" t="str">
        <f>+General!E40</f>
        <v>DAUCI</v>
      </c>
      <c r="DS6" s="28" t="str">
        <f>+General!F40</f>
        <v>NAVM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8" t="str">
        <f>HLOOKUP("TEP",$DO$6:$EF$6,1,0)</f>
        <v>#N/A</v>
      </c>
      <c r="DP8" s="608" t="str">
        <f>HLOOKUP("IAM",$DO$6:$EF$6,1,0)</f>
        <v>#N/A</v>
      </c>
      <c r="DQ8" s="608" t="str">
        <f>HLOOKUP("PCR",$DO$6:$EF$6,1,0)</f>
        <v>#N/A</v>
      </c>
      <c r="DR8" s="608" t="str">
        <f>HLOOKUP("SDRA",$DO$6:$EF$6,1,0)</f>
        <v>SDRA</v>
      </c>
      <c r="DS8" s="608" t="str">
        <f>HLOOKUP("BNM",$DO$6:$EF$6,1,0)</f>
        <v>#N/A</v>
      </c>
      <c r="DT8" s="608" t="str">
        <f>HLOOKUP("PRONO",$DO$6:$EF$6,1,0)</f>
        <v>#N/A</v>
      </c>
      <c r="DU8" s="608" t="str">
        <f>HLOOKUP("DAUCI",$DO$6:$EF$6,1,0)</f>
        <v>DAUCI</v>
      </c>
      <c r="DV8" s="608" t="str">
        <f>HLOOKUP("BAROTRAUMA",$DO$6:$EF$6,1,0)</f>
        <v>#N/A</v>
      </c>
      <c r="DW8" s="608" t="str">
        <f>HLOOKUP("FMO",$DO$6:$EF$6,1,0)</f>
        <v>#N/A</v>
      </c>
      <c r="DX8" s="608" t="str">
        <f>HLOOKUP("EOT NO PROGRAMADA",$DO$6:$EF$6,1,0)</f>
        <v>#N/A</v>
      </c>
      <c r="DY8" s="608" t="str">
        <f>HLOOKUP("DELIRIUM",$DO$6:$EF$6,1,0)</f>
        <v>#N/A</v>
      </c>
      <c r="DZ8" s="608" t="str">
        <f>HLOOKUP("PAFI&lt;200",$DO$6:$EF$6,1,0)</f>
        <v>PAFI&lt;200</v>
      </c>
      <c r="EA8" s="608" t="str">
        <f>HLOOKUP("SHOCK/SEPSIS",$DO$6:$EF$6,1,0)</f>
        <v>SHOCK/SEPSIS</v>
      </c>
      <c r="EB8" s="608" t="str">
        <f>HLOOKUP("I RENAL",$DO$6:$EF$6,1,0)</f>
        <v>#N/A</v>
      </c>
      <c r="EC8" s="608" t="str">
        <f>HLOOKUP("NAVM",$DO$6:$EF$6,1,0)</f>
        <v>NAVM</v>
      </c>
      <c r="ED8" s="608" t="str">
        <f>HLOOKUP("LESIONES FACIALES",$DO$6:$EF$6,1,0)</f>
        <v>#N/A</v>
      </c>
      <c r="EE8" s="608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DBT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PSIQUIATRICOS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8" t="str">
        <f>HLOOKUP("TEP",$DO$7:$EF$7,1,0)</f>
        <v>#N/A</v>
      </c>
      <c r="DP9" s="608" t="str">
        <f>HLOOKUP("IAM",$DO$7:$EF$7,1,0)</f>
        <v>#N/A</v>
      </c>
      <c r="DQ9" s="608" t="str">
        <f>HLOOKUP("PCR",$DO$7:$EF$7,1,0)</f>
        <v>#N/A</v>
      </c>
      <c r="DR9" s="608" t="str">
        <f>HLOOKUP("SDRA",$DO$7:$EF$7,1,0)</f>
        <v>#N/A</v>
      </c>
      <c r="DS9" s="608" t="str">
        <f>HLOOKUP("BNM",$DO$7:$EF$7,1,0)</f>
        <v>#N/A</v>
      </c>
      <c r="DT9" s="608" t="str">
        <f>HLOOKUP("PRONO",$DO$7:$EF$7,1,0)</f>
        <v>#N/A</v>
      </c>
      <c r="DU9" s="608" t="str">
        <f>HLOOKUP("DAUCI",$DO$7:$EF$7,1,0)</f>
        <v>#N/A</v>
      </c>
      <c r="DV9" s="608" t="str">
        <f>HLOOKUP("BAROTRAUMA",$DO$7:$EF$7,1,0)</f>
        <v>#N/A</v>
      </c>
      <c r="DW9" s="608" t="str">
        <f>HLOOKUP("FMO",$DO$7:$EF$7,1,0)</f>
        <v>#N/A</v>
      </c>
      <c r="DX9" s="608" t="str">
        <f>HLOOKUP("EOT NO PROGRAMADA",$DO$7:$EF$7,1,0)</f>
        <v>#N/A</v>
      </c>
      <c r="DY9" s="608" t="str">
        <f>HLOOKUP("DELIRIUM",$DO$7:$EF$7,1,0)</f>
        <v>#N/A</v>
      </c>
      <c r="DZ9" s="608" t="str">
        <f>HLOOKUP("PAFI&lt;200",$DO$7:$EF$7,1,0)</f>
        <v>PAFI&lt;200</v>
      </c>
      <c r="EA9" s="608" t="str">
        <f>HLOOKUP("SHOCK/SEPSIS",$DO$7:$EF$7,1,0)</f>
        <v>#N/A</v>
      </c>
      <c r="EB9" s="608" t="str">
        <f>HLOOKUP("I RENAL",$DO$7:$EF$7,1,0)</f>
        <v>#N/A</v>
      </c>
      <c r="EC9" s="608" t="str">
        <f>HLOOKUP("NAVM",$DO$7:$EF$7,1,0)</f>
        <v>#N/A</v>
      </c>
      <c r="ED9" s="608" t="str">
        <f>HLOOKUP("LESIONES FACIALES",$DO$7:$EF$7,1,0)</f>
        <v>#N/A</v>
      </c>
      <c r="EE9" s="608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DBT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PSIQUIATRICOS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DAUCI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NAVM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9">
        <f>+General!D3</f>
        <v>165610</v>
      </c>
      <c r="B12" s="609" t="str">
        <f>+General!B4</f>
        <v>Arrieta Ruben Dario</v>
      </c>
      <c r="C12" s="609">
        <f>+General!B5</f>
        <v>58</v>
      </c>
      <c r="D12" s="609" t="str">
        <f>+General!D5</f>
        <v>Hombre</v>
      </c>
      <c r="E12" s="610">
        <f>+General!B6</f>
        <v>175</v>
      </c>
      <c r="F12" s="609" t="str">
        <f>+General!G5</f>
        <v/>
      </c>
      <c r="G12" s="611" t="str">
        <f>IF(AND(E12&lt;&gt;"",F12&lt;&gt;""),F12/(E12/100)^2,"")</f>
        <v/>
      </c>
      <c r="H12" s="610">
        <f>+General!D6</f>
        <v>70.566</v>
      </c>
      <c r="I12" s="612">
        <f>+General!G4</f>
        <v>44235</v>
      </c>
      <c r="J12" s="613">
        <f>+General!D38</f>
        <v>44280</v>
      </c>
      <c r="K12" s="609" t="str">
        <f>+General!B38</f>
        <v>VIVO</v>
      </c>
      <c r="L12" s="609" t="str">
        <f>IF(L6&lt;&gt;"",L6,"N/C")</f>
        <v>3º NIVEL</v>
      </c>
      <c r="M12" s="612">
        <f>+General!G3</f>
        <v>44231</v>
      </c>
      <c r="N12" s="609">
        <f>IFS(OR(M12="",I12=""),"",M12=I12,"1",AND(ISDATE(M12),ISDATE(I12)),I12-M12)</f>
        <v>4</v>
      </c>
      <c r="O12" s="609">
        <f>IFS(AND(I12="",J12=""),"",AND(ISDATE(I12),J12=""),"",J12=I12,"1",AND(ISDATE(I12),ISDATE(J12)),J12-I12)</f>
        <v>45</v>
      </c>
      <c r="P12" s="609" t="str">
        <f>IF(P6="SI","SI","NO")</f>
        <v>NO</v>
      </c>
      <c r="Q12" s="609">
        <f>+General!I5</f>
        <v>30</v>
      </c>
      <c r="R12" s="609">
        <f>+General!J5</f>
        <v>10.6</v>
      </c>
      <c r="S12" s="609">
        <f>+General!I4</f>
        <v>14</v>
      </c>
      <c r="T12" s="609">
        <f>+General!J4</f>
        <v>18.6</v>
      </c>
      <c r="U12" s="609">
        <f>+General!J6</f>
        <v>2</v>
      </c>
      <c r="V12" s="609" t="str">
        <f>+General!G6</f>
        <v>MÉDICO</v>
      </c>
      <c r="W12" s="609" t="str">
        <f>IFS(W6&lt;&gt;"",W6,W7&lt;&gt;"",W7,W8&lt;&gt;"",W8,W9&lt;&gt;"",W9,W10="","")</f>
        <v>COVID</v>
      </c>
      <c r="X12" s="609" t="str">
        <f>IF(X10="HTA","SI","NO")</f>
        <v>NO</v>
      </c>
      <c r="Y12" s="609" t="str">
        <f>IF(Y10="IAM","SI","NO")</f>
        <v>NO</v>
      </c>
      <c r="Z12" s="609" t="str">
        <f>IF(Z10="IC","SI","NO")</f>
        <v>NO</v>
      </c>
      <c r="AA12" s="609" t="str">
        <f>IF(AA10="PCR","SI","NO")</f>
        <v>NO</v>
      </c>
      <c r="AB12" s="609" t="str">
        <f>IF(AB10="EPOC","SI","NO")</f>
        <v>NO</v>
      </c>
      <c r="AC12" s="609" t="str">
        <f>IF(AC10="TBQ","SI","NO")</f>
        <v>NO</v>
      </c>
      <c r="AD12" s="609" t="str">
        <f>IF(AD10="ExTBQ","SI","NO")</f>
        <v>NO</v>
      </c>
      <c r="AE12" s="609" t="str">
        <f>IF(AE10="ASMA","SI","NO")</f>
        <v>NO</v>
      </c>
      <c r="AF12" s="609" t="str">
        <f>IF(AF10="OCD","SI","NO")</f>
        <v>NO</v>
      </c>
      <c r="AG12" s="609" t="str">
        <f>IF(AG10="NMN","SI","NO")</f>
        <v>NO</v>
      </c>
      <c r="AH12" s="609" t="str">
        <f>IF(AH10="VMI PREVIA","SI","NO")</f>
        <v>NO</v>
      </c>
      <c r="AI12" s="609" t="str">
        <f>IF(AI10="VNI DOMIC","SI","NO")</f>
        <v>NO</v>
      </c>
      <c r="AJ12" s="609" t="str">
        <f>IF(AJ10="ACV","SI","NO")</f>
        <v>NO</v>
      </c>
      <c r="AK12" s="609" t="str">
        <f>IF(AK10="TEC","SI","NO")</f>
        <v>NO</v>
      </c>
      <c r="AL12" s="609" t="str">
        <f>IF(AL10="ASMA","SI","NO")</f>
        <v>NO</v>
      </c>
      <c r="AM12" s="609" t="str">
        <f>IF(AM10="ENF NEUROM","SI","NO")</f>
        <v>NO</v>
      </c>
      <c r="AN12" s="609" t="str">
        <f>IF(AN10="DBT","SI","NO")</f>
        <v>SI</v>
      </c>
      <c r="AO12" s="609" t="str">
        <f>IF(AO10="OBESIDAD","SI","NO")</f>
        <v>NO</v>
      </c>
      <c r="AP12" s="609" t="str">
        <f>IF(AP10="HIPOTIR","SI","NO")</f>
        <v>NO</v>
      </c>
      <c r="AQ12" s="609" t="str">
        <f>IF(AQ10="HIPERTIR","SI","NO")</f>
        <v>NO</v>
      </c>
      <c r="AR12" s="609" t="str">
        <f>IF(AR10="INSUF RENAL","SI","NO")</f>
        <v>NO</v>
      </c>
      <c r="AS12" s="609" t="str">
        <f>IF(AS10="POP","SI","NO")</f>
        <v>NO</v>
      </c>
      <c r="AT12" s="609" t="str">
        <f>IF(AT10="TBC","SI","NO")</f>
        <v>NO</v>
      </c>
      <c r="AU12" s="609" t="str">
        <f>IF(AU10="HIV","SI","NO")</f>
        <v>NO</v>
      </c>
      <c r="AV12" s="609" t="str">
        <f>IF(AV10="HEPATITIS","SI","NO")</f>
        <v>NO</v>
      </c>
      <c r="AW12" s="609" t="str">
        <f>IF(AW10="CHAGAS","SI","NO")</f>
        <v>NO</v>
      </c>
      <c r="AX12" s="609" t="str">
        <f>IF(AX10="CONSUMO","SI","NO")</f>
        <v>NO</v>
      </c>
      <c r="AY12" s="609" t="str">
        <f>IF(AY10="REUMATOLOGICOS","SI","NO")</f>
        <v>NO</v>
      </c>
      <c r="AZ12" s="609" t="str">
        <f>IF(AZ10="PSIQUIATRICOS","SI","NO")</f>
        <v>SI</v>
      </c>
      <c r="BA12" s="609" t="str">
        <f>IF(BA10="ONCOLOGICOS","SI","NO")</f>
        <v>NO</v>
      </c>
      <c r="BB12" s="609" t="str">
        <f>IF(BB10="OTROS","SI","NO")</f>
        <v>NO</v>
      </c>
      <c r="BC12" s="614">
        <f>IF(ISDATE(BC6),BC6,"N/C")</f>
        <v>44236</v>
      </c>
      <c r="BD12" s="614">
        <f>IF(BD6&lt;&gt;"",BD6,"N/C")</f>
        <v>44236</v>
      </c>
      <c r="BE12" s="614">
        <f>IF(ISDATE(BE6),BE6,"N/C")</f>
        <v>44280</v>
      </c>
      <c r="BF12" s="615">
        <f>IFS(OR(BD6="",BE6=""),"N/C",BE6-BD6=0,"1",AND(ISDATE(BD6),ISDATE(BE6)),BE6-BD6)</f>
        <v>44</v>
      </c>
      <c r="BG12" s="609">
        <f t="shared" ref="BG12:BH12" si="4">IF(BG6&lt;&gt;"",BG6,"N/C")</f>
        <v>10</v>
      </c>
      <c r="BH12" s="609" t="str">
        <f t="shared" si="4"/>
        <v>NMN</v>
      </c>
      <c r="BI12" s="609" t="str">
        <f t="shared" ref="BI12:BJ12" si="5">IF(BI6="SI","SI","NO")</f>
        <v>NO</v>
      </c>
      <c r="BJ12" s="609" t="str">
        <f t="shared" si="5"/>
        <v>NO</v>
      </c>
      <c r="BK12" s="609" t="str">
        <f>IF(BK6&lt;&gt;"",BK6,"N/C")</f>
        <v>N/C</v>
      </c>
      <c r="BL12" s="609">
        <f>+BL6</f>
        <v>0</v>
      </c>
      <c r="BM12" s="609" t="str">
        <f>IF(BM6="SI","SI","NO")</f>
        <v>NO</v>
      </c>
      <c r="BN12" s="609" t="str">
        <f t="shared" ref="BN12:BP12" si="6">IF(ISDATE(BN6),BN6,"N/C")</f>
        <v>N/C</v>
      </c>
      <c r="BO12" s="609" t="str">
        <f t="shared" si="6"/>
        <v>N/C</v>
      </c>
      <c r="BP12" s="616">
        <f t="shared" si="6"/>
        <v>44244</v>
      </c>
      <c r="BQ12" s="609" t="str">
        <f>IF(BQ6&lt;&gt;"",BQ6,"N/C")</f>
        <v>PSV</v>
      </c>
      <c r="BR12" s="609">
        <f>IF(BR6&gt;0,BR6,"N/C")</f>
        <v>60</v>
      </c>
      <c r="BS12" s="616">
        <f>IF(ISDATE(BS6),BS6,"N/C")</f>
        <v>44246</v>
      </c>
      <c r="BT12" s="609" t="str">
        <f>IF(BT6&lt;&gt;"",BT6,"N/C")</f>
        <v>Deseada</v>
      </c>
      <c r="BU12" s="609" t="str">
        <f>IFS(BU6="NO","NO",BU6="SI","SI",BU6="","N/C")</f>
        <v>SI</v>
      </c>
      <c r="BV12" s="609">
        <f t="shared" ref="BV12:CC12" si="7">IF(BV6&lt;&gt;"",BV6,"N/C")</f>
        <v>48</v>
      </c>
      <c r="BW12" s="609" t="str">
        <f t="shared" si="7"/>
        <v>SI</v>
      </c>
      <c r="BX12" s="609" t="str">
        <f t="shared" si="7"/>
        <v>Aumento del WOB</v>
      </c>
      <c r="BY12" s="609" t="str">
        <f t="shared" si="7"/>
        <v>Una falla</v>
      </c>
      <c r="BZ12" s="609" t="str">
        <f t="shared" si="7"/>
        <v>N/C</v>
      </c>
      <c r="CA12" s="609" t="str">
        <f t="shared" si="7"/>
        <v>Destete prolongado no exitoso</v>
      </c>
      <c r="CB12" s="609" t="str">
        <f t="shared" si="7"/>
        <v>Prolongado</v>
      </c>
      <c r="CC12" s="609" t="str">
        <f t="shared" si="7"/>
        <v>SI</v>
      </c>
      <c r="CD12" s="609" t="str">
        <f>IF(CD6="SI","SI","NO")</f>
        <v>NO</v>
      </c>
      <c r="CE12" s="613">
        <f>IF(AND(ISDATE(CE6),CD6=""),CE6,"N/C")</f>
        <v>44258</v>
      </c>
      <c r="CF12" s="609" t="str">
        <f>IFS(AND(CF6&lt;&gt;"",CE6=""),"N/C",AND(CF6&lt;&gt;"",ISDATE(CE6)),CF6,AND(CF6="",CE6=""),"N/C",AND(CE6&lt;&gt;"",CF6=""),"DATO PERDIDO")</f>
        <v>Percutánea</v>
      </c>
      <c r="CG12" s="609" t="str">
        <f>IFS(CG6="SI","SI",AND(ISDATE(CE6),CG6=""),"NO",AND(CD6="SI",CG6=""),"NO",CE6="","N/C")</f>
        <v>NO</v>
      </c>
      <c r="CH12" s="609" t="str">
        <f>IFS(AND(CG6="",CH6=""),"N/C", AND(CG6="SI",CH6&lt;&gt;""),CH6,AND(CG6="SI",CH6=""),"0")</f>
        <v>N/C</v>
      </c>
      <c r="CI12" s="609" t="str">
        <f>IFS(OR(CI6="SI",CJ6&lt;&gt;""),"SI",CI6="NO","NO",CI6="","N/C")</f>
        <v>NO</v>
      </c>
      <c r="CJ12" s="609" t="str">
        <f>IF(ISDATE(CJ6),CJ6,"N/C")</f>
        <v>N/C</v>
      </c>
      <c r="CK12" s="609">
        <f>IFS(AND(CD6="SI",ISDATE(CJ6)),CJ6-I6,AND(CD6="SI",CJ6=""),J6-I6,AND(ISDATE(CE6),ISDATE(CJ6)),CJ6-CE6,AND(ISDATE(CE6),CJ6=""),J6-CE6,AND(CD6="",AND(CE6="",CJ6="")),"N/C")</f>
        <v>22</v>
      </c>
      <c r="CL12" s="609">
        <f>IF(AND(ISDATE(CE6),ISDATE(BC6)),CE6-BC6,"N/C")</f>
        <v>22</v>
      </c>
      <c r="CM12" s="609" t="str">
        <f>IFS(OR(CN6&lt;&gt;"",ISDATE(CO6)),"SI",AND(CN6="",CO6=""),"NO")</f>
        <v>NO</v>
      </c>
      <c r="CN12" s="609" t="str">
        <f>IF(CN6&lt;&gt;"",CN6,"N/C")</f>
        <v>N/C</v>
      </c>
      <c r="CO12" s="609" t="str">
        <f>IF(ISDATE(CO6),CO6,"N/C")</f>
        <v>N/C</v>
      </c>
      <c r="CP12" s="609" t="str">
        <f>IF(CP6&lt;&gt;"",CP6,"N/C")</f>
        <v>N/C</v>
      </c>
      <c r="CQ12" s="609" t="str">
        <f>IFS(CQ6&lt;&gt;"",CQ6,CQ6="","N/C")</f>
        <v>N/C</v>
      </c>
      <c r="CR12" s="609" t="str">
        <f>IF(CR6&lt;&gt;"",CR6,"N/C")</f>
        <v>N/C</v>
      </c>
      <c r="CS12" s="609" t="str">
        <f>IFS(AND(CP6="",CO6=""),"N/C",CP6-CO6=0,"1",AND(ISDATE(CO6),ISDATE(CP6)),CP6-CO6)</f>
        <v>N/C</v>
      </c>
      <c r="CT12" s="609" t="str">
        <f>IFS(OR(CT6&lt;&gt;"",ISDATE(CV6)),"SI",AND(CT6="",CV6=""),"NO")</f>
        <v>NO</v>
      </c>
      <c r="CU12" s="609" t="str">
        <f>IF(CT6&lt;&gt;"",CT6,"N/C")</f>
        <v>N/C</v>
      </c>
      <c r="CV12" s="609" t="str">
        <f t="shared" ref="CV12:CW12" si="8">IF(ISDATE(CV6),CV6,"N/C")</f>
        <v>N/C</v>
      </c>
      <c r="CW12" s="609" t="str">
        <f t="shared" si="8"/>
        <v>N/C</v>
      </c>
      <c r="CX12" s="609" t="str">
        <f t="shared" ref="CX12:CY12" si="9">IF(CX6&lt;&gt;"",CX6,"N/C")</f>
        <v>N/C</v>
      </c>
      <c r="CY12" s="609" t="str">
        <f t="shared" si="9"/>
        <v>N/C</v>
      </c>
      <c r="CZ12" s="609" t="str">
        <f>IFS(AND(CV6="",CW6=""),"N/C",CW6-CV6=0,"1",AND(ISDATE(CV6),ISDATE(CW6)),CW6-CV6)</f>
        <v>N/C</v>
      </c>
      <c r="DA12" s="609" t="str">
        <f>IFS(OR(DA6&lt;&gt;"",ISDATE(DC6)),"SI",AND(DA6="",DC6=""),"NO")</f>
        <v>NO</v>
      </c>
      <c r="DB12" s="609" t="str">
        <f>IF(DA6&lt;&gt;"",DA6,"N/C")</f>
        <v>N/C</v>
      </c>
      <c r="DC12" s="609" t="str">
        <f t="shared" ref="DC12:DD12" si="10">IF(ISDATE(DC6),DC6,"N/C")</f>
        <v>N/C</v>
      </c>
      <c r="DD12" s="609" t="str">
        <f t="shared" si="10"/>
        <v>N/C</v>
      </c>
      <c r="DE12" s="609" t="str">
        <f>IFS(DE6&lt;&gt;"",DE6,AND(ISDATE(DD6),ISDATE(DC6)),"DATO PERDIDO",AND(DC6="",DD6=""),"N/C")</f>
        <v>N/C</v>
      </c>
      <c r="DF12" s="609" t="str">
        <f>IF(DF6&lt;&gt;"",DF6,"N/C")</f>
        <v>N/C</v>
      </c>
      <c r="DG12" s="609" t="str">
        <f>IFS(OR(DD6="",DC6=""),"N/C",DD6-DC6=0,"1",AND(ISDATE(DD6),ISDATE(DC6)),DD6-DC6)</f>
        <v>N/C</v>
      </c>
      <c r="DH12" s="609" t="str">
        <f>IFS(OR(DI6&lt;&gt;"",ISDATE(DJ6)),"SI",AND(DI6="",DJ6=""),"N/C")</f>
        <v>N/C</v>
      </c>
      <c r="DI12" s="609" t="str">
        <f>IF(DI6&lt;&gt;"",DI6,"N/C")</f>
        <v>N/C</v>
      </c>
      <c r="DJ12" s="609" t="str">
        <f t="shared" ref="DJ12:DK12" si="11">IF(ISDATE(DJ6),DJ6,"N/C")</f>
        <v>N/C</v>
      </c>
      <c r="DK12" s="609" t="str">
        <f t="shared" si="11"/>
        <v>N/C</v>
      </c>
      <c r="DL12" s="609" t="str">
        <f>IFS(DL6&lt;&gt;"",DL6,AND(ISDATE(DK6),ISDATE(DJ6)),"DATO PERDIDO",AND(DJ6="",DK6=""),"N/C")</f>
        <v>N/C</v>
      </c>
      <c r="DM12" s="609" t="str">
        <f>IF(DM6&lt;&gt;"",DM6,"N/C")</f>
        <v>N/C</v>
      </c>
      <c r="DN12" s="609" t="str">
        <f>IFS(AND(DJ6="",DK6=""),"N/C",DK6-DJ6=0,"1",AND(ISDATE(DJ6),ISDATE(DK6)),DK6-DJ6)</f>
        <v>N/C</v>
      </c>
      <c r="DO12" s="615" t="str">
        <f>IF(OR(DO10="TEP",DO11="TEP"),"SI","NO")</f>
        <v>NO</v>
      </c>
      <c r="DP12" s="615" t="str">
        <f>IF(OR(DP10="IAM",DP11="IAM"),"SI","NO")</f>
        <v>NO</v>
      </c>
      <c r="DQ12" s="615" t="str">
        <f>IF(OR(DQ10="PCR",DQ11="PCR"),"SI","NO")</f>
        <v>NO</v>
      </c>
      <c r="DR12" s="615" t="str">
        <f>IF(OR(DR10="SDRA",DR11="SDRA"),"SI","NO")</f>
        <v>SI</v>
      </c>
      <c r="DS12" s="615" t="str">
        <f>IF(OR(DS10="BNM",DS11="BNM"),"SI","NO")</f>
        <v>NO</v>
      </c>
      <c r="DT12" s="615" t="str">
        <f>IF(OR(DT10="PRONO",DT11="PRONO"),"SI","NO")</f>
        <v>NO</v>
      </c>
      <c r="DU12" s="615" t="str">
        <f>IF(OR(DU10="DAUCI",DU11="DAUCI"),"SI","NO")</f>
        <v>SI</v>
      </c>
      <c r="DV12" s="615" t="str">
        <f>IF(OR(DV10="BAROTRAUMA",DV11="BAROTRAUMA"),"SI","NO")</f>
        <v>NO</v>
      </c>
      <c r="DW12" s="615" t="str">
        <f>IF(OR(DW10="FMO",DW11="FMO"),"SI","NO")</f>
        <v>NO</v>
      </c>
      <c r="DX12" s="615" t="str">
        <f>IF(OR(DX10="EOT NO PROGRAMADA",DX11="EOT NO PROGRAMADA"),"SI","NO")</f>
        <v>NO</v>
      </c>
      <c r="DY12" s="615" t="str">
        <f>IF(OR(DY10="DELIRIUM",DY11="DELIRIUM"),"SI","NO")</f>
        <v>NO</v>
      </c>
      <c r="DZ12" s="615" t="str">
        <f>IF(OR(DZ10="PAFI&lt;200",DZ11="PAFI&lt;200"),"SI","NO")</f>
        <v>SI</v>
      </c>
      <c r="EA12" s="615" t="str">
        <f>IF(OR(EA10="SHOCK/SEPSIS",EA11="SHOCK/SEPSIS"),"SI","NO")</f>
        <v>SI</v>
      </c>
      <c r="EB12" s="615" t="str">
        <f>IF(OR(EB10="I RENAL",EB11="I RENAL"),"SI","NO")</f>
        <v>NO</v>
      </c>
      <c r="EC12" s="615" t="str">
        <f>IF(OR(EC10="NAVM",EC11="NAVM"),"SI","NO")</f>
        <v>SI</v>
      </c>
      <c r="ED12" s="615" t="str">
        <f>IF(OR(ED10="LESIONES FACIALES",ED11="LESIONES FACIALES"),"SI","NO")</f>
        <v>NO</v>
      </c>
      <c r="EE12" s="615" t="str">
        <f>IF(OR(EE10="CAMBIO DE INTERFAZ POR DISCOMFORT",EE11="CAMBIO DE INTERFAZ POR DISCOMFORT"),"SI","NO")</f>
        <v>NO</v>
      </c>
      <c r="EF12" s="609">
        <f>COUNTIF(DO12:EE12,"SI")</f>
        <v>5</v>
      </c>
      <c r="EG12" s="617">
        <f>+Monitoreo!C65</f>
        <v>6</v>
      </c>
      <c r="EH12" s="617">
        <f>+Monitoreo!C66</f>
        <v>3</v>
      </c>
      <c r="EI12" s="617">
        <f>+Monitoreo!C67</f>
        <v>0</v>
      </c>
      <c r="EJ12" s="617">
        <f>+Monitoreo!C68</f>
        <v>0</v>
      </c>
      <c r="EK12" s="617">
        <f>+Monitoreo!C69</f>
        <v>3</v>
      </c>
      <c r="EL12" s="617">
        <f>+Monitoreo!C70</f>
        <v>0</v>
      </c>
      <c r="EM12" s="617">
        <f>+Monitoreo!C71</f>
        <v>0</v>
      </c>
      <c r="EN12" s="617">
        <f>+Monitoreo!F65</f>
        <v>10</v>
      </c>
      <c r="EO12" s="617">
        <f>+Monitoreo!F66</f>
        <v>10</v>
      </c>
      <c r="EP12" s="617">
        <f>+Monitoreo!F67</f>
        <v>0</v>
      </c>
      <c r="EQ12" s="617">
        <f>+Monitoreo!F68</f>
        <v>0</v>
      </c>
      <c r="ER12" s="617">
        <f>+Monitoreo!F69</f>
        <v>0</v>
      </c>
      <c r="ES12" s="617">
        <f>+Monitoreo!F70</f>
        <v>0</v>
      </c>
      <c r="ET12" s="617">
        <f>+Monitoreo!F71</f>
        <v>0</v>
      </c>
      <c r="EU12" s="617">
        <f>+Monitoreo!I65</f>
        <v>3</v>
      </c>
      <c r="EV12" s="617">
        <f>+Monitoreo!I66</f>
        <v>3</v>
      </c>
      <c r="EW12" s="617">
        <f>+Monitoreo!I67</f>
        <v>0</v>
      </c>
      <c r="EX12" s="617">
        <f>+Monitoreo!I68</f>
        <v>0</v>
      </c>
      <c r="EY12" s="617">
        <f>+Monitoreo!I69</f>
        <v>0</v>
      </c>
      <c r="EZ12" s="617">
        <f>+Monitoreo!I70</f>
        <v>0</v>
      </c>
      <c r="FA12" s="617">
        <f>+Monitoreo!I71</f>
        <v>0</v>
      </c>
      <c r="FB12" s="617">
        <f>+Monitoreo!I72</f>
        <v>0</v>
      </c>
      <c r="FC12" s="617">
        <f>+Monitoreo!M69</f>
        <v>5</v>
      </c>
      <c r="FD12" s="617">
        <f>+Monitoreo!M70</f>
        <v>5</v>
      </c>
      <c r="FE12" s="617">
        <f>+Monitoreo!M71</f>
        <v>0</v>
      </c>
      <c r="FF12" s="617">
        <f>+Monitoreo!M72</f>
        <v>0</v>
      </c>
      <c r="FG12" s="617">
        <f>+Monitoreo!P69</f>
        <v>0</v>
      </c>
      <c r="FH12" s="617">
        <f>+Monitoreo!P70</f>
        <v>0</v>
      </c>
      <c r="FI12" s="617">
        <f>+Monitoreo!P71</f>
        <v>0</v>
      </c>
      <c r="FJ12" s="617">
        <f>+Monitoreo!M65</f>
        <v>0</v>
      </c>
      <c r="FK12" s="617">
        <f>+Monitoreo!M66</f>
        <v>0</v>
      </c>
      <c r="FL12" s="617">
        <f>+Monitoreo!M67</f>
        <v>8</v>
      </c>
      <c r="FM12" s="618" t="str">
        <f>+Monitoreo!C29</f>
        <v>VC-CMV</v>
      </c>
      <c r="FN12" s="618" t="str">
        <f>+Monitoreo!D29</f>
        <v>VC-CMV</v>
      </c>
      <c r="FO12" s="618" t="str">
        <f>+Monitoreo!E29</f>
        <v>VC-CMV</v>
      </c>
      <c r="FP12" s="618" t="str">
        <f>+Monitoreo!G29</f>
        <v>PC-CMV</v>
      </c>
      <c r="FQ12" s="618" t="str">
        <f>+Monitoreo!I29</f>
        <v>PC-CMV</v>
      </c>
      <c r="FR12" s="609">
        <f>+Monitoreo!C30</f>
        <v>420</v>
      </c>
      <c r="FS12" s="609">
        <f>+Monitoreo!D30</f>
        <v>420</v>
      </c>
      <c r="FT12" s="609">
        <f>+Monitoreo!E30</f>
        <v>420</v>
      </c>
      <c r="FU12" s="609">
        <f>+Monitoreo!G30</f>
        <v>16</v>
      </c>
      <c r="FV12" s="609">
        <f>+Monitoreo!I30</f>
        <v>18</v>
      </c>
      <c r="FW12" s="609">
        <f>+Monitoreo!C31</f>
        <v>22</v>
      </c>
      <c r="FX12" s="609">
        <f>+Monitoreo!D31</f>
        <v>22</v>
      </c>
      <c r="FY12" s="609">
        <f>+Monitoreo!E31</f>
        <v>24</v>
      </c>
      <c r="FZ12" s="609">
        <f>+Monitoreo!G31</f>
        <v>20</v>
      </c>
      <c r="GA12" s="609">
        <f>+Monitoreo!I31</f>
        <v>20</v>
      </c>
      <c r="GB12" s="609">
        <f>+Monitoreo!C32</f>
        <v>8</v>
      </c>
      <c r="GC12" s="609">
        <f>+Monitoreo!D32</f>
        <v>8</v>
      </c>
      <c r="GD12" s="609">
        <f>+Monitoreo!E32</f>
        <v>10</v>
      </c>
      <c r="GE12" s="609">
        <f>+Monitoreo!G32</f>
        <v>10</v>
      </c>
      <c r="GF12" s="609">
        <f>+Monitoreo!I32</f>
        <v>8</v>
      </c>
      <c r="GG12" s="609">
        <f>+Monitoreo!C33</f>
        <v>0.7</v>
      </c>
      <c r="GH12" s="609">
        <f>+Monitoreo!D33</f>
        <v>0.4</v>
      </c>
      <c r="GI12" s="609">
        <f>+Monitoreo!E33</f>
        <v>0.4</v>
      </c>
      <c r="GJ12" s="609">
        <f>+Monitoreo!G33</f>
        <v>0.4</v>
      </c>
      <c r="GK12" s="609">
        <f>+Monitoreo!I33</f>
        <v>0.35</v>
      </c>
      <c r="GL12" s="609">
        <f>+Monitoreo!C37</f>
        <v>22</v>
      </c>
      <c r="GM12" s="609">
        <f>+Monitoreo!D37</f>
        <v>22</v>
      </c>
      <c r="GN12" s="609">
        <f>+Monitoreo!E37</f>
        <v>24</v>
      </c>
      <c r="GO12" s="609">
        <f>+Monitoreo!G37</f>
        <v>20</v>
      </c>
      <c r="GP12" s="609">
        <f>+Monitoreo!I37</f>
        <v>29</v>
      </c>
      <c r="GQ12" s="609">
        <f>+Monitoreo!C39</f>
        <v>9.22</v>
      </c>
      <c r="GR12" s="609">
        <f>+Monitoreo!D39</f>
        <v>9.2</v>
      </c>
      <c r="GS12" s="609">
        <f>+Monitoreo!E39</f>
        <v>10</v>
      </c>
      <c r="GT12" s="609">
        <f>+Monitoreo!G39</f>
        <v>10.8</v>
      </c>
      <c r="GU12" s="619">
        <f>+Monitoreo!I39</f>
        <v>13</v>
      </c>
      <c r="GV12" s="609">
        <f>+Monitoreo!C40</f>
        <v>26</v>
      </c>
      <c r="GW12" s="609">
        <f>+Monitoreo!D40</f>
        <v>26</v>
      </c>
      <c r="GX12" s="609">
        <f>+Monitoreo!E40</f>
        <v>29</v>
      </c>
      <c r="GY12" s="609">
        <f>+Monitoreo!G40</f>
        <v>26</v>
      </c>
      <c r="GZ12" s="609">
        <f>+Monitoreo!I40</f>
        <v>26</v>
      </c>
      <c r="HA12" s="609">
        <f>+Monitoreo!C41</f>
        <v>16</v>
      </c>
      <c r="HB12" s="609">
        <f>+Monitoreo!D41</f>
        <v>17</v>
      </c>
      <c r="HC12" s="609">
        <f>+Monitoreo!E41</f>
        <v>20</v>
      </c>
      <c r="HD12" s="609">
        <f>+Monitoreo!G41</f>
        <v>20</v>
      </c>
      <c r="HE12" s="609" t="str">
        <f>+Monitoreo!I41</f>
        <v/>
      </c>
      <c r="HF12" s="609">
        <f>+Monitoreo!C42</f>
        <v>8.3</v>
      </c>
      <c r="HG12" s="609">
        <f>+Monitoreo!D42</f>
        <v>8.5</v>
      </c>
      <c r="HH12" s="609">
        <f>+Monitoreo!E42</f>
        <v>10.4</v>
      </c>
      <c r="HI12" s="609">
        <f>+Monitoreo!G42</f>
        <v>12</v>
      </c>
      <c r="HJ12" s="609">
        <f>+Monitoreo!I42</f>
        <v>8</v>
      </c>
      <c r="HK12" s="609">
        <f>+Monitoreo!C51</f>
        <v>7.7</v>
      </c>
      <c r="HL12" s="609">
        <f>+Monitoreo!D51</f>
        <v>8.5</v>
      </c>
      <c r="HM12" s="609">
        <f>+Monitoreo!E51</f>
        <v>9.6</v>
      </c>
      <c r="HN12" s="609">
        <f>+Monitoreo!G51</f>
        <v>8</v>
      </c>
      <c r="HO12" s="609" t="str">
        <f>+Monitoreo!I51</f>
        <v/>
      </c>
      <c r="HP12" s="611">
        <f>+Monitoreo!C47</f>
        <v>5.951874841</v>
      </c>
      <c r="HQ12" s="611">
        <f>+Monitoreo!D47</f>
        <v>5.951874841</v>
      </c>
      <c r="HR12" s="611">
        <f>+Monitoreo!E47</f>
        <v>5.951874841</v>
      </c>
      <c r="HS12" s="611">
        <f>+Monitoreo!G47</f>
        <v>7.652410509</v>
      </c>
      <c r="HT12" s="611">
        <f>+Monitoreo!I47</f>
        <v>6.660431369</v>
      </c>
      <c r="HU12" s="611">
        <f>+Monitoreo!C52</f>
        <v>54.54545455</v>
      </c>
      <c r="HV12" s="611">
        <f>+Monitoreo!D52</f>
        <v>49.41176471</v>
      </c>
      <c r="HW12" s="611">
        <f>+Monitoreo!E52</f>
        <v>43.75</v>
      </c>
      <c r="HX12" s="611">
        <f>+Monitoreo!G52</f>
        <v>67.5</v>
      </c>
      <c r="HY12" s="609" t="str">
        <f>+Monitoreo!I52</f>
        <v>#DIV/0!</v>
      </c>
      <c r="HZ12" s="620">
        <f>+Monitoreo!C53</f>
        <v>13.04347826</v>
      </c>
      <c r="IA12" s="620">
        <f>+Monitoreo!D53</f>
        <v>10.8</v>
      </c>
      <c r="IB12" s="620">
        <f>+Monitoreo!E53</f>
        <v>10.8</v>
      </c>
      <c r="IC12" s="620" t="str">
        <f>+Monitoreo!G53</f>
        <v/>
      </c>
      <c r="ID12" s="620" t="str">
        <f>+Monitoreo!I53</f>
        <v/>
      </c>
      <c r="IE12" s="609">
        <f>+Monitoreo!C50</f>
        <v>14.075</v>
      </c>
      <c r="IF12" s="609">
        <f>+Monitoreo!D50</f>
        <v>14.45</v>
      </c>
      <c r="IG12" s="609">
        <f>+Monitoreo!E50</f>
        <v>17.12</v>
      </c>
      <c r="IH12" s="609">
        <f>+Monitoreo!G50</f>
        <v>19.2</v>
      </c>
      <c r="II12" s="609" t="str">
        <f>+Monitoreo!I50</f>
        <v/>
      </c>
      <c r="IJ12" s="620" t="str">
        <f>+Monitoreo!C54</f>
        <v/>
      </c>
      <c r="IK12" s="620">
        <f>+Monitoreo!D54</f>
        <v>17.4131496</v>
      </c>
      <c r="IL12" s="620">
        <f>+Monitoreo!E54</f>
        <v>21.4163712</v>
      </c>
      <c r="IM12" s="620" t="str">
        <f>+Monitoreo!G54</f>
        <v/>
      </c>
      <c r="IN12" s="620" t="str">
        <f>+Monitoreo!I54</f>
        <v/>
      </c>
      <c r="IO12" s="620" t="str">
        <f>+Monitoreo!C55</f>
        <v/>
      </c>
      <c r="IP12" s="620">
        <f>+Monitoreo!D55</f>
        <v>0.35240898</v>
      </c>
      <c r="IQ12" s="620">
        <f>+Monitoreo!E55</f>
        <v>0.489517056</v>
      </c>
      <c r="IR12" s="620" t="str">
        <f>+Monitoreo!G55</f>
        <v/>
      </c>
      <c r="IS12" s="609" t="str">
        <f>+Monitoreo!I55</f>
        <v>#DIV/0!</v>
      </c>
      <c r="IT12" s="620" t="str">
        <f>+Monitoreo!C56</f>
        <v/>
      </c>
      <c r="IU12" s="620">
        <f>+Monitoreo!D56</f>
        <v>0.2467640167</v>
      </c>
      <c r="IV12" s="620">
        <f>+Monitoreo!E56</f>
        <v>0.3034941927</v>
      </c>
      <c r="IW12" s="620" t="str">
        <f>+Monitoreo!G56</f>
        <v/>
      </c>
      <c r="IX12" s="620" t="str">
        <f>+Monitoreo!I56</f>
        <v/>
      </c>
      <c r="IY12" s="620">
        <f>+Monitoreo!C61</f>
        <v>169.4</v>
      </c>
      <c r="IZ12" s="620">
        <f>+Monitoreo!D61</f>
        <v>187</v>
      </c>
      <c r="JA12" s="620">
        <f>+Monitoreo!E61</f>
        <v>230.4</v>
      </c>
      <c r="JB12" s="620">
        <f>+Monitoreo!G61</f>
        <v>160</v>
      </c>
      <c r="JC12" s="620" t="str">
        <f>+Monitoreo!I61</f>
        <v/>
      </c>
      <c r="JD12" s="620">
        <f>+Monitoreo!C57</f>
        <v>1.526083383</v>
      </c>
      <c r="JE12" s="620">
        <f>+Monitoreo!D57</f>
        <v>1.623595877</v>
      </c>
      <c r="JF12" s="620">
        <f>+Monitoreo!E57</f>
        <v>1.655188051</v>
      </c>
      <c r="JG12" s="620">
        <f>+Monitoreo!G57</f>
        <v>1.75495281</v>
      </c>
      <c r="JH12" s="620">
        <f>+Monitoreo!I57</f>
        <v>2.058403953</v>
      </c>
      <c r="JI12" s="609" t="str">
        <f>+Monitoreo!C58</f>
        <v/>
      </c>
      <c r="JJ12" s="609" t="str">
        <f>+Monitoreo!D58</f>
        <v/>
      </c>
      <c r="JK12" s="609" t="str">
        <f>+Monitoreo!E58</f>
        <v/>
      </c>
      <c r="JL12" s="609" t="str">
        <f>+Monitoreo!G58</f>
        <v/>
      </c>
      <c r="JM12" s="609" t="str">
        <f>+Monitoreo!I58</f>
        <v/>
      </c>
      <c r="JN12" s="609" t="str">
        <f>+Monitoreo!C44</f>
        <v/>
      </c>
      <c r="JO12" s="609" t="str">
        <f>+Monitoreo!D44</f>
        <v/>
      </c>
      <c r="JP12" s="609" t="str">
        <f>+Monitoreo!E44</f>
        <v/>
      </c>
      <c r="JQ12" s="609">
        <f>+Monitoreo!G44</f>
        <v>0.6</v>
      </c>
      <c r="JR12" s="609" t="str">
        <f>+Monitoreo!I44</f>
        <v/>
      </c>
      <c r="JS12" s="609" t="str">
        <f>+Monitoreo!C45</f>
        <v/>
      </c>
      <c r="JT12" s="609" t="str">
        <f>+Monitoreo!D45</f>
        <v/>
      </c>
      <c r="JU12" s="609" t="str">
        <f>+Monitoreo!E45</f>
        <v/>
      </c>
      <c r="JV12" s="609">
        <f>+Monitoreo!G45</f>
        <v>10</v>
      </c>
      <c r="JW12" s="609" t="str">
        <f>+Monitoreo!I45</f>
        <v/>
      </c>
      <c r="JX12" s="611">
        <f>+Monitoreo!C62</f>
        <v>5.556965595</v>
      </c>
      <c r="JY12" s="611">
        <f>+Monitoreo!D62</f>
        <v>4.982758621</v>
      </c>
      <c r="JZ12" s="611">
        <f>+Monitoreo!E62</f>
        <v>5.833049404</v>
      </c>
      <c r="KA12" s="611">
        <f>+Monitoreo!G62</f>
        <v>9.253012048</v>
      </c>
      <c r="KB12" s="611" t="str">
        <f>+Monitoreo!I62</f>
        <v/>
      </c>
      <c r="KC12" s="609">
        <f>+Monitoreo!C20</f>
        <v>7.32</v>
      </c>
      <c r="KD12" s="609">
        <f>+Monitoreo!D20</f>
        <v>7.35</v>
      </c>
      <c r="KE12" s="609">
        <f>+Monitoreo!E20</f>
        <v>7.39</v>
      </c>
      <c r="KF12" s="609">
        <f>+Monitoreo!G20</f>
        <v>7.41</v>
      </c>
      <c r="KG12" s="609">
        <f>+Monitoreo!I20</f>
        <v>7.43</v>
      </c>
      <c r="KH12" s="609">
        <f>+Monitoreo!C22</f>
        <v>177.3</v>
      </c>
      <c r="KI12" s="609">
        <f>+Monitoreo!D22</f>
        <v>116</v>
      </c>
      <c r="KJ12" s="609">
        <f>+Monitoreo!E22</f>
        <v>117.4</v>
      </c>
      <c r="KK12" s="609">
        <f>+Monitoreo!G22</f>
        <v>83</v>
      </c>
      <c r="KL12" s="609">
        <f>+Monitoreo!I22</f>
        <v>101.4</v>
      </c>
      <c r="KM12" s="609">
        <f>+Monitoreo!C21</f>
        <v>43.8</v>
      </c>
      <c r="KN12" s="609">
        <f>+Monitoreo!D21</f>
        <v>46.7</v>
      </c>
      <c r="KO12" s="609">
        <f>+Monitoreo!E21</f>
        <v>43.8</v>
      </c>
      <c r="KP12" s="609">
        <f>+Monitoreo!G21</f>
        <v>43</v>
      </c>
      <c r="KQ12" s="609">
        <f>+Monitoreo!I21</f>
        <v>41.9</v>
      </c>
      <c r="KR12" s="609">
        <f>+Monitoreo!C25</f>
        <v>99.4</v>
      </c>
      <c r="KS12" s="609">
        <f>+Monitoreo!D25</f>
        <v>98.4</v>
      </c>
      <c r="KT12" s="609">
        <f>+Monitoreo!E25</f>
        <v>98</v>
      </c>
      <c r="KU12" s="609">
        <f>+Monitoreo!G25</f>
        <v>96</v>
      </c>
      <c r="KV12" s="609">
        <f>+Monitoreo!I25</f>
        <v>98</v>
      </c>
      <c r="KW12" s="609">
        <f>+Monitoreo!C10</f>
        <v>100</v>
      </c>
      <c r="KX12" s="609">
        <f>+Monitoreo!D10</f>
        <v>98</v>
      </c>
      <c r="KY12" s="609">
        <f>+Monitoreo!E10</f>
        <v>98</v>
      </c>
      <c r="KZ12" s="609">
        <f>+Monitoreo!G10</f>
        <v>99</v>
      </c>
      <c r="LA12" s="609">
        <f>+Monitoreo!I10</f>
        <v>95</v>
      </c>
      <c r="LB12" s="611">
        <f>+Monitoreo!C28</f>
        <v>253.2857143</v>
      </c>
      <c r="LC12" s="611">
        <f>+Monitoreo!D28</f>
        <v>290</v>
      </c>
      <c r="LD12" s="611">
        <f>+Monitoreo!E28</f>
        <v>293.5</v>
      </c>
      <c r="LE12" s="611">
        <f>+Monitoreo!G28</f>
        <v>207.5</v>
      </c>
      <c r="LF12" s="611">
        <f>+Monitoreo!I28</f>
        <v>338</v>
      </c>
      <c r="LG12" s="609"/>
      <c r="LH12" s="609"/>
      <c r="LI12" s="609"/>
      <c r="LJ12" s="609"/>
      <c r="LK12" s="609"/>
      <c r="LL12" s="609"/>
      <c r="LM12" s="609"/>
    </row>
    <row r="14">
      <c r="DS14" s="18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21">
        <f>+Monitoreo!M65</f>
        <v>0</v>
      </c>
      <c r="DZ14" s="182">
        <f>+Monitoreo!T65</f>
        <v>1</v>
      </c>
    </row>
    <row r="15">
      <c r="A15" s="622" t="s">
        <v>371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4"/>
    </row>
    <row r="16">
      <c r="A16" s="625"/>
      <c r="Q16" s="626"/>
    </row>
    <row r="17">
      <c r="A17" s="625"/>
      <c r="Q17" s="626"/>
    </row>
    <row r="18">
      <c r="A18" s="625"/>
      <c r="Q18" s="626"/>
    </row>
    <row r="19">
      <c r="A19" s="627"/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0" t="s">
        <v>372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2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</row>
    <row r="2" ht="41.25" customHeight="1">
      <c r="A2" s="634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8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</row>
    <row r="3">
      <c r="A3" s="635"/>
      <c r="B3" s="636" t="s">
        <v>373</v>
      </c>
      <c r="C3" s="21"/>
      <c r="D3" s="21"/>
      <c r="E3" s="22"/>
      <c r="F3" s="637" t="s">
        <v>374</v>
      </c>
      <c r="G3" s="22"/>
      <c r="H3" s="637" t="s">
        <v>375</v>
      </c>
      <c r="I3" s="21"/>
      <c r="J3" s="21"/>
      <c r="K3" s="21"/>
      <c r="L3" s="22"/>
      <c r="M3" s="637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7" t="s">
        <v>377</v>
      </c>
      <c r="AA3" s="22"/>
      <c r="AB3" s="637" t="s">
        <v>378</v>
      </c>
      <c r="AC3" s="21"/>
      <c r="AD3" s="21"/>
      <c r="AE3" s="21"/>
      <c r="AF3" s="22"/>
      <c r="AG3" s="638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</row>
    <row r="4">
      <c r="A4" s="640"/>
      <c r="B4" s="641" t="s">
        <v>255</v>
      </c>
      <c r="C4" s="641" t="s">
        <v>257</v>
      </c>
      <c r="D4" s="642" t="s">
        <v>379</v>
      </c>
      <c r="E4" s="643" t="s">
        <v>380</v>
      </c>
      <c r="F4" s="643" t="s">
        <v>381</v>
      </c>
      <c r="G4" s="643" t="s">
        <v>382</v>
      </c>
      <c r="H4" s="644" t="s">
        <v>383</v>
      </c>
      <c r="I4" s="644" t="s">
        <v>384</v>
      </c>
      <c r="J4" s="644" t="s">
        <v>385</v>
      </c>
      <c r="K4" s="644" t="s">
        <v>386</v>
      </c>
      <c r="L4" s="644" t="s">
        <v>387</v>
      </c>
      <c r="M4" s="644" t="s">
        <v>388</v>
      </c>
      <c r="N4" s="644" t="s">
        <v>389</v>
      </c>
      <c r="O4" s="644" t="s">
        <v>390</v>
      </c>
      <c r="P4" s="644" t="s">
        <v>391</v>
      </c>
      <c r="Q4" s="644" t="s">
        <v>392</v>
      </c>
      <c r="R4" s="644" t="s">
        <v>393</v>
      </c>
      <c r="S4" s="645" t="s">
        <v>34</v>
      </c>
      <c r="T4" s="645" t="s">
        <v>394</v>
      </c>
      <c r="U4" s="644" t="s">
        <v>395</v>
      </c>
      <c r="V4" s="644" t="s">
        <v>396</v>
      </c>
      <c r="W4" s="642" t="s">
        <v>397</v>
      </c>
      <c r="X4" s="642" t="s">
        <v>398</v>
      </c>
      <c r="Y4" s="645" t="s">
        <v>399</v>
      </c>
      <c r="Z4" s="643" t="s">
        <v>400</v>
      </c>
      <c r="AA4" s="645" t="s">
        <v>401</v>
      </c>
      <c r="AB4" s="646" t="s">
        <v>402</v>
      </c>
      <c r="AC4" s="646" t="s">
        <v>403</v>
      </c>
      <c r="AD4" s="646" t="s">
        <v>404</v>
      </c>
      <c r="AE4" s="646" t="s">
        <v>405</v>
      </c>
      <c r="AF4" s="646" t="s">
        <v>406</v>
      </c>
      <c r="AG4" s="647" t="s">
        <v>407</v>
      </c>
      <c r="AH4" s="648"/>
      <c r="AI4" s="649"/>
      <c r="AJ4" s="649"/>
      <c r="AK4" s="649"/>
      <c r="AL4" s="649"/>
      <c r="AM4" s="649"/>
      <c r="AN4" s="649"/>
      <c r="AO4" s="649"/>
      <c r="AP4" s="649"/>
      <c r="AQ4" s="649"/>
      <c r="AR4" s="649"/>
      <c r="AS4" s="649"/>
      <c r="AT4" s="649"/>
      <c r="AU4" s="649"/>
      <c r="AV4" s="649"/>
      <c r="AW4" s="649"/>
      <c r="AX4" s="649"/>
      <c r="AY4" s="649"/>
      <c r="AZ4" s="649"/>
      <c r="BA4" s="649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0">
        <f>+General!H22</f>
        <v>44236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7">
        <f>+General!H27</f>
        <v>3</v>
      </c>
      <c r="N5" s="607">
        <f>+General!J27</f>
        <v>2</v>
      </c>
      <c r="O5" s="182"/>
      <c r="P5" s="182"/>
      <c r="Q5" s="651">
        <f>+General!J25</f>
        <v>0</v>
      </c>
      <c r="R5" s="651" t="str">
        <f>+General!H25</f>
        <v/>
      </c>
      <c r="S5" s="652" t="str">
        <f>+General!D20</f>
        <v/>
      </c>
      <c r="T5" s="182" t="str">
        <f>+General!B23</f>
        <v/>
      </c>
      <c r="U5" s="651">
        <f>+General!D25</f>
        <v>1</v>
      </c>
      <c r="V5" s="652" t="str">
        <f>+General!D19</f>
        <v/>
      </c>
      <c r="W5" s="651">
        <f>+General!F25</f>
        <v>0</v>
      </c>
      <c r="X5" s="182"/>
      <c r="Y5" s="182"/>
      <c r="Z5" s="653">
        <f>+General!D38</f>
        <v>44280</v>
      </c>
      <c r="AA5" s="182"/>
      <c r="AB5" s="182" t="str">
        <f>+General!J38</f>
        <v>3º NIVEL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2" t="str">
        <f>+General!F20</f>
        <v/>
      </c>
      <c r="T6" s="653">
        <f>+General!C35</f>
        <v>44258</v>
      </c>
      <c r="U6" s="182"/>
      <c r="V6" s="652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2" t="str">
        <f>+General!D31</f>
        <v/>
      </c>
      <c r="T7" s="652" t="str">
        <f>+General!E36</f>
        <v/>
      </c>
      <c r="U7" s="182"/>
      <c r="V7" s="654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2" t="str">
        <f>+General!F31</f>
        <v/>
      </c>
      <c r="T8" s="182"/>
      <c r="U8" s="182"/>
      <c r="V8" s="654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5"/>
      <c r="B10" s="655" t="str">
        <f>+General!B4</f>
        <v>Arrieta Ruben Dario</v>
      </c>
      <c r="C10" s="655" t="str">
        <f>+General!D5</f>
        <v>Hombre</v>
      </c>
      <c r="D10" s="655">
        <f>+General!B5</f>
        <v>58</v>
      </c>
      <c r="E10" s="656">
        <f>+General!G4</f>
        <v>44235</v>
      </c>
      <c r="F10" s="655" t="str">
        <f>IF(F5="MÉDICO","X","")</f>
        <v>X</v>
      </c>
      <c r="G10" s="655" t="str">
        <f>IF(F5="QUIRÚRGICO","X","")</f>
        <v/>
      </c>
      <c r="H10" s="655"/>
      <c r="I10" s="655" t="str">
        <f>IF(ISDATE(I5),"X","")</f>
        <v>X</v>
      </c>
      <c r="J10" s="655"/>
      <c r="K10" s="655"/>
      <c r="L10" s="655"/>
      <c r="M10" s="655" t="str">
        <f t="shared" ref="M10:N10" si="1">IF(M5&lt;&gt;"","1","")</f>
        <v>1</v>
      </c>
      <c r="N10" s="655" t="str">
        <f t="shared" si="1"/>
        <v>1</v>
      </c>
      <c r="O10" s="655">
        <f>IFS(AND(M5="",N5=""),"",M5&gt;N5,M5,M5=N5,M5,M5&lt;N5,N5)</f>
        <v>3</v>
      </c>
      <c r="P10" s="655">
        <f>IF(OR(M10&lt;&gt;"",N10&lt;&gt;""),(O10*M10)+(O10*N10),0)</f>
        <v>6</v>
      </c>
      <c r="Q10" s="655">
        <f t="shared" ref="Q10:R10" si="2">IF(Q5="",0,Q5)</f>
        <v>0</v>
      </c>
      <c r="R10" s="655">
        <f t="shared" si="2"/>
        <v>0</v>
      </c>
      <c r="S10" s="655">
        <f>S12+S13</f>
        <v>0</v>
      </c>
      <c r="T10" s="655">
        <f>IFS(AND(T5="",AND(T6="",T7="")),0,AND(T5="SI",T7&lt;&gt;""),T7-E10,AND(T6&lt;&gt;"",T7&lt;&gt;""),T7-T6,AND(AF5="MUERTO",T6&lt;&gt;""),Z10-T6,AND(AF5="VIVO",T6&lt;&gt;""),Z10-T6)</f>
        <v>22</v>
      </c>
      <c r="U10" s="655">
        <f>IF(U5="",0,U5)</f>
        <v>1</v>
      </c>
      <c r="V10" s="655">
        <f>V12+V13</f>
        <v>0</v>
      </c>
      <c r="W10" s="655">
        <f>IF(W5="",0,W5)</f>
        <v>0</v>
      </c>
      <c r="X10" s="655">
        <f>SUM(Q10:W10)</f>
        <v>23</v>
      </c>
      <c r="Y10" s="655">
        <f>P10+X10</f>
        <v>29</v>
      </c>
      <c r="Z10" s="657">
        <f>+General!D38</f>
        <v>44280</v>
      </c>
      <c r="AA10" s="655">
        <f>+General!J43</f>
        <v>45</v>
      </c>
      <c r="AB10" s="655" t="str">
        <f>IF(AB5="ALTA K","X","")</f>
        <v/>
      </c>
      <c r="AC10" s="655" t="str">
        <f>IF(AB5="ALTA DOMICILIARIA","X","")</f>
        <v/>
      </c>
      <c r="AD10" s="655" t="str">
        <f>IF(AB5="PISO","X","")</f>
        <v/>
      </c>
      <c r="AE10" s="655" t="str">
        <f>IF(AB5="3º NIVEL","X","")</f>
        <v>X</v>
      </c>
      <c r="AF10" s="655" t="str">
        <f>IF(OR(AB5="Muerto",AF5="Muerto"),"X","")</f>
        <v/>
      </c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W10" s="655"/>
      <c r="AX10" s="655"/>
      <c r="AY10" s="655"/>
      <c r="AZ10" s="655"/>
      <c r="BA10" s="655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8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05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