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Pacientes que se utiliza VMNI o CNAFO como primera línea de tratamiento. 
En caso de no ser así se deja vacío. 
Completar todos los datos pedidos.</t>
      </text>
    </comment>
    <comment authorId="0" ref="A21">
      <text>
        <t xml:space="preserve">Pacientes que reciben VM durante su estadía. 
Sin ingresa intubado colocar la fecha en la que se IOT. 
Fecha de inicio es la fecha que inició la VM dentro o fuera de nuestra UTI. 
COMPLETAR TODOS LOS DATOS.</t>
      </text>
    </comment>
    <comment authorId="0" ref="A24">
      <text>
        <t xml:space="preserve">Si el motivo de VM no esta, colocar "SI" en otro motivo y aclarar cual es el motivo donde corresponde.
Nuevo evento= todo evento ocurrido después de 72 hs de EOT o 1 semana de desvinculación en caso de TQT.
COMPLETAR OBLIGATORIAMENTE LAS PRESTACIONES.</t>
      </text>
    </comment>
    <comment authorId="0" ref="A28">
      <text>
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</text>
    </comment>
  </commentList>
</comments>
</file>

<file path=xl/sharedStrings.xml><?xml version="1.0" encoding="utf-8"?>
<sst xmlns="http://schemas.openxmlformats.org/spreadsheetml/2006/main" count="667" uniqueCount="418">
  <si>
    <t>Servicio de Kinesiología</t>
  </si>
  <si>
    <t xml:space="preserve">Hoja Ingreso UTI </t>
  </si>
  <si>
    <t>Cama UTI</t>
  </si>
  <si>
    <t>UCO 9</t>
  </si>
  <si>
    <t>HC</t>
  </si>
  <si>
    <t>Fecha de ingreso al hospital</t>
  </si>
  <si>
    <t>SOFA / %</t>
  </si>
  <si>
    <t>Nombre y Apellido:</t>
  </si>
  <si>
    <t>Garcia Atilio Daniel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</si>
  <si>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</si>
  <si>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</si>
  <si>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</si>
  <si>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</si>
  <si>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</si>
  <si>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</si>
  <si>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</si>
  <si>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</si>
  <si>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</si>
  <si>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</si>
  <si>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</si>
  <si>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</si>
  <si>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</si>
  <si>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Motivo de ingreso:</t>
  </si>
  <si>
    <t>COVID</t>
  </si>
  <si>
    <t>Antecedentes de enfermedad actual:</t>
  </si>
  <si>
    <t>Estudios complementarios:</t>
  </si>
  <si>
    <t>SOPORTE PREVIO VMI</t>
  </si>
  <si>
    <t>&lt;- Intrucciones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</si>
  <si>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</si>
  <si>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</si>
  <si>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</si>
  <si>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</si>
  <si>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</si>
  <si>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</si>
  <si>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</si>
  <si>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</si>
  <si>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</si>
  <si>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</si>
  <si>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</si>
  <si>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</si>
  <si>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</si>
  <si>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</si>
  <si>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</si>
  <si>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</si>
  <si>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</si>
  <si>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</si>
  <si>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</si>
  <si>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</si>
  <si>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</si>
  <si>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</si>
  <si>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</si>
  <si>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</si>
  <si>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</si>
  <si>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</si>
  <si>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</si>
  <si>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</si>
  <si>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</si>
  <si>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</si>
  <si>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</si>
  <si>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</si>
  <si>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</si>
  <si>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</si>
  <si>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</si>
  <si>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Metodo PVE</t>
  </si>
  <si>
    <t>TQT-T</t>
  </si>
  <si>
    <t>Tiempo PVE (min)</t>
  </si>
  <si>
    <t>Falla EOT</t>
  </si>
  <si>
    <t>Horas a falla</t>
  </si>
  <si>
    <t>REIOT</t>
  </si>
  <si>
    <t>N° Fallas EOT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</si>
  <si>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</si>
  <si>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</si>
  <si>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</si>
  <si>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</si>
  <si>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</si>
  <si>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</si>
  <si>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</si>
  <si>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</si>
  <si>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</si>
  <si>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SIMPLE</t>
  </si>
  <si>
    <t>WIND</t>
  </si>
  <si>
    <t>DESTETE CORTO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</si>
  <si>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</si>
  <si>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</si>
  <si>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</si>
  <si>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</si>
  <si>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</si>
  <si>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</si>
  <si>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</si>
  <si>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</si>
  <si>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</si>
  <si>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</si>
  <si>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</si>
  <si>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</si>
  <si>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</si>
  <si>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</si>
  <si>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</si>
  <si>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</si>
  <si>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</si>
  <si>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</si>
  <si>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</si>
  <si>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 xml:space="preserve"> </t>
  </si>
  <si>
    <t>Complicaciones</t>
  </si>
  <si>
    <t>BNM</t>
  </si>
  <si>
    <t>SHOCK/SEPSIS</t>
  </si>
  <si>
    <t>SDRA</t>
  </si>
  <si>
    <t>DELIRIUM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</si>
  <si>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</si>
  <si>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</si>
  <si>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</si>
  <si>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</si>
  <si>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</si>
  <si>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</si>
  <si>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</si>
  <si>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</si>
  <si>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</si>
  <si>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</si>
  <si>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</si>
  <si>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</si>
  <si>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</si>
  <si>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</si>
  <si>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</si>
  <si>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</si>
  <si>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</si>
  <si>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</si>
  <si>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</si>
  <si>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</si>
  <si>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RASS 
Sedantes</t>
  </si>
  <si>
    <t>MDZ</t>
  </si>
  <si>
    <t>DEXMEDETO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</si>
  <si>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</si>
  <si>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</si>
  <si>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</si>
  <si>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QTP/HLP</t>
  </si>
  <si>
    <t>MRC 
BQNM</t>
  </si>
  <si>
    <t>ATRA</t>
  </si>
  <si>
    <t>NORA</t>
  </si>
  <si>
    <t>DOPA</t>
  </si>
  <si>
    <t>EAB</t>
  </si>
  <si>
    <t>PH</t>
  </si>
  <si>
    <t>7,45</t>
  </si>
  <si>
    <t>PaCO2</t>
  </si>
  <si>
    <t>PaO2</t>
  </si>
  <si>
    <t>HCO3</t>
  </si>
  <si>
    <t>24,9</t>
  </si>
  <si>
    <t>BE</t>
  </si>
  <si>
    <t>0,9</t>
  </si>
  <si>
    <t>SaO2</t>
  </si>
  <si>
    <t>Lac.</t>
  </si>
  <si>
    <t>FiO2</t>
  </si>
  <si>
    <t>0,4</t>
  </si>
  <si>
    <t>PaO2/FIO2</t>
  </si>
  <si>
    <t>SETEO</t>
  </si>
  <si>
    <t xml:space="preserve">Modo VM </t>
  </si>
  <si>
    <t>VC-CMV</t>
  </si>
  <si>
    <t>PC-CSV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</si>
  <si>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</si>
  <si>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</si>
  <si>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</si>
  <si>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</si>
  <si>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</si>
  <si>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</si>
  <si>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</si>
  <si>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</si>
  <si>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</si>
  <si>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</si>
  <si>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</si>
  <si>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</si>
  <si>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</si>
  <si>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</si>
  <si>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</si>
  <si>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</si>
  <si>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</si>
  <si>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</si>
  <si>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</si>
  <si>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</si>
  <si>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</si>
  <si>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</si>
  <si>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Decúbito</t>
  </si>
  <si>
    <t>SUPINO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</si>
  <si>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</si>
  <si>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</si>
  <si>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</si>
  <si>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</si>
  <si>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</si>
  <si>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</si>
  <si>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</si>
  <si>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</si>
  <si>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</si>
  <si>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</si>
  <si>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</si>
  <si>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</si>
  <si>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</si>
  <si>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</si>
  <si>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</si>
  <si>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</si>
  <si>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</si>
  <si>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</si>
  <si>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</si>
  <si>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</si>
  <si>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</si>
  <si>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</si>
  <si>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</si>
  <si>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</si>
  <si>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</si>
  <si>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</si>
  <si>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</si>
  <si>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</si>
  <si>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</si>
  <si>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</si>
  <si>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</si>
  <si>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PRONO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</si>
  <si>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</si>
  <si>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</si>
  <si>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</si>
  <si>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</si>
  <si>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</si>
  <si>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</si>
  <si>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</si>
  <si>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</si>
  <si>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</si>
  <si>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</si>
  <si>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</si>
  <si>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</si>
  <si>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</si>
  <si>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</si>
  <si>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</si>
  <si>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</si>
  <si>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</si>
  <si>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</si>
  <si>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</si>
  <si>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</si>
  <si>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</si>
  <si>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</si>
  <si>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</si>
  <si>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</si>
  <si>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</si>
  <si>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</si>
  <si>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</si>
  <si>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</si>
  <si>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</si>
  <si>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</si>
  <si>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</si>
  <si>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</si>
  <si>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</si>
  <si>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</si>
  <si>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</si>
  <si>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</si>
  <si>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</si>
  <si>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</si>
  <si>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</si>
  <si>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</si>
  <si>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</si>
  <si>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</si>
  <si>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</si>
  <si>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</si>
  <si>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</si>
  <si>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</si>
  <si>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</si>
  <si>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</si>
  <si>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de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</si>
  <si>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</si>
  <si>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</si>
  <si>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</si>
  <si>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</si>
  <si>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</si>
  <si>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</si>
  <si>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</si>
  <si>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</si>
  <si>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</si>
  <si>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</si>
  <si>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</si>
  <si>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</si>
  <si>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</si>
  <si>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</si>
  <si>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</si>
  <si>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</si>
  <si>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</si>
  <si>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</si>
  <si>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</si>
  <si>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</si>
  <si>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</si>
  <si>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</si>
  <si>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</si>
  <si>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</si>
  <si>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</si>
  <si>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</si>
  <si>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</si>
  <si>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</si>
  <si>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</si>
  <si>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</si>
  <si>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</si>
  <si>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</si>
  <si>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</si>
  <si>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</si>
  <si>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</si>
  <si>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</si>
  <si>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</si>
  <si>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</si>
  <si>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</si>
  <si>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</si>
  <si>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</si>
  <si>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</si>
  <si>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</si>
  <si>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</si>
  <si>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</si>
  <si>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</si>
  <si>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</si>
  <si>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</si>
  <si>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</si>
  <si>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</si>
  <si>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</si>
  <si>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</si>
  <si>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</si>
  <si>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</si>
  <si>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</si>
  <si>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</si>
  <si>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</si>
  <si>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</si>
  <si>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</si>
  <si>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</si>
  <si>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</si>
  <si>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</si>
  <si>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</si>
  <si>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</si>
  <si>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</si>
  <si>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</si>
  <si>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</si>
  <si>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</si>
  <si>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</si>
  <si>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</si>
  <si>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</si>
  <si>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</si>
  <si>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</si>
  <si>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</si>
  <si>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</si>
  <si>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</si>
  <si>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</si>
  <si>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</si>
  <si>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</si>
  <si>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</si>
  <si>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</si>
  <si>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</si>
  <si>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</si>
  <si>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</si>
  <si>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</si>
  <si>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</si>
  <si>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</si>
  <si>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</si>
  <si>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</si>
  <si>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</si>
  <si>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</si>
  <si>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</si>
  <si>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</si>
  <si>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</si>
  <si>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</si>
  <si>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</si>
  <si>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</si>
  <si>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</si>
  <si>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</si>
  <si>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</si>
  <si>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</si>
  <si>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</si>
  <si>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</si>
  <si>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</si>
  <si>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</si>
  <si>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</si>
  <si>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</si>
  <si>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</si>
  <si>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</si>
  <si>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</si>
  <si>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VASOPRESINA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</si>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</sst>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5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8.0"/>
      <color theme="1"/>
      <name val="Arial"/>
    </font>
    <font>
      <sz val="11.0"/>
      <color rgb="FFF7981D"/>
      <name val="Inconsolata"/>
    </font>
    <font>
      <sz val="11.0"/>
      <name val="Calibri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12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3" fillId="0" fontId="7" numFmtId="0" xfId="0" applyAlignment="1" applyBorder="1" applyFont="1">
      <alignment readingOrder="0"/>
    </xf>
    <xf borderId="35" fillId="0" fontId="2" numFmtId="0" xfId="0" applyBorder="1" applyFont="1"/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15" fillId="2" fontId="21" numFmtId="0" xfId="0" applyAlignment="1" applyBorder="1" applyFont="1">
      <alignment horizontal="left" readingOrder="0"/>
    </xf>
    <xf borderId="13" fillId="0" fontId="21" numFmtId="0" xfId="0" applyBorder="1" applyFont="1"/>
    <xf borderId="13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2" fontId="18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2" fontId="18" numFmtId="0" xfId="0" applyAlignment="1" applyBorder="1" applyFont="1">
      <alignment horizontal="left" readingOrder="0" vertical="center"/>
    </xf>
    <xf borderId="21" fillId="0" fontId="3" numFmtId="0" xfId="0" applyAlignment="1" applyBorder="1" applyFont="1">
      <alignment horizontal="center" readingOrder="0" vertical="center"/>
    </xf>
    <xf borderId="21" fillId="2" fontId="18" numFmtId="0" xfId="0" applyAlignment="1" applyBorder="1" applyFont="1">
      <alignment horizontal="left" readingOrder="0" vertical="center"/>
    </xf>
    <xf borderId="15" fillId="2" fontId="18" numFmtId="0" xfId="0" applyAlignment="1" applyBorder="1" applyFont="1">
      <alignment horizontal="left" readingOrder="0" vertical="center"/>
    </xf>
    <xf borderId="0" fillId="2" fontId="21" numFmtId="0" xfId="0" applyAlignment="1" applyFont="1">
      <alignment readingOrder="0"/>
    </xf>
    <xf borderId="3" fillId="2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 shrinkToFit="0" vertical="center" wrapText="1"/>
    </xf>
    <xf borderId="15" fillId="0" fontId="3" numFmtId="166" xfId="0" applyAlignment="1" applyBorder="1" applyFont="1" applyNumberFormat="1">
      <alignment readingOrder="0" shrinkToFit="0" vertical="center" wrapText="1"/>
    </xf>
    <xf borderId="15" fillId="2" fontId="21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6" fillId="2" fontId="18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readingOrder="0" shrinkToFit="0" vertical="center" wrapText="1"/>
    </xf>
    <xf borderId="14" fillId="2" fontId="19" numFmtId="0" xfId="0" applyAlignment="1" applyBorder="1" applyFont="1">
      <alignment readingOrder="0" shrinkToFit="0" vertical="center" wrapText="1"/>
    </xf>
    <xf borderId="35" fillId="0" fontId="7" numFmtId="0" xfId="0" applyAlignment="1" applyBorder="1" applyFont="1">
      <alignment readingOrder="0" shrinkToFit="0" vertical="center" wrapText="1"/>
    </xf>
    <xf borderId="29" fillId="2" fontId="21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0" fillId="2" fontId="21" numFmtId="0" xfId="0" applyAlignment="1" applyFont="1">
      <alignment readingOrder="0" vertical="center"/>
    </xf>
    <xf borderId="31" fillId="0" fontId="3" numFmtId="0" xfId="0" applyAlignment="1" applyBorder="1" applyFont="1">
      <alignment readingOrder="0" vertical="center"/>
    </xf>
    <xf borderId="15" fillId="2" fontId="21" numFmtId="0" xfId="0" applyAlignment="1" applyBorder="1" applyFont="1">
      <alignment readingOrder="0" vertical="center"/>
    </xf>
    <xf borderId="14" fillId="0" fontId="21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29" fillId="2" fontId="21" numFmtId="0" xfId="0" applyAlignment="1" applyBorder="1" applyFont="1">
      <alignment vertical="center"/>
    </xf>
    <xf borderId="15" fillId="0" fontId="13" numFmtId="0" xfId="0" applyAlignment="1" applyBorder="1" applyFont="1">
      <alignment readingOrder="0" vertical="center"/>
    </xf>
    <xf borderId="15" fillId="0" fontId="18" numFmtId="164" xfId="0" applyAlignment="1" applyBorder="1" applyFont="1" applyNumberFormat="1">
      <alignment readingOrder="0" vertical="center"/>
    </xf>
    <xf borderId="0" fillId="0" fontId="19" numFmtId="164" xfId="0" applyAlignment="1" applyFont="1" applyNumberFormat="1">
      <alignment readingOrder="0" vertical="center"/>
    </xf>
    <xf borderId="37" fillId="2" fontId="21" numFmtId="0" xfId="0" applyAlignment="1" applyBorder="1" applyFont="1">
      <alignment readingOrder="0" vertical="center"/>
    </xf>
    <xf borderId="15" fillId="2" fontId="19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5" fillId="3" fontId="13" numFmtId="166" xfId="0" applyAlignment="1" applyBorder="1" applyFont="1" applyNumberForma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readingOrder="0" vertical="center"/>
    </xf>
    <xf borderId="16" fillId="0" fontId="13" numFmtId="0" xfId="0" applyAlignment="1" applyBorder="1" applyFont="1">
      <alignment readingOrder="0" vertical="center"/>
    </xf>
    <xf borderId="16" fillId="0" fontId="22" numFmtId="0" xfId="0" applyAlignment="1" applyBorder="1" applyFont="1">
      <alignment readingOrder="0" vertical="center"/>
    </xf>
    <xf borderId="16" fillId="2" fontId="19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0" fillId="5" fontId="23" numFmtId="0" xfId="0" applyAlignment="1" applyFill="1" applyFont="1">
      <alignment vertical="center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25" fillId="2" fontId="21" numFmtId="0" xfId="0" applyAlignment="1" applyBorder="1" applyFont="1">
      <alignment horizontal="left"/>
    </xf>
    <xf borderId="16" fillId="3" fontId="24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5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2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2" numFmtId="0" xfId="0" applyAlignment="1" applyBorder="1" applyFont="1">
      <alignment horizontal="center" readingOrder="0" vertical="center"/>
    </xf>
    <xf borderId="24" fillId="0" fontId="22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5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6" numFmtId="0" xfId="0" applyAlignment="1" applyFont="1">
      <alignment readingOrder="0"/>
    </xf>
    <xf borderId="0" fillId="0" fontId="27" numFmtId="0" xfId="0" applyFont="1"/>
    <xf borderId="0" fillId="0" fontId="28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2" numFmtId="0" xfId="0" applyAlignment="1" applyFont="1">
      <alignment horizontal="center" readingOrder="0" vertical="center"/>
    </xf>
    <xf borderId="20" fillId="0" fontId="22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center"/>
    </xf>
    <xf borderId="57" fillId="7" fontId="3" numFmtId="166" xfId="0" applyAlignment="1" applyBorder="1" applyFill="1" applyFont="1" applyNumberFormat="1">
      <alignment horizontal="center" readingOrder="0" vertical="center"/>
    </xf>
    <xf borderId="56" fillId="0" fontId="3" numFmtId="0" xfId="0" applyAlignment="1" applyBorder="1" applyFont="1">
      <alignment horizontal="center" vertical="center"/>
    </xf>
    <xf borderId="58" fillId="0" fontId="9" numFmtId="0" xfId="0" applyAlignment="1" applyBorder="1" applyFont="1">
      <alignment horizontal="center" vertical="center"/>
    </xf>
    <xf borderId="59" fillId="0" fontId="9" numFmtId="0" xfId="0" applyAlignment="1" applyBorder="1" applyFont="1">
      <alignment horizontal="center" vertical="center"/>
    </xf>
    <xf borderId="59" fillId="7" fontId="9" numFmtId="0" xfId="0" applyAlignment="1" applyBorder="1" applyFont="1">
      <alignment horizontal="center" vertical="center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8" fillId="7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10" fillId="7" fontId="9" numFmtId="0" xfId="0" applyAlignment="1" applyBorder="1" applyFont="1">
      <alignment horizontal="center" vertical="center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vertical="center"/>
    </xf>
    <xf borderId="18" fillId="7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vertical="center"/>
    </xf>
    <xf borderId="12" fillId="7" fontId="3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vertical="center"/>
    </xf>
    <xf borderId="18" fillId="7" fontId="9" numFmtId="0" xfId="0" applyAlignment="1" applyBorder="1" applyFont="1">
      <alignment horizontal="center" readingOrder="0" vertical="center"/>
    </xf>
    <xf borderId="13" fillId="0" fontId="3" numFmtId="0" xfId="0" applyBorder="1" applyFont="1"/>
    <xf borderId="12" fillId="7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shrinkToFit="0" wrapText="1"/>
    </xf>
    <xf borderId="14" fillId="0" fontId="3" numFmtId="0" xfId="0" applyAlignment="1" applyBorder="1" applyFont="1">
      <alignment horizontal="center" vertical="center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center"/>
    </xf>
    <xf borderId="35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shrinkToFit="0" vertical="center" wrapText="1"/>
    </xf>
    <xf borderId="18" fillId="7" fontId="3" numFmtId="0" xfId="0" applyAlignment="1" applyBorder="1" applyFont="1">
      <alignment horizontal="center" vertical="center"/>
    </xf>
    <xf borderId="11" fillId="0" fontId="2" numFmtId="0" xfId="0" applyBorder="1" applyFont="1"/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7" fontId="3" numFmtId="0" xfId="0" applyAlignment="1" applyBorder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5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9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vertical="center"/>
    </xf>
    <xf borderId="48" fillId="0" fontId="9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 vertical="center"/>
    </xf>
    <xf borderId="48" fillId="7" fontId="9" numFmtId="0" xfId="0" applyAlignment="1" applyBorder="1" applyFont="1">
      <alignment horizontal="center" vertical="center"/>
    </xf>
    <xf borderId="25" fillId="0" fontId="2" numFmtId="0" xfId="0" applyBorder="1" applyFont="1"/>
    <xf borderId="63" fillId="0" fontId="3" numFmtId="0" xfId="0" applyBorder="1" applyFont="1"/>
    <xf borderId="15" fillId="0" fontId="3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63" fillId="0" fontId="3" numFmtId="0" xfId="0" applyAlignment="1" applyBorder="1" applyFont="1">
      <alignment readingOrder="0"/>
    </xf>
    <xf borderId="17" fillId="0" fontId="3" numFmtId="9" xfId="0" applyAlignment="1" applyBorder="1" applyFont="1" applyNumberFormat="1">
      <alignment horizontal="center" readingOrder="0" vertical="center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 vertical="center"/>
    </xf>
    <xf borderId="12" fillId="0" fontId="3" numFmtId="168" xfId="0" applyAlignment="1" applyBorder="1" applyFont="1" applyNumberFormat="1">
      <alignment horizontal="center" readingOrder="0" vertical="center"/>
    </xf>
    <xf borderId="17" fillId="0" fontId="3" numFmtId="168" xfId="0" applyAlignment="1" applyBorder="1" applyFont="1" applyNumberFormat="1">
      <alignment horizontal="center" readingOrder="0" vertical="center"/>
    </xf>
    <xf borderId="14" fillId="0" fontId="3" numFmtId="168" xfId="0" applyAlignment="1" applyBorder="1" applyFont="1" applyNumberFormat="1">
      <alignment horizontal="center" readingOrder="0" vertical="center"/>
    </xf>
    <xf borderId="18" fillId="7" fontId="3" numFmtId="168" xfId="0" applyAlignment="1" applyBorder="1" applyFont="1" applyNumberFormat="1">
      <alignment horizontal="center" readingOrder="0" vertical="center"/>
    </xf>
    <xf borderId="12" fillId="7" fontId="3" numFmtId="168" xfId="0" applyAlignment="1" applyBorder="1" applyFont="1" applyNumberFormat="1">
      <alignment horizontal="center" readingOrder="0" vertical="center"/>
    </xf>
    <xf borderId="15" fillId="0" fontId="3" numFmtId="168" xfId="0" applyAlignment="1" applyBorder="1" applyFont="1" applyNumberFormat="1">
      <alignment horizontal="center" readingOrder="0" vertical="center"/>
    </xf>
    <xf borderId="17" fillId="0" fontId="9" numFmtId="168" xfId="0" applyAlignment="1" applyBorder="1" applyFont="1" applyNumberFormat="1">
      <alignment horizontal="center" vertical="center"/>
    </xf>
    <xf borderId="15" fillId="0" fontId="9" numFmtId="168" xfId="0" applyAlignment="1" applyBorder="1" applyFont="1" applyNumberFormat="1">
      <alignment horizontal="center" vertical="center"/>
    </xf>
    <xf borderId="17" fillId="7" fontId="9" numFmtId="168" xfId="0" applyAlignment="1" applyBorder="1" applyFont="1" applyNumberFormat="1">
      <alignment horizontal="center" vertical="center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vertical="center"/>
    </xf>
    <xf borderId="22" fillId="7" fontId="3" numFmtId="168" xfId="0" applyAlignment="1" applyBorder="1" applyFont="1" applyNumberFormat="1">
      <alignment horizontal="center" vertical="center"/>
    </xf>
    <xf borderId="24" fillId="7" fontId="3" numFmtId="168" xfId="0" applyAlignment="1" applyBorder="1" applyFont="1" applyNumberFormat="1">
      <alignment horizontal="center" readingOrder="0" vertical="center"/>
    </xf>
    <xf borderId="23" fillId="7" fontId="3" numFmtId="168" xfId="0" applyAlignment="1" applyBorder="1" applyFont="1" applyNumberFormat="1">
      <alignment horizontal="center" vertical="center"/>
    </xf>
    <xf borderId="24" fillId="7" fontId="3" numFmtId="168" xfId="0" applyAlignment="1" applyBorder="1" applyFont="1" applyNumberFormat="1">
      <alignment horizontal="center" vertical="center"/>
    </xf>
    <xf borderId="21" fillId="7" fontId="3" numFmtId="168" xfId="0" applyAlignment="1" applyBorder="1" applyFont="1" applyNumberFormat="1">
      <alignment horizontal="center" vertical="center"/>
    </xf>
    <xf borderId="24" fillId="7" fontId="9" numFmtId="168" xfId="0" applyAlignment="1" applyBorder="1" applyFont="1" applyNumberFormat="1">
      <alignment horizontal="center" vertical="center"/>
    </xf>
    <xf borderId="21" fillId="7" fontId="9" numFmtId="168" xfId="0" applyAlignment="1" applyBorder="1" applyFont="1" applyNumberFormat="1">
      <alignment horizontal="center" vertical="center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center" vertical="center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center"/>
    </xf>
    <xf borderId="12" fillId="7" fontId="9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36" fillId="7" fontId="3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2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7" fontId="3" numFmtId="0" xfId="0" applyAlignment="1" applyBorder="1" applyFont="1">
      <alignment horizontal="center" readingOrder="0" vertical="center"/>
    </xf>
    <xf borderId="45" fillId="0" fontId="9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readingOrder="0" vertical="center"/>
    </xf>
    <xf borderId="13" fillId="0" fontId="9" numFmtId="0" xfId="0" applyAlignment="1" applyBorder="1" applyFont="1">
      <alignment horizontal="center" vertical="center"/>
    </xf>
    <xf borderId="18" fillId="0" fontId="9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readingOrder="0" vertical="center"/>
    </xf>
    <xf borderId="30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30" fillId="7" fontId="3" numFmtId="0" xfId="0" applyAlignment="1" applyBorder="1" applyFont="1">
      <alignment horizontal="center" vertical="center"/>
    </xf>
    <xf borderId="32" fillId="7" fontId="3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2" fillId="7" fontId="9" numFmtId="0" xfId="0" applyAlignment="1" applyBorder="1" applyFont="1">
      <alignment horizontal="center" vertical="center"/>
    </xf>
    <xf borderId="62" fillId="0" fontId="11" numFmtId="0" xfId="0" applyAlignment="1" applyBorder="1" applyFont="1">
      <alignment readingOrder="0" vertical="bottom"/>
    </xf>
    <xf borderId="36" fillId="0" fontId="3" numFmtId="168" xfId="0" applyAlignment="1" applyBorder="1" applyFont="1" applyNumberFormat="1">
      <alignment horizontal="center" textRotation="0" vertical="center"/>
    </xf>
    <xf borderId="32" fillId="0" fontId="3" numFmtId="168" xfId="0" applyAlignment="1" applyBorder="1" applyFont="1" applyNumberFormat="1">
      <alignment horizontal="center" textRotation="0" vertical="center"/>
    </xf>
    <xf borderId="36" fillId="7" fontId="3" numFmtId="168" xfId="0" applyAlignment="1" applyBorder="1" applyFont="1" applyNumberFormat="1">
      <alignment horizontal="center" textRotation="0" vertical="center"/>
    </xf>
    <xf borderId="32" fillId="7" fontId="3" numFmtId="168" xfId="0" applyAlignment="1" applyBorder="1" applyFont="1" applyNumberFormat="1">
      <alignment horizontal="center" textRotation="0" vertical="center"/>
    </xf>
    <xf borderId="34" fillId="7" fontId="3" numFmtId="168" xfId="0" applyAlignment="1" applyBorder="1" applyFont="1" applyNumberFormat="1">
      <alignment horizontal="center" textRotation="0" vertical="center"/>
    </xf>
    <xf borderId="25" fillId="0" fontId="22" numFmtId="0" xfId="0" applyAlignment="1" applyBorder="1" applyFont="1">
      <alignment horizontal="center" textRotation="90"/>
    </xf>
    <xf borderId="51" fillId="0" fontId="11" numFmtId="0" xfId="0" applyAlignment="1" applyBorder="1" applyFont="1">
      <alignment readingOrder="0" vertical="bottom"/>
    </xf>
    <xf borderId="23" fillId="0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readingOrder="0" textRotation="0" vertical="center"/>
    </xf>
    <xf borderId="23" fillId="7" fontId="3" numFmtId="168" xfId="0" applyAlignment="1" applyBorder="1" applyFont="1" applyNumberFormat="1">
      <alignment horizontal="center" readingOrder="0" textRotation="0" vertical="center"/>
    </xf>
    <xf borderId="23" fillId="0" fontId="3" numFmtId="168" xfId="0" applyAlignment="1" applyBorder="1" applyFont="1" applyNumberFormat="1">
      <alignment horizontal="center" textRotation="0" vertical="center"/>
    </xf>
    <xf borderId="24" fillId="0" fontId="3" numFmtId="168" xfId="0" applyAlignment="1" applyBorder="1" applyFont="1" applyNumberFormat="1">
      <alignment horizontal="center" textRotation="0" vertical="center"/>
    </xf>
    <xf borderId="24" fillId="7" fontId="3" numFmtId="168" xfId="0" applyAlignment="1" applyBorder="1" applyFont="1" applyNumberFormat="1">
      <alignment horizontal="center" readingOrder="0" textRotation="0" vertical="center"/>
    </xf>
    <xf borderId="24" fillId="7" fontId="3" numFmtId="168" xfId="0" applyAlignment="1" applyBorder="1" applyFont="1" applyNumberFormat="1">
      <alignment horizontal="center" textRotation="0" vertical="center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2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2" fillId="8" fontId="22" numFmtId="0" xfId="0" applyAlignment="1" applyBorder="1" applyFont="1">
      <alignment horizontal="center" textRotation="90"/>
    </xf>
    <xf borderId="18" fillId="8" fontId="22" numFmtId="0" xfId="0" applyAlignment="1" applyBorder="1" applyFont="1">
      <alignment horizontal="center" textRotation="90"/>
    </xf>
    <xf borderId="17" fillId="8" fontId="22" numFmtId="0" xfId="0" applyAlignment="1" applyBorder="1" applyFont="1">
      <alignment horizontal="center" textRotation="90"/>
    </xf>
    <xf borderId="14" fillId="8" fontId="22" numFmtId="0" xfId="0" applyAlignment="1" applyBorder="1" applyFont="1">
      <alignment horizontal="center" textRotation="90"/>
    </xf>
    <xf borderId="18" fillId="9" fontId="22" numFmtId="0" xfId="0" applyAlignment="1" applyBorder="1" applyFont="1">
      <alignment horizontal="center" textRotation="90"/>
    </xf>
    <xf borderId="12" fillId="9" fontId="22" numFmtId="0" xfId="0" applyAlignment="1" applyBorder="1" applyFont="1">
      <alignment horizontal="center" textRotation="90"/>
    </xf>
    <xf borderId="17" fillId="9" fontId="22" numFmtId="0" xfId="0" applyAlignment="1" applyBorder="1" applyFont="1">
      <alignment horizontal="center" textRotation="90"/>
    </xf>
    <xf borderId="35" fillId="8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29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71" fillId="8" fontId="5" numFmtId="0" xfId="0" applyAlignment="1" applyBorder="1" applyFont="1">
      <alignment readingOrder="0" vertical="center"/>
    </xf>
    <xf borderId="55" fillId="8" fontId="5" numFmtId="0" xfId="0" applyAlignment="1" applyBorder="1" applyFont="1">
      <alignment horizontal="center" vertical="center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0" numFmtId="0" xfId="0" applyAlignment="1" applyFont="1">
      <alignment horizontal="center" readingOrder="0" vertical="center"/>
    </xf>
    <xf borderId="1" fillId="11" fontId="30" numFmtId="0" xfId="0" applyAlignment="1" applyBorder="1" applyFill="1" applyFont="1">
      <alignment horizontal="center" readingOrder="0" vertical="center"/>
    </xf>
    <xf borderId="2" fillId="11" fontId="30" numFmtId="0" xfId="0" applyAlignment="1" applyBorder="1" applyFont="1">
      <alignment horizontal="center" readingOrder="0" vertical="center"/>
    </xf>
    <xf borderId="1" fillId="12" fontId="31" numFmtId="0" xfId="0" applyAlignment="1" applyBorder="1" applyFill="1" applyFont="1">
      <alignment horizontal="center" readingOrder="0" vertical="center"/>
    </xf>
    <xf borderId="38" fillId="8" fontId="31" numFmtId="0" xfId="0" applyAlignment="1" applyBorder="1" applyFont="1">
      <alignment horizontal="center" readingOrder="0" vertical="center"/>
    </xf>
    <xf borderId="38" fillId="13" fontId="31" numFmtId="0" xfId="0" applyAlignment="1" applyBorder="1" applyFill="1" applyFont="1">
      <alignment horizontal="center" readingOrder="0" vertical="center"/>
    </xf>
    <xf borderId="38" fillId="14" fontId="31" numFmtId="0" xfId="0" applyAlignment="1" applyBorder="1" applyFill="1" applyFont="1">
      <alignment horizontal="center" readingOrder="0" vertical="center"/>
    </xf>
    <xf borderId="38" fillId="15" fontId="31" numFmtId="0" xfId="0" applyAlignment="1" applyBorder="1" applyFill="1" applyFont="1">
      <alignment horizontal="center" readingOrder="0" vertical="center"/>
    </xf>
    <xf borderId="38" fillId="16" fontId="31" numFmtId="0" xfId="0" applyAlignment="1" applyBorder="1" applyFill="1" applyFont="1">
      <alignment horizontal="center" readingOrder="0" vertical="center"/>
    </xf>
    <xf borderId="38" fillId="17" fontId="31" numFmtId="0" xfId="0" applyAlignment="1" applyBorder="1" applyFill="1" applyFont="1">
      <alignment horizontal="center" readingOrder="0" vertical="center"/>
    </xf>
    <xf borderId="38" fillId="18" fontId="31" numFmtId="0" xfId="0" applyAlignment="1" applyBorder="1" applyFill="1" applyFont="1">
      <alignment horizontal="center" readingOrder="0" vertical="center"/>
    </xf>
    <xf borderId="38" fillId="19" fontId="31" numFmtId="0" xfId="0" applyAlignment="1" applyBorder="1" applyFill="1" applyFont="1">
      <alignment horizontal="center" readingOrder="0" vertical="center"/>
    </xf>
    <xf borderId="38" fillId="9" fontId="31" numFmtId="0" xfId="0" applyAlignment="1" applyBorder="1" applyFont="1">
      <alignment horizontal="center" readingOrder="0" vertical="center"/>
    </xf>
    <xf borderId="38" fillId="20" fontId="31" numFmtId="0" xfId="0" applyAlignment="1" applyBorder="1" applyFill="1" applyFont="1">
      <alignment horizontal="center" readingOrder="0" vertical="center"/>
    </xf>
    <xf borderId="38" fillId="21" fontId="31" numFmtId="0" xfId="0" applyAlignment="1" applyBorder="1" applyFill="1" applyFont="1">
      <alignment horizontal="center" readingOrder="0" vertical="center"/>
    </xf>
    <xf borderId="38" fillId="22" fontId="31" numFmtId="0" xfId="0" applyAlignment="1" applyBorder="1" applyFill="1" applyFont="1">
      <alignment horizontal="center" readingOrder="0" vertical="center"/>
    </xf>
    <xf borderId="38" fillId="23" fontId="31" numFmtId="0" xfId="0" applyAlignment="1" applyBorder="1" applyFill="1" applyFont="1">
      <alignment horizontal="center" readingOrder="0" vertical="center"/>
    </xf>
    <xf borderId="38" fillId="24" fontId="31" numFmtId="0" xfId="0" applyAlignment="1" applyBorder="1" applyFill="1" applyFont="1">
      <alignment horizontal="center" readingOrder="0" vertical="center"/>
    </xf>
    <xf borderId="38" fillId="0" fontId="31" numFmtId="0" xfId="0" applyAlignment="1" applyBorder="1" applyFont="1">
      <alignment horizontal="center" readingOrder="0" vertical="center"/>
    </xf>
    <xf borderId="38" fillId="6" fontId="31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4" fontId="31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1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34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4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2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readingOrder="0" shrinkToFit="0" vertical="center" wrapText="1"/>
    </xf>
    <xf borderId="73" fillId="14" fontId="22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3" fontId="36" numFmtId="0" xfId="0" applyAlignment="1" applyFont="1">
      <alignment horizontal="center" readingOrder="0"/>
    </xf>
    <xf borderId="0" fillId="3" fontId="9" numFmtId="0" xfId="0" applyAlignment="1" applyFont="1">
      <alignment horizontal="center"/>
    </xf>
    <xf borderId="77" fillId="34" fontId="37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8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9" numFmtId="0" xfId="0" applyAlignment="1" applyBorder="1" applyFont="1">
      <alignment vertical="center"/>
    </xf>
    <xf borderId="12" fillId="35" fontId="40" numFmtId="0" xfId="0" applyAlignment="1" applyBorder="1" applyFont="1">
      <alignment horizontal="center" shrinkToFit="0" vertical="center" wrapText="1"/>
    </xf>
    <xf borderId="12" fillId="35" fontId="41" numFmtId="49" xfId="0" applyAlignment="1" applyBorder="1" applyFont="1" applyNumberFormat="1">
      <alignment horizontal="center" shrinkToFit="0" vertical="center" wrapText="1"/>
    </xf>
    <xf borderId="15" fillId="35" fontId="39" numFmtId="49" xfId="0" applyAlignment="1" applyBorder="1" applyFont="1" applyNumberFormat="1">
      <alignment vertical="center"/>
    </xf>
    <xf borderId="0" fillId="0" fontId="39" numFmtId="0" xfId="0" applyAlignment="1" applyFont="1">
      <alignment vertical="center"/>
    </xf>
    <xf borderId="15" fillId="0" fontId="42" numFmtId="0" xfId="0" applyAlignment="1" applyBorder="1" applyFont="1">
      <alignment vertical="center"/>
    </xf>
    <xf borderId="15" fillId="35" fontId="43" numFmtId="0" xfId="0" applyAlignment="1" applyBorder="1" applyFont="1">
      <alignment horizontal="center" shrinkToFit="0" vertical="center" wrapText="1"/>
    </xf>
    <xf borderId="15" fillId="35" fontId="43" numFmtId="1" xfId="0" applyAlignment="1" applyBorder="1" applyFont="1" applyNumberFormat="1">
      <alignment horizontal="center" shrinkToFit="0" vertical="center" wrapText="1"/>
    </xf>
    <xf borderId="15" fillId="35" fontId="43" numFmtId="169" xfId="0" applyAlignment="1" applyBorder="1" applyFont="1" applyNumberFormat="1">
      <alignment horizontal="center" shrinkToFit="0" vertical="center" wrapText="1"/>
    </xf>
    <xf borderId="15" fillId="35" fontId="43" numFmtId="49" xfId="0" applyAlignment="1" applyBorder="1" applyFont="1" applyNumberFormat="1">
      <alignment horizontal="center" shrinkToFit="0" vertical="center" wrapText="1"/>
    </xf>
    <xf borderId="15" fillId="35" fontId="43" numFmtId="170" xfId="0" applyAlignment="1" applyBorder="1" applyFont="1" applyNumberFormat="1">
      <alignment horizontal="center" shrinkToFit="0" vertical="center" wrapText="1"/>
    </xf>
    <xf borderId="15" fillId="35" fontId="43" numFmtId="167" xfId="0" applyAlignment="1" applyBorder="1" applyFont="1" applyNumberFormat="1">
      <alignment horizontal="center" shrinkToFit="0" vertical="center" wrapText="1"/>
    </xf>
    <xf borderId="12" fillId="35" fontId="43" numFmtId="167" xfId="0" applyAlignment="1" applyBorder="1" applyFont="1" applyNumberFormat="1">
      <alignment horizontal="center" shrinkToFit="0" vertical="center" wrapText="1"/>
    </xf>
    <xf borderId="43" fillId="0" fontId="42" numFmtId="0" xfId="0" applyAlignment="1" applyBorder="1" applyFont="1">
      <alignment vertical="center"/>
    </xf>
    <xf borderId="0" fillId="0" fontId="42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167288.0</v>
      </c>
      <c r="E3" s="12" t="s">
        <v>5</v>
      </c>
      <c r="F3" s="13"/>
      <c r="G3" s="14">
        <v>44298.0</v>
      </c>
      <c r="H3" s="15" t="s">
        <v>6</v>
      </c>
      <c r="I3" s="16">
        <v>5.0</v>
      </c>
      <c r="J3" s="17">
        <v>2.0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44303.0</v>
      </c>
      <c r="H4" s="25" t="s">
        <v>10</v>
      </c>
      <c r="I4" s="26">
        <v>16.0</v>
      </c>
      <c r="J4" s="27">
        <v>23.4</v>
      </c>
      <c r="K4" s="18"/>
      <c r="L4" s="28"/>
    </row>
    <row r="5">
      <c r="A5" s="29" t="s">
        <v>11</v>
      </c>
      <c r="B5" s="30">
        <v>50.0</v>
      </c>
      <c r="C5" s="31" t="s">
        <v>12</v>
      </c>
      <c r="D5" s="32" t="s">
        <v>13</v>
      </c>
      <c r="E5" s="33" t="s">
        <v>14</v>
      </c>
      <c r="F5" s="22"/>
      <c r="G5" s="34">
        <v>80.0</v>
      </c>
      <c r="H5" s="35" t="s">
        <v>15</v>
      </c>
      <c r="I5" s="36">
        <v>29.0</v>
      </c>
      <c r="J5" s="27">
        <v>9.6</v>
      </c>
      <c r="K5" s="18"/>
      <c r="L5" s="28"/>
    </row>
    <row r="6">
      <c r="A6" s="37" t="s">
        <v>16</v>
      </c>
      <c r="B6" s="38">
        <v>175.0</v>
      </c>
      <c r="C6" s="39" t="s">
        <v>17</v>
      </c>
      <c r="D6" s="40">
        <f>IFS(D5="Mujer",((B6-152.4)*0.91)+45.5,D5="Hombre",((B6-152.4)*0.91)+50,D5="","")</f>
        <v>70.566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/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22</v>
      </c>
      <c r="B10" s="51" t="s">
        <v>23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24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25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26</v>
      </c>
      <c r="B18" s="2"/>
      <c r="C18" s="2"/>
      <c r="D18" s="2"/>
      <c r="E18" s="2"/>
      <c r="F18" s="2"/>
      <c r="G18" s="2"/>
      <c r="H18" s="2"/>
      <c r="I18" s="2"/>
      <c r="J18" s="52"/>
      <c r="K18" s="18" t="s">
        <v>27</v>
      </c>
    </row>
    <row r="19" ht="15.75" customHeight="1">
      <c r="A19" s="61" t="s">
        <v>28</v>
      </c>
      <c r="B19" s="62"/>
      <c r="C19" s="63" t="s">
        <v>29</v>
      </c>
      <c r="D19" s="64"/>
      <c r="E19" s="61" t="s">
        <v>30</v>
      </c>
      <c r="F19" s="64"/>
      <c r="G19" s="61" t="s">
        <v>31</v>
      </c>
      <c r="H19" s="65"/>
      <c r="I19" s="61" t="s">
        <v>32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33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32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34</v>
      </c>
      <c r="B21" s="2"/>
      <c r="C21" s="2"/>
      <c r="D21" s="2"/>
      <c r="E21" s="2"/>
      <c r="F21" s="2"/>
      <c r="G21" s="2"/>
      <c r="H21" s="2"/>
      <c r="I21" s="2"/>
      <c r="J21" s="52"/>
      <c r="K21" s="18" t="s">
        <v>27</v>
      </c>
    </row>
    <row r="22" ht="14.25" customHeight="1">
      <c r="A22" s="61" t="s">
        <v>35</v>
      </c>
      <c r="B22" s="73">
        <v>44304.0</v>
      </c>
      <c r="C22" s="74" t="s">
        <v>36</v>
      </c>
      <c r="D22" s="75">
        <v>8.0</v>
      </c>
      <c r="E22" s="74" t="s">
        <v>37</v>
      </c>
      <c r="F22" s="32">
        <v>24.0</v>
      </c>
      <c r="G22" s="74" t="s">
        <v>38</v>
      </c>
      <c r="H22" s="73">
        <v>44304.0</v>
      </c>
      <c r="I22" s="76" t="s">
        <v>39</v>
      </c>
      <c r="J22" s="77">
        <v>44330.0</v>
      </c>
      <c r="K22" s="78"/>
      <c r="M22" s="78"/>
    </row>
    <row r="23" ht="15.75" customHeight="1">
      <c r="A23" s="70" t="s">
        <v>40</v>
      </c>
      <c r="B23" s="79"/>
      <c r="C23" s="80" t="s">
        <v>41</v>
      </c>
      <c r="D23" s="79"/>
      <c r="E23" s="81" t="s">
        <v>42</v>
      </c>
      <c r="F23" s="82"/>
      <c r="G23" s="83" t="s">
        <v>43</v>
      </c>
      <c r="H23" s="84"/>
      <c r="I23" s="85" t="s">
        <v>44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45</v>
      </c>
      <c r="B24" s="2"/>
      <c r="C24" s="2"/>
      <c r="D24" s="2"/>
      <c r="E24" s="2"/>
      <c r="F24" s="2"/>
      <c r="G24" s="2"/>
      <c r="H24" s="2"/>
      <c r="I24" s="2"/>
      <c r="J24" s="52"/>
      <c r="K24" s="18" t="s">
        <v>27</v>
      </c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46</v>
      </c>
      <c r="B25" s="75" t="s">
        <v>47</v>
      </c>
      <c r="C25" s="61" t="s">
        <v>48</v>
      </c>
      <c r="D25" s="87"/>
      <c r="E25" s="88" t="s">
        <v>49</v>
      </c>
      <c r="F25" s="89"/>
      <c r="G25" s="21"/>
      <c r="H25" s="21"/>
      <c r="I25" s="21"/>
      <c r="J25" s="90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50</v>
      </c>
      <c r="B26" s="91"/>
      <c r="C26" s="92" t="s">
        <v>51</v>
      </c>
      <c r="D26" s="93"/>
      <c r="E26" s="94" t="s">
        <v>52</v>
      </c>
      <c r="F26" s="95"/>
      <c r="G26" s="92" t="s">
        <v>53</v>
      </c>
      <c r="H26" s="96">
        <v>3.0</v>
      </c>
      <c r="I26" s="92" t="s">
        <v>54</v>
      </c>
      <c r="J26" s="97">
        <v>3.0</v>
      </c>
    </row>
    <row r="27" ht="16.5" customHeight="1">
      <c r="A27" s="98" t="s">
        <v>55</v>
      </c>
      <c r="B27" s="99">
        <v>1.0</v>
      </c>
      <c r="C27" s="100" t="s">
        <v>56</v>
      </c>
      <c r="D27" s="101">
        <v>0.0</v>
      </c>
      <c r="E27" s="102" t="s">
        <v>57</v>
      </c>
      <c r="F27" s="101">
        <v>0.0</v>
      </c>
      <c r="G27" s="103" t="s">
        <v>58</v>
      </c>
      <c r="H27" s="99">
        <v>0.0</v>
      </c>
      <c r="I27" s="104"/>
      <c r="J27" s="10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59</v>
      </c>
      <c r="B28" s="2"/>
      <c r="C28" s="2"/>
      <c r="D28" s="2"/>
      <c r="E28" s="2"/>
      <c r="F28" s="2"/>
      <c r="G28" s="2"/>
      <c r="H28" s="2"/>
      <c r="I28" s="2"/>
      <c r="J28" s="52"/>
      <c r="K28" s="18" t="s">
        <v>27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21.75" customHeight="1">
      <c r="A29" s="106" t="s">
        <v>60</v>
      </c>
      <c r="B29" s="107">
        <v>44330.0</v>
      </c>
      <c r="C29" s="108" t="s">
        <v>61</v>
      </c>
      <c r="D29" s="107"/>
      <c r="E29" s="108" t="s">
        <v>62</v>
      </c>
      <c r="F29" s="109"/>
      <c r="G29" s="110" t="s">
        <v>63</v>
      </c>
      <c r="H29" s="111" t="s">
        <v>64</v>
      </c>
      <c r="I29" s="112" t="s">
        <v>65</v>
      </c>
      <c r="J29" s="113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14" t="s">
        <v>66</v>
      </c>
      <c r="B30" s="115"/>
      <c r="C30" s="88" t="s">
        <v>67</v>
      </c>
      <c r="D30" s="116"/>
      <c r="E30" s="117" t="s">
        <v>68</v>
      </c>
      <c r="F30" s="118"/>
      <c r="G30" s="119" t="s">
        <v>46</v>
      </c>
      <c r="H30" s="120"/>
      <c r="I30" s="88" t="s">
        <v>69</v>
      </c>
      <c r="J30" s="121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22" t="s">
        <v>70</v>
      </c>
      <c r="B31" s="123"/>
      <c r="C31" s="119" t="s">
        <v>71</v>
      </c>
      <c r="D31" s="124"/>
      <c r="E31" s="119" t="s">
        <v>72</v>
      </c>
      <c r="F31" s="125"/>
      <c r="G31" s="126" t="s">
        <v>73</v>
      </c>
      <c r="H31" s="115"/>
      <c r="I31" s="127" t="s">
        <v>74</v>
      </c>
      <c r="J31" s="128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22" t="s">
        <v>75</v>
      </c>
      <c r="B32" s="99"/>
      <c r="C32" s="88" t="s">
        <v>71</v>
      </c>
      <c r="D32" s="129"/>
      <c r="E32" s="88" t="s">
        <v>72</v>
      </c>
      <c r="F32" s="129"/>
      <c r="G32" s="119" t="s">
        <v>73</v>
      </c>
      <c r="H32" s="99"/>
      <c r="I32" s="127" t="s">
        <v>76</v>
      </c>
      <c r="J32" s="130"/>
    </row>
    <row r="33" ht="15.75" customHeight="1">
      <c r="A33" s="131" t="s">
        <v>77</v>
      </c>
      <c r="B33" s="132">
        <v>1.0</v>
      </c>
      <c r="C33" s="131" t="s">
        <v>78</v>
      </c>
      <c r="D33" s="133" t="s">
        <v>79</v>
      </c>
      <c r="E33" s="134" t="s">
        <v>80</v>
      </c>
      <c r="F33" s="135" t="s">
        <v>81</v>
      </c>
      <c r="G33" s="136"/>
      <c r="J33" s="7"/>
    </row>
    <row r="34" ht="21.0" customHeight="1">
      <c r="A34" s="137" t="s">
        <v>82</v>
      </c>
      <c r="B34" s="138"/>
      <c r="C34" s="138"/>
      <c r="D34" s="138"/>
      <c r="E34" s="138"/>
      <c r="F34" s="138"/>
      <c r="G34" s="138"/>
      <c r="H34" s="138"/>
      <c r="I34" s="138"/>
      <c r="J34" s="1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40" t="s">
        <v>83</v>
      </c>
      <c r="B35" s="141"/>
      <c r="C35" s="142">
        <v>44321.0</v>
      </c>
      <c r="D35" s="143" t="s">
        <v>84</v>
      </c>
      <c r="E35" s="144" t="s">
        <v>85</v>
      </c>
      <c r="F35" s="145" t="s">
        <v>86</v>
      </c>
      <c r="G35" s="141"/>
      <c r="H35" s="146"/>
      <c r="I35" s="88" t="s">
        <v>87</v>
      </c>
      <c r="J35" s="147"/>
    </row>
    <row r="36" ht="15.75" customHeight="1">
      <c r="A36" s="148" t="s">
        <v>88</v>
      </c>
      <c r="C36" s="149" t="s">
        <v>89</v>
      </c>
      <c r="D36" s="150" t="s">
        <v>90</v>
      </c>
      <c r="E36" s="151"/>
      <c r="F36" s="152" t="s">
        <v>91</v>
      </c>
      <c r="G36" s="153"/>
      <c r="H36" s="154"/>
      <c r="I36" s="154"/>
      <c r="J36" s="48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55" t="s">
        <v>92</v>
      </c>
      <c r="B37" s="156"/>
      <c r="C37" s="156"/>
      <c r="D37" s="156"/>
      <c r="E37" s="156"/>
      <c r="F37" s="156"/>
      <c r="G37" s="156"/>
      <c r="H37" s="156"/>
      <c r="I37" s="156"/>
      <c r="J37" s="157"/>
      <c r="L37" s="158"/>
    </row>
    <row r="38" ht="15.75" customHeight="1">
      <c r="A38" s="159" t="s">
        <v>93</v>
      </c>
      <c r="B38" s="160" t="s">
        <v>94</v>
      </c>
      <c r="C38" s="143" t="s">
        <v>95</v>
      </c>
      <c r="D38" s="142">
        <v>44336.0</v>
      </c>
      <c r="E38" s="161"/>
      <c r="F38" s="162" t="s">
        <v>96</v>
      </c>
      <c r="G38" s="141"/>
      <c r="H38" s="160" t="s">
        <v>89</v>
      </c>
      <c r="I38" s="163" t="s">
        <v>97</v>
      </c>
      <c r="J38" s="164" t="s">
        <v>98</v>
      </c>
      <c r="L38" s="158"/>
    </row>
    <row r="39" ht="18.0" customHeight="1">
      <c r="A39" s="165" t="s">
        <v>99</v>
      </c>
      <c r="B39" s="149" t="s">
        <v>89</v>
      </c>
      <c r="C39" s="166" t="s">
        <v>95</v>
      </c>
      <c r="D39" s="167"/>
      <c r="E39" s="168"/>
      <c r="F39" s="169" t="s">
        <v>100</v>
      </c>
      <c r="G39" s="170"/>
      <c r="H39" s="171"/>
      <c r="I39" s="172"/>
      <c r="J39" s="173"/>
      <c r="M39" s="18" t="s">
        <v>101</v>
      </c>
    </row>
    <row r="40" ht="18.0" customHeight="1">
      <c r="A40" s="174" t="s">
        <v>102</v>
      </c>
      <c r="B40" s="175" t="s">
        <v>103</v>
      </c>
      <c r="C40" s="175" t="s">
        <v>104</v>
      </c>
      <c r="D40" s="175" t="s">
        <v>105</v>
      </c>
      <c r="E40" s="175" t="s">
        <v>106</v>
      </c>
      <c r="F40" s="175"/>
      <c r="G40" s="175"/>
      <c r="H40" s="175"/>
      <c r="I40" s="175"/>
      <c r="J40" s="176"/>
    </row>
    <row r="41" ht="17.25" customHeight="1">
      <c r="A41" s="177"/>
      <c r="B41" s="178"/>
      <c r="C41" s="178"/>
      <c r="D41" s="178"/>
      <c r="E41" s="178"/>
      <c r="F41" s="178"/>
      <c r="G41" s="178"/>
      <c r="H41" s="178"/>
      <c r="I41" s="178"/>
      <c r="J41" s="179"/>
    </row>
    <row r="42" ht="33.75" customHeight="1">
      <c r="A42" s="180" t="s">
        <v>107</v>
      </c>
      <c r="B42" s="181" t="s">
        <v>108</v>
      </c>
      <c r="C42" s="181" t="s">
        <v>109</v>
      </c>
      <c r="D42" s="181" t="s">
        <v>110</v>
      </c>
      <c r="E42" s="182" t="s">
        <v>103</v>
      </c>
      <c r="F42" s="181" t="s">
        <v>111</v>
      </c>
      <c r="G42" s="183" t="s">
        <v>112</v>
      </c>
      <c r="H42" s="183" t="s">
        <v>113</v>
      </c>
      <c r="I42" s="184" t="s">
        <v>114</v>
      </c>
      <c r="J42" s="185" t="s">
        <v>115</v>
      </c>
    </row>
    <row r="43" ht="15.75" customHeight="1">
      <c r="A43" s="186" t="s">
        <v>116</v>
      </c>
      <c r="B43" s="187">
        <f>+Monitoreo!F66</f>
        <v>24</v>
      </c>
      <c r="C43" s="187">
        <f>+Monitoreo!C66</f>
        <v>20</v>
      </c>
      <c r="D43" s="187">
        <f>+Monitoreo!I66</f>
        <v>9</v>
      </c>
      <c r="E43" s="187">
        <f>+Monitoreo!P70</f>
        <v>3</v>
      </c>
      <c r="F43" s="187">
        <f>+Monitoreo!M66</f>
        <v>0</v>
      </c>
      <c r="G43" s="187">
        <f>+Monitoreo!M70</f>
        <v>14</v>
      </c>
      <c r="H43" s="188">
        <f>IFS(B22="","",B30=B22,"1",B30&gt;0,B30-B22,C35&gt;0,C35-B22,D38&gt;0,D38-B22,B22&gt;0,TODAY()-B22)</f>
        <v>17</v>
      </c>
      <c r="I43" s="189">
        <f>IFS(H22="","",H22=J22,"1",J22&gt;0,J22-H22,H22&gt;0,TODAY()-H22)</f>
        <v>26</v>
      </c>
      <c r="J43" s="190">
        <f>IFS(G4="","",G4=D38,"1",D38&gt;0,D38-G4,G4&gt;0,TODAY()-G4)</f>
        <v>33</v>
      </c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</row>
    <row r="44" ht="15.75" customHeight="1">
      <c r="G44" s="56"/>
      <c r="H44" s="56"/>
    </row>
    <row r="45" ht="15.75" customHeight="1">
      <c r="G45" s="56"/>
      <c r="H45" s="192"/>
    </row>
    <row r="46" ht="15.75" customHeight="1">
      <c r="A46" s="193"/>
      <c r="B46" s="194"/>
      <c r="C46" s="194"/>
      <c r="D46" s="194"/>
      <c r="E46" s="194"/>
      <c r="F46" s="194"/>
      <c r="G46" s="194"/>
      <c r="H46" s="194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B3 B4 B6 D3 D5 D6 G3 G4 G5 G6 I3 I4 I5 J3 J4 J5 J6">
    <cfRule type="notContainsBlanks" dxfId="2" priority="3">
      <formula>LEN(TRIM(B3))&gt;0</formula>
    </cfRule>
  </conditionalFormatting>
  <conditionalFormatting sqref="B3">
    <cfRule type="expression" dxfId="3" priority="4">
      <formula>B38&lt;&gt;""</formula>
    </cfRule>
  </conditionalFormatting>
  <conditionalFormatting sqref="B4:D4">
    <cfRule type="expression" dxfId="3" priority="5">
      <formula>B38&lt;&gt;""</formula>
    </cfRule>
  </conditionalFormatting>
  <conditionalFormatting sqref="B5">
    <cfRule type="notContainsBlanks" dxfId="2" priority="6">
      <formula>LEN(TRIM(B5))&gt;0</formula>
    </cfRule>
  </conditionalFormatting>
  <conditionalFormatting sqref="B5">
    <cfRule type="expression" dxfId="3" priority="7">
      <formula>B38&lt;&gt;""</formula>
    </cfRule>
  </conditionalFormatting>
  <conditionalFormatting sqref="B6">
    <cfRule type="expression" dxfId="3" priority="8">
      <formula>B38&lt;&gt;""</formula>
    </cfRule>
  </conditionalFormatting>
  <conditionalFormatting sqref="D3">
    <cfRule type="expression" dxfId="3" priority="9">
      <formula>B38&lt;&gt;""</formula>
    </cfRule>
  </conditionalFormatting>
  <conditionalFormatting sqref="D5">
    <cfRule type="expression" dxfId="3" priority="10">
      <formula>B38&lt;&gt;""</formula>
    </cfRule>
  </conditionalFormatting>
  <conditionalFormatting sqref="D6">
    <cfRule type="expression" dxfId="3" priority="11">
      <formula>B38&lt;&gt;""</formula>
    </cfRule>
  </conditionalFormatting>
  <conditionalFormatting sqref="G3">
    <cfRule type="expression" dxfId="3" priority="12">
      <formula>B38&lt;&gt;""</formula>
    </cfRule>
  </conditionalFormatting>
  <conditionalFormatting sqref="G4">
    <cfRule type="expression" dxfId="3" priority="13">
      <formula>B38&lt;&gt;""</formula>
    </cfRule>
  </conditionalFormatting>
  <conditionalFormatting sqref="G5">
    <cfRule type="expression" dxfId="3" priority="14">
      <formula>B38&lt;&gt;""</formula>
    </cfRule>
  </conditionalFormatting>
  <conditionalFormatting sqref="G6:H6">
    <cfRule type="expression" dxfId="3" priority="15">
      <formula>B38&lt;&gt;""</formula>
    </cfRule>
  </conditionalFormatting>
  <conditionalFormatting sqref="I3">
    <cfRule type="expression" dxfId="3" priority="16">
      <formula>B38&lt;&gt;""</formula>
    </cfRule>
  </conditionalFormatting>
  <conditionalFormatting sqref="J3">
    <cfRule type="expression" dxfId="3" priority="17">
      <formula>B38&lt;&gt;""</formula>
    </cfRule>
  </conditionalFormatting>
  <conditionalFormatting sqref="I4">
    <cfRule type="expression" dxfId="3" priority="18">
      <formula>B38&lt;&gt;""</formula>
    </cfRule>
  </conditionalFormatting>
  <conditionalFormatting sqref="J4">
    <cfRule type="expression" dxfId="3" priority="19">
      <formula>B38&lt;&gt;""</formula>
    </cfRule>
  </conditionalFormatting>
  <conditionalFormatting sqref="I5">
    <cfRule type="expression" dxfId="3" priority="20">
      <formula>B38&lt;&gt;""</formula>
    </cfRule>
  </conditionalFormatting>
  <conditionalFormatting sqref="J5">
    <cfRule type="expression" dxfId="3" priority="21">
      <formula>B38&lt;&gt;""</formula>
    </cfRule>
  </conditionalFormatting>
  <conditionalFormatting sqref="J6">
    <cfRule type="expression" dxfId="3" priority="22">
      <formula>B38&lt;&gt;""</formula>
    </cfRule>
  </conditionalFormatting>
  <conditionalFormatting sqref="B10:E10">
    <cfRule type="notContainsBlanks" dxfId="2" priority="23">
      <formula>LEN(TRIM(B10))&gt;0</formula>
    </cfRule>
  </conditionalFormatting>
  <conditionalFormatting sqref="B10:E10">
    <cfRule type="expression" dxfId="3" priority="24">
      <formula>B38&lt;&gt;""</formula>
    </cfRule>
  </conditionalFormatting>
  <conditionalFormatting sqref="H26">
    <cfRule type="notContainsBlanks" dxfId="2" priority="25">
      <formula>LEN(TRIM(H26))&gt;0</formula>
    </cfRule>
  </conditionalFormatting>
  <conditionalFormatting sqref="H26">
    <cfRule type="expression" dxfId="3" priority="26">
      <formula>B38&lt;&gt;""</formula>
    </cfRule>
  </conditionalFormatting>
  <conditionalFormatting sqref="J26">
    <cfRule type="notContainsBlanks" dxfId="2" priority="27">
      <formula>LEN(TRIM(J26))&gt;0</formula>
    </cfRule>
  </conditionalFormatting>
  <conditionalFormatting sqref="J26">
    <cfRule type="expression" dxfId="3" priority="28">
      <formula>B38&lt;&gt;""</formula>
    </cfRule>
  </conditionalFormatting>
  <conditionalFormatting sqref="B27">
    <cfRule type="notContainsBlanks" dxfId="2" priority="29">
      <formula>LEN(TRIM(B27))&gt;0</formula>
    </cfRule>
  </conditionalFormatting>
  <conditionalFormatting sqref="B27">
    <cfRule type="expression" dxfId="3" priority="30">
      <formula>B38&lt;&gt;""</formula>
    </cfRule>
  </conditionalFormatting>
  <conditionalFormatting sqref="D27">
    <cfRule type="notContainsBlanks" dxfId="2" priority="31">
      <formula>LEN(TRIM(D27))&gt;0</formula>
    </cfRule>
  </conditionalFormatting>
  <conditionalFormatting sqref="D27">
    <cfRule type="expression" dxfId="3" priority="32">
      <formula>B38&lt;&gt;""</formula>
    </cfRule>
  </conditionalFormatting>
  <conditionalFormatting sqref="F27">
    <cfRule type="notContainsBlanks" dxfId="2" priority="33">
      <formula>LEN(TRIM(F27))&gt;0</formula>
    </cfRule>
  </conditionalFormatting>
  <conditionalFormatting sqref="F27">
    <cfRule type="expression" dxfId="3" priority="34">
      <formula>B38&lt;&gt;""</formula>
    </cfRule>
  </conditionalFormatting>
  <conditionalFormatting sqref="H27">
    <cfRule type="notContainsBlanks" dxfId="2" priority="35">
      <formula>LEN(TRIM(H27))&gt;0</formula>
    </cfRule>
  </conditionalFormatting>
  <conditionalFormatting sqref="H27">
    <cfRule type="expression" dxfId="3" priority="36">
      <formula>B38&lt;&gt;""</formula>
    </cfRule>
  </conditionalFormatting>
  <conditionalFormatting sqref="D19">
    <cfRule type="notContainsBlanks" dxfId="2" priority="37">
      <formula>LEN(TRIM(D19))&gt;0</formula>
    </cfRule>
  </conditionalFormatting>
  <conditionalFormatting sqref="D19">
    <cfRule type="expression" dxfId="3" priority="38">
      <formula>B19&lt;&gt;""</formula>
    </cfRule>
  </conditionalFormatting>
  <conditionalFormatting sqref="F19">
    <cfRule type="notContainsBlanks" dxfId="2" priority="39">
      <formula>LEN(TRIM(F19))&gt;0</formula>
    </cfRule>
  </conditionalFormatting>
  <conditionalFormatting sqref="F19">
    <cfRule type="expression" dxfId="3" priority="40">
      <formula>D19&lt;&gt;""</formula>
    </cfRule>
  </conditionalFormatting>
  <conditionalFormatting sqref="H19">
    <cfRule type="notContainsBlanks" dxfId="2" priority="41">
      <formula>LEN(TRIM(H19))&gt;0</formula>
    </cfRule>
  </conditionalFormatting>
  <conditionalFormatting sqref="H19">
    <cfRule type="expression" dxfId="3" priority="42">
      <formula>F19&lt;&gt;""</formula>
    </cfRule>
  </conditionalFormatting>
  <conditionalFormatting sqref="J19">
    <cfRule type="notContainsBlanks" dxfId="2" priority="43">
      <formula>LEN(TRIM(J19))&gt;0</formula>
    </cfRule>
  </conditionalFormatting>
  <conditionalFormatting sqref="J19">
    <cfRule type="expression" dxfId="3" priority="44">
      <formula>H19="SI"</formula>
    </cfRule>
  </conditionalFormatting>
  <conditionalFormatting sqref="D20">
    <cfRule type="notContainsBlanks" dxfId="2" priority="45">
      <formula>LEN(TRIM(D20))&gt;0</formula>
    </cfRule>
  </conditionalFormatting>
  <conditionalFormatting sqref="D20">
    <cfRule type="expression" dxfId="3" priority="46">
      <formula>B20&lt;&gt;""</formula>
    </cfRule>
  </conditionalFormatting>
  <conditionalFormatting sqref="F20">
    <cfRule type="notContainsBlanks" dxfId="2" priority="47">
      <formula>LEN(TRIM(F20))&gt;0</formula>
    </cfRule>
  </conditionalFormatting>
  <conditionalFormatting sqref="F20">
    <cfRule type="expression" dxfId="3" priority="48">
      <formula>D20&lt;&gt;""</formula>
    </cfRule>
  </conditionalFormatting>
  <conditionalFormatting sqref="H20">
    <cfRule type="notContainsBlanks" dxfId="2" priority="49">
      <formula>LEN(TRIM(H20))&gt;0</formula>
    </cfRule>
  </conditionalFormatting>
  <conditionalFormatting sqref="H20">
    <cfRule type="expression" dxfId="3" priority="50">
      <formula>F20&lt;&gt;""</formula>
    </cfRule>
  </conditionalFormatting>
  <conditionalFormatting sqref="J20">
    <cfRule type="notContainsBlanks" dxfId="2" priority="51">
      <formula>LEN(TRIM(J20))&gt;0</formula>
    </cfRule>
  </conditionalFormatting>
  <conditionalFormatting sqref="J20">
    <cfRule type="expression" dxfId="3" priority="52">
      <formula>H20="SI"</formula>
    </cfRule>
  </conditionalFormatting>
  <conditionalFormatting sqref="F29">
    <cfRule type="notContainsBlanks" dxfId="2" priority="53">
      <formula>LEN(TRIM(F29))&gt;0</formula>
    </cfRule>
  </conditionalFormatting>
  <conditionalFormatting sqref="F29">
    <cfRule type="expression" dxfId="3" priority="54">
      <formula>D29&lt;&gt;""</formula>
    </cfRule>
  </conditionalFormatting>
  <conditionalFormatting sqref="H29">
    <cfRule type="notContainsBlanks" dxfId="2" priority="55">
      <formula>LEN(TRIM(H29))&gt;0</formula>
    </cfRule>
  </conditionalFormatting>
  <conditionalFormatting sqref="H29">
    <cfRule type="expression" dxfId="3" priority="56">
      <formula>D29&lt;&gt;""</formula>
    </cfRule>
  </conditionalFormatting>
  <conditionalFormatting sqref="J29">
    <cfRule type="notContainsBlanks" dxfId="2" priority="57">
      <formula>LEN(TRIM(J29))&gt;0</formula>
    </cfRule>
  </conditionalFormatting>
  <conditionalFormatting sqref="J29">
    <cfRule type="expression" dxfId="3" priority="58">
      <formula>D29&lt;&gt;""</formula>
    </cfRule>
  </conditionalFormatting>
  <conditionalFormatting sqref="B30">
    <cfRule type="notContainsBlanks" dxfId="2" priority="59">
      <formula>LEN(TRIM(B30))&gt;0</formula>
    </cfRule>
  </conditionalFormatting>
  <conditionalFormatting sqref="B30">
    <cfRule type="expression" dxfId="3" priority="60">
      <formula>D29&lt;&gt;""</formula>
    </cfRule>
  </conditionalFormatting>
  <conditionalFormatting sqref="D30">
    <cfRule type="notContainsBlanks" dxfId="2" priority="61">
      <formula>LEN(TRIM(D30))&gt;0</formula>
    </cfRule>
  </conditionalFormatting>
  <conditionalFormatting sqref="D30">
    <cfRule type="expression" dxfId="3" priority="62">
      <formula>B30="SI"</formula>
    </cfRule>
  </conditionalFormatting>
  <conditionalFormatting sqref="F30">
    <cfRule type="notContainsBlanks" dxfId="2" priority="63">
      <formula>LEN(TRIM(F30))&gt;0</formula>
    </cfRule>
  </conditionalFormatting>
  <conditionalFormatting sqref="F30">
    <cfRule type="expression" dxfId="3" priority="64">
      <formula>B30="SI"</formula>
    </cfRule>
  </conditionalFormatting>
  <conditionalFormatting sqref="H30">
    <cfRule type="notContainsBlanks" dxfId="2" priority="65">
      <formula>LEN(TRIM(H30))&gt;0</formula>
    </cfRule>
  </conditionalFormatting>
  <conditionalFormatting sqref="H30">
    <cfRule type="expression" dxfId="3" priority="66">
      <formula>F30="SI"</formula>
    </cfRule>
  </conditionalFormatting>
  <conditionalFormatting sqref="J30">
    <cfRule type="notContainsBlanks" dxfId="2" priority="67">
      <formula>LEN(TRIM(J30))&gt;0</formula>
    </cfRule>
  </conditionalFormatting>
  <conditionalFormatting sqref="J30">
    <cfRule type="expression" dxfId="3" priority="68">
      <formula>D29&lt;&gt;""</formula>
    </cfRule>
  </conditionalFormatting>
  <conditionalFormatting sqref="D31">
    <cfRule type="notContainsBlanks" dxfId="2" priority="69">
      <formula>LEN(TRIM(D31))&gt;0</formula>
    </cfRule>
  </conditionalFormatting>
  <conditionalFormatting sqref="D31">
    <cfRule type="expression" dxfId="3" priority="70">
      <formula>B31&lt;&gt;""</formula>
    </cfRule>
  </conditionalFormatting>
  <conditionalFormatting sqref="F31">
    <cfRule type="notContainsBlanks" dxfId="2" priority="71">
      <formula>LEN(TRIM(F31))&gt;0</formula>
    </cfRule>
  </conditionalFormatting>
  <conditionalFormatting sqref="F31">
    <cfRule type="expression" dxfId="3" priority="72">
      <formula>D31&lt;&gt;""</formula>
    </cfRule>
  </conditionalFormatting>
  <conditionalFormatting sqref="H31">
    <cfRule type="notContainsBlanks" dxfId="2" priority="73">
      <formula>LEN(TRIM(H31))&gt;0</formula>
    </cfRule>
  </conditionalFormatting>
  <conditionalFormatting sqref="H31">
    <cfRule type="expression" dxfId="3" priority="74">
      <formula>F31&lt;&gt;""</formula>
    </cfRule>
  </conditionalFormatting>
  <conditionalFormatting sqref="J31">
    <cfRule type="notContainsBlanks" dxfId="2" priority="75">
      <formula>LEN(TRIM(J31))&gt;0</formula>
    </cfRule>
  </conditionalFormatting>
  <conditionalFormatting sqref="J31">
    <cfRule type="expression" dxfId="3" priority="76">
      <formula>H31="SI"</formula>
    </cfRule>
  </conditionalFormatting>
  <conditionalFormatting sqref="D32">
    <cfRule type="notContainsBlanks" dxfId="2" priority="77">
      <formula>LEN(TRIM(D32))&gt;0</formula>
    </cfRule>
  </conditionalFormatting>
  <conditionalFormatting sqref="D32">
    <cfRule type="expression" dxfId="3" priority="78">
      <formula>B32&lt;&gt;""</formula>
    </cfRule>
  </conditionalFormatting>
  <conditionalFormatting sqref="F32">
    <cfRule type="notContainsBlanks" dxfId="2" priority="79">
      <formula>LEN(TRIM(F32))&gt;0</formula>
    </cfRule>
  </conditionalFormatting>
  <conditionalFormatting sqref="F32">
    <cfRule type="expression" dxfId="3" priority="80">
      <formula>D32&lt;&gt;""</formula>
    </cfRule>
  </conditionalFormatting>
  <conditionalFormatting sqref="H32">
    <cfRule type="notContainsBlanks" dxfId="2" priority="81">
      <formula>LEN(TRIM(H32))&gt;0</formula>
    </cfRule>
  </conditionalFormatting>
  <conditionalFormatting sqref="H32">
    <cfRule type="expression" dxfId="3" priority="82">
      <formula>F32&lt;&gt;""</formula>
    </cfRule>
  </conditionalFormatting>
  <conditionalFormatting sqref="J32">
    <cfRule type="notContainsBlanks" dxfId="2" priority="83">
      <formula>LEN(TRIM(J32))&gt;0</formula>
    </cfRule>
  </conditionalFormatting>
  <conditionalFormatting sqref="J32">
    <cfRule type="expression" dxfId="3" priority="84">
      <formula>H32="SI"</formula>
    </cfRule>
  </conditionalFormatting>
  <conditionalFormatting sqref="B33">
    <cfRule type="notContainsBlanks" dxfId="2" priority="85">
      <formula>LEN(TRIM(B33))&gt;0</formula>
    </cfRule>
  </conditionalFormatting>
  <conditionalFormatting sqref="B33">
    <cfRule type="expression" dxfId="3" priority="86">
      <formula>B38&lt;&gt;""</formula>
    </cfRule>
  </conditionalFormatting>
  <conditionalFormatting sqref="D33">
    <cfRule type="notContainsBlanks" dxfId="2" priority="87">
      <formula>LEN(TRIM(D33))&gt;0</formula>
    </cfRule>
  </conditionalFormatting>
  <conditionalFormatting sqref="D33">
    <cfRule type="expression" dxfId="3" priority="88">
      <formula>B38&lt;&gt;""</formula>
    </cfRule>
  </conditionalFormatting>
  <conditionalFormatting sqref="F33">
    <cfRule type="notContainsBlanks" dxfId="2" priority="89">
      <formula>LEN(TRIM(F33))&gt;0</formula>
    </cfRule>
  </conditionalFormatting>
  <conditionalFormatting sqref="F33">
    <cfRule type="expression" dxfId="3" priority="90">
      <formula>B38&lt;&gt;""</formula>
    </cfRule>
  </conditionalFormatting>
  <conditionalFormatting sqref="E35">
    <cfRule type="notContainsBlanks" dxfId="2" priority="91">
      <formula>LEN(TRIM(E35))&gt;0</formula>
    </cfRule>
  </conditionalFormatting>
  <conditionalFormatting sqref="E35">
    <cfRule type="expression" dxfId="3" priority="92">
      <formula>C35&lt;&gt;""</formula>
    </cfRule>
  </conditionalFormatting>
  <conditionalFormatting sqref="J35">
    <cfRule type="notContainsBlanks" dxfId="2" priority="93">
      <formula>LEN(TRIM(J35))&gt;0</formula>
    </cfRule>
  </conditionalFormatting>
  <conditionalFormatting sqref="J35">
    <cfRule type="expression" dxfId="3" priority="94">
      <formula>H35="SI"</formula>
    </cfRule>
  </conditionalFormatting>
  <conditionalFormatting sqref="H36">
    <cfRule type="notContainsBlanks" dxfId="2" priority="95">
      <formula>LEN(TRIM(H36))&gt;0</formula>
    </cfRule>
  </conditionalFormatting>
  <conditionalFormatting sqref="H36">
    <cfRule type="expression" dxfId="3" priority="96">
      <formula>H35="SI"</formula>
    </cfRule>
  </conditionalFormatting>
  <conditionalFormatting sqref="I36">
    <cfRule type="notContainsBlanks" dxfId="2" priority="97">
      <formula>LEN(TRIM(I36))&gt;0</formula>
    </cfRule>
  </conditionalFormatting>
  <conditionalFormatting sqref="I36">
    <cfRule type="expression" dxfId="3" priority="98">
      <formula>J35&gt;=2</formula>
    </cfRule>
  </conditionalFormatting>
  <conditionalFormatting sqref="J36">
    <cfRule type="notContainsBlanks" dxfId="2" priority="99">
      <formula>LEN(TRIM(J36))&gt;0</formula>
    </cfRule>
  </conditionalFormatting>
  <conditionalFormatting sqref="J36">
    <cfRule type="expression" dxfId="3" priority="100">
      <formula>J35&gt;2</formula>
    </cfRule>
  </conditionalFormatting>
  <conditionalFormatting sqref="C36">
    <cfRule type="notContainsBlanks" dxfId="2" priority="101">
      <formula>LEN(TRIM(C36))&gt;0</formula>
    </cfRule>
  </conditionalFormatting>
  <conditionalFormatting sqref="C36">
    <cfRule type="expression" dxfId="3" priority="102">
      <formula>AND(C35&lt;&gt;"",B38&lt;&gt;"")</formula>
    </cfRule>
  </conditionalFormatting>
  <conditionalFormatting sqref="E36">
    <cfRule type="notContainsBlanks" dxfId="2" priority="103">
      <formula>LEN(TRIM(E36))&gt;0</formula>
    </cfRule>
  </conditionalFormatting>
  <conditionalFormatting sqref="E36">
    <cfRule type="expression" dxfId="3" priority="104">
      <formula>C36="SI"</formula>
    </cfRule>
  </conditionalFormatting>
  <conditionalFormatting sqref="D38">
    <cfRule type="notContainsBlanks" dxfId="2" priority="105">
      <formula>LEN(TRIM(D38))&gt;0</formula>
    </cfRule>
  </conditionalFormatting>
  <conditionalFormatting sqref="D38">
    <cfRule type="expression" dxfId="3" priority="106">
      <formula>B38&lt;&gt;""</formula>
    </cfRule>
  </conditionalFormatting>
  <conditionalFormatting sqref="H38">
    <cfRule type="notContainsBlanks" dxfId="2" priority="107">
      <formula>LEN(TRIM(H38))&gt;0</formula>
    </cfRule>
  </conditionalFormatting>
  <conditionalFormatting sqref="H38">
    <cfRule type="expression" dxfId="3" priority="108">
      <formula>B38&lt;&gt;""</formula>
    </cfRule>
  </conditionalFormatting>
  <conditionalFormatting sqref="J38">
    <cfRule type="notContainsBlanks" dxfId="2" priority="109">
      <formula>LEN(TRIM(J38))&gt;0</formula>
    </cfRule>
  </conditionalFormatting>
  <conditionalFormatting sqref="J38">
    <cfRule type="expression" dxfId="3" priority="110">
      <formula>B38="VIVO"</formula>
    </cfRule>
  </conditionalFormatting>
  <conditionalFormatting sqref="H39">
    <cfRule type="notContainsBlanks" dxfId="2" priority="111">
      <formula>LEN(TRIM(H39))&gt;0</formula>
    </cfRule>
  </conditionalFormatting>
  <conditionalFormatting sqref="H39">
    <cfRule type="expression" dxfId="3" priority="112">
      <formula>B38="MUERTO"</formula>
    </cfRule>
  </conditionalFormatting>
  <conditionalFormatting sqref="B39">
    <cfRule type="notContainsBlanks" dxfId="2" priority="113">
      <formula>LEN(TRIM(B39))&gt;0</formula>
    </cfRule>
  </conditionalFormatting>
  <conditionalFormatting sqref="B39">
    <cfRule type="expression" dxfId="3" priority="114">
      <formula>B38&lt;&gt;""</formula>
    </cfRule>
  </conditionalFormatting>
  <conditionalFormatting sqref="D39">
    <cfRule type="notContainsBlanks" dxfId="2" priority="115">
      <formula>LEN(TRIM(D39))&gt;0</formula>
    </cfRule>
  </conditionalFormatting>
  <conditionalFormatting sqref="D39">
    <cfRule type="expression" dxfId="3" priority="116">
      <formula>B39="SI"</formula>
    </cfRule>
  </conditionalFormatting>
  <conditionalFormatting sqref="B40">
    <cfRule type="notContainsBlanks" dxfId="2" priority="117">
      <formula>LEN(TRIM(B40))&gt;0</formula>
    </cfRule>
  </conditionalFormatting>
  <conditionalFormatting sqref="J40">
    <cfRule type="notContainsBlanks" dxfId="2" priority="118">
      <formula>LEN(TRIM(J40))&gt;0</formula>
    </cfRule>
  </conditionalFormatting>
  <conditionalFormatting sqref="J40">
    <cfRule type="expression" dxfId="3" priority="119">
      <formula>B38&lt;&gt;""</formula>
    </cfRule>
  </conditionalFormatting>
  <conditionalFormatting sqref="J41">
    <cfRule type="notContainsBlanks" dxfId="2" priority="120">
      <formula>LEN(TRIM(J41))&gt;0</formula>
    </cfRule>
  </conditionalFormatting>
  <conditionalFormatting sqref="J41">
    <cfRule type="expression" dxfId="3" priority="121">
      <formula>B38&lt;&gt;""</formula>
    </cfRule>
  </conditionalFormatting>
  <dataValidations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0.0</formula1>
      <formula2>999.0</formula2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95"/>
      <c r="D1" s="56"/>
      <c r="E1" s="56"/>
      <c r="F1" s="56"/>
      <c r="G1" s="56"/>
      <c r="H1" s="56"/>
      <c r="AB1" s="196"/>
      <c r="AC1" s="196"/>
      <c r="AD1" s="196"/>
      <c r="AE1" s="196"/>
    </row>
    <row r="2">
      <c r="A2" s="197" t="s">
        <v>117</v>
      </c>
      <c r="B2" s="198"/>
      <c r="C2" s="199"/>
      <c r="D2" s="198"/>
      <c r="E2" s="198" t="s">
        <v>0</v>
      </c>
      <c r="G2" s="56"/>
      <c r="H2" s="200" t="s">
        <v>118</v>
      </c>
      <c r="I2" s="201"/>
      <c r="J2" s="202">
        <f>+General!D6</f>
        <v>70.566</v>
      </c>
      <c r="AB2" s="196"/>
      <c r="AC2" s="196"/>
      <c r="AD2" s="196"/>
      <c r="AE2" s="196"/>
    </row>
    <row r="3">
      <c r="A3" s="198"/>
      <c r="B3" s="56"/>
      <c r="C3" s="195"/>
      <c r="D3" s="56"/>
      <c r="E3" s="56"/>
      <c r="F3" s="56"/>
      <c r="G3" s="56"/>
      <c r="H3" s="56"/>
      <c r="AB3" s="196"/>
      <c r="AC3" s="196"/>
      <c r="AD3" s="196"/>
      <c r="AE3" s="196"/>
    </row>
    <row r="4">
      <c r="A4" s="56"/>
      <c r="B4" s="56"/>
      <c r="C4" s="203">
        <v>1.0</v>
      </c>
      <c r="D4" s="203">
        <v>2.0</v>
      </c>
      <c r="E4" s="203">
        <v>3.0</v>
      </c>
      <c r="F4" s="203">
        <v>4.0</v>
      </c>
      <c r="G4" s="203">
        <v>5.0</v>
      </c>
      <c r="H4" s="203">
        <v>6.0</v>
      </c>
      <c r="I4" s="203">
        <v>7.0</v>
      </c>
      <c r="J4" s="203">
        <v>8.0</v>
      </c>
      <c r="K4" s="203">
        <v>9.0</v>
      </c>
      <c r="L4" s="203">
        <v>10.0</v>
      </c>
      <c r="M4" s="203">
        <v>11.0</v>
      </c>
      <c r="N4" s="203">
        <v>12.0</v>
      </c>
      <c r="O4" s="203">
        <v>13.0</v>
      </c>
      <c r="P4" s="203">
        <v>14.0</v>
      </c>
      <c r="Q4" s="203">
        <v>15.0</v>
      </c>
      <c r="R4" s="203">
        <v>16.0</v>
      </c>
      <c r="S4" s="203">
        <v>17.0</v>
      </c>
      <c r="T4" s="203">
        <v>18.0</v>
      </c>
      <c r="U4" s="203">
        <v>19.0</v>
      </c>
      <c r="V4" s="203">
        <v>20.0</v>
      </c>
      <c r="W4" s="203">
        <v>21.0</v>
      </c>
      <c r="X4" s="203">
        <v>22.0</v>
      </c>
      <c r="Y4" s="203">
        <v>23.0</v>
      </c>
      <c r="Z4" s="203">
        <v>24.0</v>
      </c>
      <c r="AA4" s="204">
        <v>25.0</v>
      </c>
      <c r="AB4" s="204">
        <v>26.0</v>
      </c>
      <c r="AC4" s="204">
        <v>27.0</v>
      </c>
      <c r="AD4" s="204">
        <v>28.0</v>
      </c>
      <c r="AE4" s="196"/>
    </row>
    <row r="5">
      <c r="A5" s="205" t="s">
        <v>119</v>
      </c>
      <c r="B5" s="206" t="s">
        <v>95</v>
      </c>
      <c r="C5" s="207">
        <v>44304.0</v>
      </c>
      <c r="D5" s="207">
        <v>44305.0</v>
      </c>
      <c r="E5" s="207">
        <v>44306.0</v>
      </c>
      <c r="F5" s="207">
        <v>44307.0</v>
      </c>
      <c r="G5" s="207">
        <v>44308.0</v>
      </c>
      <c r="H5" s="207">
        <v>44309.0</v>
      </c>
      <c r="I5" s="208">
        <v>44310.0</v>
      </c>
      <c r="J5" s="207">
        <v>44311.0</v>
      </c>
      <c r="K5" s="207">
        <v>44312.0</v>
      </c>
      <c r="L5" s="207">
        <v>44313.0</v>
      </c>
      <c r="M5" s="207">
        <v>44314.0</v>
      </c>
      <c r="N5" s="207">
        <v>44315.0</v>
      </c>
      <c r="O5" s="207">
        <v>44316.0</v>
      </c>
      <c r="P5" s="208">
        <v>44317.0</v>
      </c>
      <c r="Q5" s="207">
        <v>44318.0</v>
      </c>
      <c r="R5" s="207">
        <v>44319.0</v>
      </c>
      <c r="S5" s="207">
        <v>44320.0</v>
      </c>
      <c r="T5" s="207">
        <v>44321.0</v>
      </c>
      <c r="U5" s="207">
        <v>44322.0</v>
      </c>
      <c r="V5" s="207">
        <v>44323.0</v>
      </c>
      <c r="W5" s="207">
        <v>44324.0</v>
      </c>
      <c r="X5" s="207">
        <v>44325.0</v>
      </c>
      <c r="Y5" s="207">
        <v>44326.0</v>
      </c>
      <c r="Z5" s="207">
        <v>44327.0</v>
      </c>
      <c r="AA5" s="209"/>
      <c r="AB5" s="210"/>
      <c r="AC5" s="211"/>
      <c r="AD5" s="212"/>
      <c r="AE5" s="213"/>
    </row>
    <row r="6">
      <c r="A6" s="214"/>
      <c r="B6" s="215" t="s">
        <v>120</v>
      </c>
      <c r="C6" s="216">
        <v>66.0</v>
      </c>
      <c r="D6" s="217">
        <v>58.0</v>
      </c>
      <c r="E6" s="218">
        <v>50.0</v>
      </c>
      <c r="F6" s="219">
        <v>45.0</v>
      </c>
      <c r="G6" s="220">
        <v>42.0</v>
      </c>
      <c r="H6" s="221">
        <v>56.0</v>
      </c>
      <c r="I6" s="222">
        <v>29.0</v>
      </c>
      <c r="J6" s="223">
        <v>51.0</v>
      </c>
      <c r="K6" s="224">
        <v>83.0</v>
      </c>
      <c r="L6" s="217">
        <v>94.0</v>
      </c>
      <c r="M6" s="218">
        <v>98.0</v>
      </c>
      <c r="N6" s="219">
        <v>105.0</v>
      </c>
      <c r="O6" s="224">
        <v>82.0</v>
      </c>
      <c r="P6" s="225">
        <v>113.0</v>
      </c>
      <c r="Q6" s="218">
        <v>106.0</v>
      </c>
      <c r="R6" s="223">
        <v>134.0</v>
      </c>
      <c r="S6" s="224">
        <v>61.0</v>
      </c>
      <c r="T6" s="226"/>
      <c r="U6" s="218">
        <v>101.0</v>
      </c>
      <c r="V6" s="223">
        <v>102.0</v>
      </c>
      <c r="W6" s="224">
        <v>103.0</v>
      </c>
      <c r="X6" s="217">
        <v>103.0</v>
      </c>
      <c r="Y6" s="218">
        <v>118.0</v>
      </c>
      <c r="Z6" s="217">
        <v>84.0</v>
      </c>
      <c r="AA6" s="227"/>
      <c r="AB6" s="228"/>
      <c r="AC6" s="229"/>
      <c r="AD6" s="230"/>
      <c r="AE6" s="213"/>
    </row>
    <row r="7">
      <c r="A7" s="214"/>
      <c r="B7" s="231" t="s">
        <v>121</v>
      </c>
      <c r="C7" s="232">
        <v>124.0</v>
      </c>
      <c r="D7" s="34">
        <v>130.0</v>
      </c>
      <c r="E7" s="233">
        <v>108.0</v>
      </c>
      <c r="F7" s="234">
        <v>101.0</v>
      </c>
      <c r="G7" s="36">
        <v>130.0</v>
      </c>
      <c r="H7" s="235">
        <v>109.0</v>
      </c>
      <c r="I7" s="236">
        <v>99.0</v>
      </c>
      <c r="J7" s="130">
        <v>103.0</v>
      </c>
      <c r="K7" s="237">
        <v>118.0</v>
      </c>
      <c r="L7" s="34">
        <v>101.0</v>
      </c>
      <c r="M7" s="238"/>
      <c r="N7" s="234">
        <v>145.0</v>
      </c>
      <c r="O7" s="237">
        <v>109.0</v>
      </c>
      <c r="P7" s="239">
        <v>125.0</v>
      </c>
      <c r="Q7" s="233">
        <v>124.0</v>
      </c>
      <c r="R7" s="234">
        <v>140.0</v>
      </c>
      <c r="S7" s="237">
        <v>127.0</v>
      </c>
      <c r="T7" s="240"/>
      <c r="U7" s="233">
        <v>87.0</v>
      </c>
      <c r="V7" s="130">
        <v>127.0</v>
      </c>
      <c r="W7" s="237">
        <v>134.0</v>
      </c>
      <c r="X7" s="34">
        <v>151.0</v>
      </c>
      <c r="Y7" s="233">
        <v>148.0</v>
      </c>
      <c r="Z7" s="34">
        <v>153.0</v>
      </c>
      <c r="AA7" s="238"/>
      <c r="AB7" s="241"/>
      <c r="AC7" s="242"/>
      <c r="AD7" s="243"/>
      <c r="AE7" s="213"/>
    </row>
    <row r="8">
      <c r="A8" s="214"/>
      <c r="B8" s="231" t="s">
        <v>122</v>
      </c>
      <c r="C8" s="232">
        <v>72.0</v>
      </c>
      <c r="D8" s="235">
        <v>70.0</v>
      </c>
      <c r="E8" s="232">
        <v>55.0</v>
      </c>
      <c r="F8" s="234">
        <v>53.0</v>
      </c>
      <c r="G8" s="36">
        <v>73.0</v>
      </c>
      <c r="H8" s="235">
        <v>65.0</v>
      </c>
      <c r="I8" s="244">
        <v>65.0</v>
      </c>
      <c r="J8" s="234">
        <v>89.0</v>
      </c>
      <c r="K8" s="36">
        <v>91.0</v>
      </c>
      <c r="L8" s="235">
        <v>65.0</v>
      </c>
      <c r="M8" s="238"/>
      <c r="N8" s="234">
        <v>62.0</v>
      </c>
      <c r="O8" s="36">
        <v>58.0</v>
      </c>
      <c r="P8" s="239">
        <v>53.0</v>
      </c>
      <c r="Q8" s="233">
        <v>66.0</v>
      </c>
      <c r="R8" s="130">
        <v>69.0</v>
      </c>
      <c r="S8" s="237">
        <v>59.0</v>
      </c>
      <c r="T8" s="240"/>
      <c r="U8" s="233">
        <v>51.0</v>
      </c>
      <c r="V8" s="130">
        <v>60.0</v>
      </c>
      <c r="W8" s="237">
        <v>87.0</v>
      </c>
      <c r="X8" s="34">
        <v>108.0</v>
      </c>
      <c r="Y8" s="233">
        <v>91.0</v>
      </c>
      <c r="Z8" s="34">
        <v>100.0</v>
      </c>
      <c r="AA8" s="238"/>
      <c r="AB8" s="241"/>
      <c r="AC8" s="242"/>
      <c r="AD8" s="243"/>
      <c r="AE8" s="213"/>
    </row>
    <row r="9">
      <c r="A9" s="214"/>
      <c r="B9" s="245" t="s">
        <v>123</v>
      </c>
      <c r="C9" s="232"/>
      <c r="D9" s="235">
        <v>36.2</v>
      </c>
      <c r="E9" s="232">
        <v>35.8</v>
      </c>
      <c r="F9" s="241"/>
      <c r="G9" s="242"/>
      <c r="H9" s="235">
        <v>35.6</v>
      </c>
      <c r="I9" s="244">
        <v>36.0</v>
      </c>
      <c r="J9" s="234">
        <v>33.6</v>
      </c>
      <c r="K9" s="36">
        <v>36.0</v>
      </c>
      <c r="L9" s="235">
        <v>36.0</v>
      </c>
      <c r="M9" s="238"/>
      <c r="N9" s="241"/>
      <c r="O9" s="36">
        <v>35.0</v>
      </c>
      <c r="P9" s="246"/>
      <c r="Q9" s="238"/>
      <c r="R9" s="247"/>
      <c r="S9" s="237">
        <v>36.7</v>
      </c>
      <c r="T9" s="240"/>
      <c r="U9" s="233">
        <v>37.4</v>
      </c>
      <c r="V9" s="130">
        <v>36.8</v>
      </c>
      <c r="W9" s="237">
        <v>37.3</v>
      </c>
      <c r="X9" s="34">
        <v>37.2</v>
      </c>
      <c r="Y9" s="233">
        <v>37.2</v>
      </c>
      <c r="Z9" s="34">
        <v>37.0</v>
      </c>
      <c r="AA9" s="238"/>
      <c r="AB9" s="241"/>
      <c r="AC9" s="242"/>
      <c r="AD9" s="243"/>
      <c r="AE9" s="213"/>
    </row>
    <row r="10">
      <c r="A10" s="214"/>
      <c r="B10" s="245" t="s">
        <v>124</v>
      </c>
      <c r="C10" s="232">
        <v>95.0</v>
      </c>
      <c r="D10" s="34">
        <v>95.0</v>
      </c>
      <c r="E10" s="233">
        <v>97.0</v>
      </c>
      <c r="F10" s="234">
        <v>95.0</v>
      </c>
      <c r="G10" s="36">
        <v>94.0</v>
      </c>
      <c r="H10" s="235">
        <v>94.0</v>
      </c>
      <c r="I10" s="236">
        <v>95.0</v>
      </c>
      <c r="J10" s="130">
        <v>96.0</v>
      </c>
      <c r="K10" s="237">
        <v>95.0</v>
      </c>
      <c r="L10" s="34">
        <v>95.0</v>
      </c>
      <c r="M10" s="233">
        <v>98.0</v>
      </c>
      <c r="N10" s="234">
        <v>100.0</v>
      </c>
      <c r="O10" s="237">
        <v>96.0</v>
      </c>
      <c r="P10" s="239">
        <v>96.0</v>
      </c>
      <c r="Q10" s="233">
        <v>99.0</v>
      </c>
      <c r="R10" s="130">
        <v>94.0</v>
      </c>
      <c r="S10" s="237">
        <v>96.0</v>
      </c>
      <c r="T10" s="240"/>
      <c r="U10" s="233">
        <v>99.0</v>
      </c>
      <c r="V10" s="130">
        <v>100.0</v>
      </c>
      <c r="W10" s="237">
        <v>98.0</v>
      </c>
      <c r="X10" s="34">
        <v>97.0</v>
      </c>
      <c r="Y10" s="233">
        <v>90.0</v>
      </c>
      <c r="Z10" s="34">
        <v>96.0</v>
      </c>
      <c r="AA10" s="238"/>
      <c r="AB10" s="241"/>
      <c r="AC10" s="242"/>
      <c r="AD10" s="243"/>
      <c r="AE10" s="213"/>
    </row>
    <row r="11">
      <c r="A11" s="214"/>
      <c r="B11" s="248" t="s">
        <v>125</v>
      </c>
      <c r="C11" s="233"/>
      <c r="D11" s="34">
        <v>0.0</v>
      </c>
      <c r="E11" s="233">
        <v>0.0</v>
      </c>
      <c r="F11" s="241"/>
      <c r="G11" s="242"/>
      <c r="H11" s="235">
        <v>0.0</v>
      </c>
      <c r="I11" s="236">
        <v>0.0</v>
      </c>
      <c r="J11" s="130">
        <v>0.0</v>
      </c>
      <c r="K11" s="249"/>
      <c r="L11" s="34">
        <v>0.0</v>
      </c>
      <c r="M11" s="233">
        <v>0.0</v>
      </c>
      <c r="N11" s="241"/>
      <c r="O11" s="237">
        <v>0.0</v>
      </c>
      <c r="P11" s="246"/>
      <c r="Q11" s="238"/>
      <c r="R11" s="130">
        <v>0.0</v>
      </c>
      <c r="S11" s="237">
        <v>0.0</v>
      </c>
      <c r="T11" s="240"/>
      <c r="U11" s="233">
        <v>0.0</v>
      </c>
      <c r="V11" s="130">
        <v>0.0</v>
      </c>
      <c r="W11" s="237">
        <v>0.0</v>
      </c>
      <c r="X11" s="34">
        <v>0.0</v>
      </c>
      <c r="Y11" s="233">
        <v>2.0</v>
      </c>
      <c r="Z11" s="240"/>
      <c r="AA11" s="238"/>
      <c r="AB11" s="241"/>
      <c r="AC11" s="242"/>
      <c r="AD11" s="243"/>
      <c r="AE11" s="213"/>
    </row>
    <row r="12">
      <c r="A12" s="214"/>
      <c r="B12" s="250"/>
      <c r="C12" s="233" t="s">
        <v>126</v>
      </c>
      <c r="D12" s="237" t="s">
        <v>126</v>
      </c>
      <c r="E12" s="233" t="s">
        <v>126</v>
      </c>
      <c r="F12" s="237" t="s">
        <v>126</v>
      </c>
      <c r="G12" s="233" t="s">
        <v>126</v>
      </c>
      <c r="H12" s="237" t="s">
        <v>126</v>
      </c>
      <c r="I12" s="236" t="s">
        <v>126</v>
      </c>
      <c r="J12" s="237" t="s">
        <v>126</v>
      </c>
      <c r="K12" s="233" t="s">
        <v>126</v>
      </c>
      <c r="L12" s="237" t="s">
        <v>126</v>
      </c>
      <c r="M12" s="233" t="s">
        <v>126</v>
      </c>
      <c r="N12" s="237" t="s">
        <v>126</v>
      </c>
      <c r="O12" s="233" t="s">
        <v>126</v>
      </c>
      <c r="P12" s="251" t="s">
        <v>126</v>
      </c>
      <c r="Q12" s="233" t="s">
        <v>126</v>
      </c>
      <c r="R12" s="237" t="s">
        <v>126</v>
      </c>
      <c r="S12" s="233" t="s">
        <v>126</v>
      </c>
      <c r="T12" s="237" t="s">
        <v>126</v>
      </c>
      <c r="U12" s="233" t="s">
        <v>126</v>
      </c>
      <c r="V12" s="237" t="s">
        <v>126</v>
      </c>
      <c r="W12" s="233" t="s">
        <v>126</v>
      </c>
      <c r="X12" s="237" t="s">
        <v>126</v>
      </c>
      <c r="Y12" s="233" t="s">
        <v>126</v>
      </c>
      <c r="Z12" s="237" t="s">
        <v>126</v>
      </c>
      <c r="AA12" s="233"/>
      <c r="AB12" s="237"/>
      <c r="AC12" s="233"/>
      <c r="AD12" s="252"/>
      <c r="AE12" s="213"/>
    </row>
    <row r="13">
      <c r="A13" s="214"/>
      <c r="B13" s="248" t="s">
        <v>127</v>
      </c>
      <c r="C13" s="233">
        <v>-5.0</v>
      </c>
      <c r="D13" s="34">
        <v>-5.0</v>
      </c>
      <c r="E13" s="233">
        <v>-5.0</v>
      </c>
      <c r="F13" s="130">
        <v>-4.0</v>
      </c>
      <c r="G13" s="237">
        <v>-4.0</v>
      </c>
      <c r="H13" s="34">
        <v>2.0</v>
      </c>
      <c r="I13" s="236">
        <v>-4.0</v>
      </c>
      <c r="J13" s="130">
        <v>-5.0</v>
      </c>
      <c r="K13" s="237">
        <v>-4.0</v>
      </c>
      <c r="L13" s="34">
        <v>-4.0</v>
      </c>
      <c r="M13" s="238"/>
      <c r="N13" s="130">
        <v>-2.0</v>
      </c>
      <c r="O13" s="237">
        <v>-4.0</v>
      </c>
      <c r="P13" s="239">
        <v>-3.0</v>
      </c>
      <c r="Q13" s="233">
        <v>-5.0</v>
      </c>
      <c r="R13" s="247"/>
      <c r="S13" s="237">
        <v>-5.0</v>
      </c>
      <c r="T13" s="240"/>
      <c r="U13" s="233">
        <v>-4.0</v>
      </c>
      <c r="V13" s="130">
        <v>-3.0</v>
      </c>
      <c r="W13" s="237">
        <v>-3.0</v>
      </c>
      <c r="X13" s="34">
        <v>0.0</v>
      </c>
      <c r="Y13" s="233">
        <v>-1.0</v>
      </c>
      <c r="Z13" s="34">
        <v>0.0</v>
      </c>
      <c r="AA13" s="238"/>
      <c r="AB13" s="241"/>
      <c r="AC13" s="242"/>
      <c r="AD13" s="243"/>
      <c r="AE13" s="213"/>
    </row>
    <row r="14">
      <c r="A14" s="214"/>
      <c r="B14" s="250"/>
      <c r="C14" s="233" t="s">
        <v>128</v>
      </c>
      <c r="D14" s="237" t="s">
        <v>128</v>
      </c>
      <c r="E14" s="233" t="s">
        <v>128</v>
      </c>
      <c r="F14" s="237" t="s">
        <v>128</v>
      </c>
      <c r="G14" s="233" t="s">
        <v>128</v>
      </c>
      <c r="H14" s="237" t="s">
        <v>129</v>
      </c>
      <c r="I14" s="236" t="s">
        <v>128</v>
      </c>
      <c r="J14" s="237" t="s">
        <v>128</v>
      </c>
      <c r="K14" s="233" t="s">
        <v>128</v>
      </c>
      <c r="L14" s="237" t="s">
        <v>128</v>
      </c>
      <c r="M14" s="233" t="s">
        <v>128</v>
      </c>
      <c r="N14" s="237" t="s">
        <v>128</v>
      </c>
      <c r="O14" s="233" t="s">
        <v>128</v>
      </c>
      <c r="P14" s="251"/>
      <c r="Q14" s="233" t="s">
        <v>128</v>
      </c>
      <c r="R14" s="237" t="s">
        <v>128</v>
      </c>
      <c r="S14" s="233" t="s">
        <v>129</v>
      </c>
      <c r="T14" s="237" t="s">
        <v>128</v>
      </c>
      <c r="U14" s="233" t="s">
        <v>128</v>
      </c>
      <c r="V14" s="237" t="s">
        <v>128</v>
      </c>
      <c r="W14" s="233" t="s">
        <v>128</v>
      </c>
      <c r="X14" s="237"/>
      <c r="Y14" s="233"/>
      <c r="Z14" s="237"/>
      <c r="AA14" s="233"/>
      <c r="AB14" s="237"/>
      <c r="AC14" s="233"/>
      <c r="AD14" s="252"/>
      <c r="AE14" s="213"/>
    </row>
    <row r="15">
      <c r="A15" s="214"/>
      <c r="B15" s="253" t="s">
        <v>130</v>
      </c>
      <c r="C15" s="233" t="s">
        <v>131</v>
      </c>
      <c r="D15" s="237" t="s">
        <v>131</v>
      </c>
      <c r="E15" s="233"/>
      <c r="F15" s="237" t="s">
        <v>131</v>
      </c>
      <c r="G15" s="233"/>
      <c r="H15" s="237"/>
      <c r="I15" s="236" t="s">
        <v>131</v>
      </c>
      <c r="J15" s="237" t="s">
        <v>131</v>
      </c>
      <c r="K15" s="233" t="s">
        <v>131</v>
      </c>
      <c r="L15" s="237" t="s">
        <v>131</v>
      </c>
      <c r="M15" s="233" t="s">
        <v>131</v>
      </c>
      <c r="N15" s="237" t="s">
        <v>131</v>
      </c>
      <c r="O15" s="233" t="s">
        <v>131</v>
      </c>
      <c r="P15" s="251" t="s">
        <v>131</v>
      </c>
      <c r="Q15" s="254"/>
      <c r="R15" s="237" t="s">
        <v>131</v>
      </c>
      <c r="S15" s="254"/>
      <c r="T15" s="255"/>
      <c r="U15" s="233" t="s">
        <v>131</v>
      </c>
      <c r="V15" s="237" t="s">
        <v>131</v>
      </c>
      <c r="W15" s="254"/>
      <c r="X15" s="237" t="s">
        <v>132</v>
      </c>
      <c r="Y15" s="233" t="s">
        <v>132</v>
      </c>
      <c r="Z15" s="96" t="s">
        <v>132</v>
      </c>
      <c r="AA15" s="254"/>
      <c r="AB15" s="256"/>
      <c r="AC15" s="255"/>
      <c r="AD15" s="257"/>
      <c r="AE15" s="213"/>
    </row>
    <row r="16">
      <c r="A16" s="214"/>
      <c r="C16" s="233"/>
      <c r="D16" s="255"/>
      <c r="E16" s="233"/>
      <c r="F16" s="255"/>
      <c r="G16" s="233"/>
      <c r="H16" s="255"/>
      <c r="I16" s="258"/>
      <c r="J16" s="255"/>
      <c r="K16" s="254"/>
      <c r="L16" s="255"/>
      <c r="M16" s="233" t="s">
        <v>133</v>
      </c>
      <c r="N16" s="237" t="s">
        <v>133</v>
      </c>
      <c r="O16" s="233" t="s">
        <v>133</v>
      </c>
      <c r="P16" s="251" t="s">
        <v>133</v>
      </c>
      <c r="Q16" s="233" t="s">
        <v>133</v>
      </c>
      <c r="R16" s="237" t="s">
        <v>133</v>
      </c>
      <c r="S16" s="233" t="s">
        <v>133</v>
      </c>
      <c r="T16" s="237" t="s">
        <v>133</v>
      </c>
      <c r="U16" s="233" t="s">
        <v>133</v>
      </c>
      <c r="V16" s="237" t="s">
        <v>133</v>
      </c>
      <c r="W16" s="233" t="s">
        <v>133</v>
      </c>
      <c r="X16" s="237" t="s">
        <v>133</v>
      </c>
      <c r="Y16" s="233" t="s">
        <v>133</v>
      </c>
      <c r="Z16" s="237" t="s">
        <v>133</v>
      </c>
      <c r="AA16" s="254"/>
      <c r="AB16" s="255"/>
      <c r="AC16" s="254"/>
      <c r="AD16" s="259"/>
      <c r="AE16" s="213"/>
    </row>
    <row r="17" ht="15.75" customHeight="1">
      <c r="A17" s="214"/>
      <c r="B17" s="260" t="s">
        <v>134</v>
      </c>
      <c r="C17" s="233"/>
      <c r="D17" s="34"/>
      <c r="E17" s="233"/>
      <c r="F17" s="247"/>
      <c r="G17" s="237"/>
      <c r="H17" s="240"/>
      <c r="I17" s="261"/>
      <c r="J17" s="130"/>
      <c r="K17" s="237"/>
      <c r="L17" s="240"/>
      <c r="M17" s="238"/>
      <c r="N17" s="247"/>
      <c r="O17" s="249"/>
      <c r="P17" s="246"/>
      <c r="Q17" s="238"/>
      <c r="R17" s="247"/>
      <c r="S17" s="249"/>
      <c r="T17" s="240"/>
      <c r="U17" s="238"/>
      <c r="V17" s="247"/>
      <c r="W17" s="249"/>
      <c r="X17" s="240"/>
      <c r="Y17" s="238"/>
      <c r="Z17" s="240"/>
      <c r="AA17" s="238"/>
      <c r="AB17" s="241"/>
      <c r="AC17" s="242"/>
      <c r="AD17" s="243"/>
      <c r="AE17" s="213"/>
    </row>
    <row r="18">
      <c r="A18" s="214"/>
      <c r="B18" s="262"/>
      <c r="C18" s="233" t="s">
        <v>135</v>
      </c>
      <c r="D18" s="237" t="s">
        <v>135</v>
      </c>
      <c r="E18" s="233" t="s">
        <v>135</v>
      </c>
      <c r="F18" s="97"/>
      <c r="G18" s="233"/>
      <c r="H18" s="97"/>
      <c r="I18" s="236"/>
      <c r="J18" s="97"/>
      <c r="K18" s="233"/>
      <c r="L18" s="97"/>
      <c r="M18" s="233"/>
      <c r="N18" s="97"/>
      <c r="O18" s="233"/>
      <c r="P18" s="252"/>
      <c r="Q18" s="233"/>
      <c r="R18" s="97"/>
      <c r="S18" s="233"/>
      <c r="T18" s="97"/>
      <c r="U18" s="233"/>
      <c r="V18" s="97"/>
      <c r="W18" s="233"/>
      <c r="X18" s="97"/>
      <c r="Y18" s="233"/>
      <c r="Z18" s="97"/>
      <c r="AA18" s="233"/>
      <c r="AB18" s="97"/>
      <c r="AC18" s="233"/>
      <c r="AD18" s="252"/>
      <c r="AE18" s="213"/>
    </row>
    <row r="19">
      <c r="A19" s="263"/>
      <c r="B19" s="264" t="s">
        <v>110</v>
      </c>
      <c r="C19" s="265"/>
      <c r="D19" s="266" t="s">
        <v>136</v>
      </c>
      <c r="E19" s="265"/>
      <c r="F19" s="266" t="s">
        <v>136</v>
      </c>
      <c r="G19" s="265"/>
      <c r="H19" s="266"/>
      <c r="I19" s="267"/>
      <c r="J19" s="266" t="s">
        <v>137</v>
      </c>
      <c r="K19" s="265" t="s">
        <v>137</v>
      </c>
      <c r="L19" s="266" t="s">
        <v>137</v>
      </c>
      <c r="M19" s="265" t="s">
        <v>137</v>
      </c>
      <c r="N19" s="266"/>
      <c r="O19" s="265" t="s">
        <v>136</v>
      </c>
      <c r="P19" s="268"/>
      <c r="Q19" s="265" t="s">
        <v>136</v>
      </c>
      <c r="R19" s="266"/>
      <c r="S19" s="265" t="s">
        <v>136</v>
      </c>
      <c r="T19" s="266"/>
      <c r="U19" s="265"/>
      <c r="V19" s="266"/>
      <c r="W19" s="265"/>
      <c r="X19" s="266"/>
      <c r="Y19" s="265"/>
      <c r="Z19" s="266"/>
      <c r="AA19" s="265"/>
      <c r="AB19" s="266"/>
      <c r="AC19" s="265"/>
      <c r="AD19" s="269"/>
      <c r="AE19" s="213"/>
    </row>
    <row r="20">
      <c r="A20" s="270" t="s">
        <v>138</v>
      </c>
      <c r="B20" s="271" t="s">
        <v>139</v>
      </c>
      <c r="C20" s="218"/>
      <c r="D20" s="221">
        <v>7.29</v>
      </c>
      <c r="E20" s="218">
        <v>7.42</v>
      </c>
      <c r="F20" s="223" t="s">
        <v>140</v>
      </c>
      <c r="G20" s="224">
        <v>7.41</v>
      </c>
      <c r="H20" s="217">
        <v>7.43</v>
      </c>
      <c r="I20" s="222">
        <v>7.41</v>
      </c>
      <c r="J20" s="223">
        <v>7.42</v>
      </c>
      <c r="K20" s="224">
        <v>7.44</v>
      </c>
      <c r="L20" s="226"/>
      <c r="M20" s="218">
        <v>7.41</v>
      </c>
      <c r="N20" s="223">
        <v>7.36</v>
      </c>
      <c r="O20" s="224">
        <v>7.36</v>
      </c>
      <c r="P20" s="225">
        <v>7.38</v>
      </c>
      <c r="Q20" s="218">
        <v>7.38</v>
      </c>
      <c r="R20" s="223">
        <v>7.4</v>
      </c>
      <c r="S20" s="224">
        <v>7.42</v>
      </c>
      <c r="T20" s="217">
        <v>7.41</v>
      </c>
      <c r="U20" s="218">
        <v>7.42</v>
      </c>
      <c r="V20" s="223">
        <v>7.41</v>
      </c>
      <c r="W20" s="272"/>
      <c r="X20" s="226"/>
      <c r="Y20" s="227"/>
      <c r="Z20" s="273"/>
      <c r="AA20" s="274"/>
      <c r="AB20" s="275"/>
      <c r="AC20" s="276"/>
      <c r="AD20" s="277"/>
      <c r="AE20" s="213"/>
    </row>
    <row r="21">
      <c r="A21" s="278"/>
      <c r="B21" s="279" t="s">
        <v>141</v>
      </c>
      <c r="C21" s="233"/>
      <c r="D21" s="235">
        <v>48.8</v>
      </c>
      <c r="E21" s="233">
        <v>38.1</v>
      </c>
      <c r="F21" s="130">
        <v>36.5</v>
      </c>
      <c r="G21" s="237">
        <v>35.0</v>
      </c>
      <c r="H21" s="34">
        <v>35.4</v>
      </c>
      <c r="I21" s="236">
        <v>37.8</v>
      </c>
      <c r="J21" s="130">
        <v>37.8</v>
      </c>
      <c r="K21" s="237">
        <v>35.5</v>
      </c>
      <c r="L21" s="240"/>
      <c r="M21" s="233">
        <v>35.0</v>
      </c>
      <c r="N21" s="130">
        <v>37.5</v>
      </c>
      <c r="O21" s="237">
        <v>44.9</v>
      </c>
      <c r="P21" s="239">
        <v>44.9</v>
      </c>
      <c r="Q21" s="233">
        <v>47.2</v>
      </c>
      <c r="R21" s="130">
        <v>45.9</v>
      </c>
      <c r="S21" s="237">
        <v>42.0</v>
      </c>
      <c r="T21" s="34">
        <v>41.4</v>
      </c>
      <c r="U21" s="233">
        <v>36.4</v>
      </c>
      <c r="V21" s="130">
        <v>37.8</v>
      </c>
      <c r="W21" s="249"/>
      <c r="X21" s="240"/>
      <c r="Y21" s="238"/>
      <c r="Z21" s="247"/>
      <c r="AA21" s="280"/>
      <c r="AB21" s="241"/>
      <c r="AC21" s="281"/>
      <c r="AD21" s="243"/>
      <c r="AE21" s="213"/>
    </row>
    <row r="22" ht="15.75" customHeight="1">
      <c r="A22" s="278"/>
      <c r="B22" s="279" t="s">
        <v>142</v>
      </c>
      <c r="C22" s="233"/>
      <c r="D22" s="235">
        <v>93.8</v>
      </c>
      <c r="E22" s="233">
        <v>87.9</v>
      </c>
      <c r="F22" s="130">
        <v>91.3</v>
      </c>
      <c r="G22" s="237">
        <v>81.0</v>
      </c>
      <c r="H22" s="34">
        <v>99.4</v>
      </c>
      <c r="I22" s="236">
        <v>75.1</v>
      </c>
      <c r="J22" s="130">
        <v>97.5</v>
      </c>
      <c r="K22" s="237">
        <v>82.4</v>
      </c>
      <c r="L22" s="240"/>
      <c r="M22" s="233">
        <v>133.0</v>
      </c>
      <c r="N22" s="130">
        <v>155.6</v>
      </c>
      <c r="O22" s="237">
        <v>109.0</v>
      </c>
      <c r="P22" s="239">
        <v>99.3</v>
      </c>
      <c r="Q22" s="233">
        <v>210.9</v>
      </c>
      <c r="R22" s="130">
        <v>99.0</v>
      </c>
      <c r="S22" s="237">
        <v>127.5</v>
      </c>
      <c r="T22" s="34">
        <v>73.8</v>
      </c>
      <c r="U22" s="233">
        <v>115.0</v>
      </c>
      <c r="V22" s="130">
        <v>108.2</v>
      </c>
      <c r="W22" s="249"/>
      <c r="X22" s="240"/>
      <c r="Y22" s="238"/>
      <c r="Z22" s="247"/>
      <c r="AA22" s="280"/>
      <c r="AB22" s="241"/>
      <c r="AC22" s="281"/>
      <c r="AD22" s="243"/>
      <c r="AE22" s="213"/>
    </row>
    <row r="23" ht="15.75" customHeight="1">
      <c r="A23" s="278"/>
      <c r="B23" s="279" t="s">
        <v>143</v>
      </c>
      <c r="C23" s="233"/>
      <c r="D23" s="235">
        <v>23.2</v>
      </c>
      <c r="E23" s="233">
        <v>24.3</v>
      </c>
      <c r="F23" s="130" t="s">
        <v>144</v>
      </c>
      <c r="G23" s="237">
        <v>22.0</v>
      </c>
      <c r="H23" s="34">
        <v>23.1</v>
      </c>
      <c r="I23" s="236">
        <v>23.7</v>
      </c>
      <c r="J23" s="130">
        <v>24.1</v>
      </c>
      <c r="K23" s="237">
        <v>23.9</v>
      </c>
      <c r="L23" s="240"/>
      <c r="M23" s="233">
        <v>21.8</v>
      </c>
      <c r="N23" s="130">
        <v>22.7</v>
      </c>
      <c r="O23" s="237">
        <v>25.0</v>
      </c>
      <c r="P23" s="239">
        <v>26.1</v>
      </c>
      <c r="Q23" s="233">
        <v>27.6</v>
      </c>
      <c r="R23" s="130">
        <v>28.1</v>
      </c>
      <c r="S23" s="237">
        <v>26.7</v>
      </c>
      <c r="T23" s="34">
        <v>26.2</v>
      </c>
      <c r="U23" s="233">
        <v>23.5</v>
      </c>
      <c r="V23" s="130">
        <v>23.4</v>
      </c>
      <c r="W23" s="249"/>
      <c r="X23" s="240"/>
      <c r="Y23" s="238"/>
      <c r="Z23" s="247"/>
      <c r="AA23" s="280"/>
      <c r="AB23" s="241"/>
      <c r="AC23" s="281"/>
      <c r="AD23" s="243"/>
      <c r="AE23" s="213"/>
    </row>
    <row r="24" ht="15.75" customHeight="1">
      <c r="A24" s="278"/>
      <c r="B24" s="279" t="s">
        <v>145</v>
      </c>
      <c r="C24" s="233"/>
      <c r="D24" s="235">
        <v>-3.7</v>
      </c>
      <c r="E24" s="233">
        <v>0.1</v>
      </c>
      <c r="F24" s="130" t="s">
        <v>146</v>
      </c>
      <c r="G24" s="237">
        <v>-1.8</v>
      </c>
      <c r="H24" s="34">
        <v>-1.0</v>
      </c>
      <c r="I24" s="236">
        <v>-0.7</v>
      </c>
      <c r="J24" s="130">
        <v>-0.1</v>
      </c>
      <c r="K24" s="237">
        <v>0.6</v>
      </c>
      <c r="L24" s="240"/>
      <c r="M24" s="233">
        <v>-2.3</v>
      </c>
      <c r="N24" s="130">
        <v>-1.7</v>
      </c>
      <c r="O24" s="237">
        <v>0.2</v>
      </c>
      <c r="P24" s="246"/>
      <c r="Q24" s="233">
        <v>1.8</v>
      </c>
      <c r="R24" s="130">
        <v>2.7</v>
      </c>
      <c r="S24" s="237">
        <v>2.0</v>
      </c>
      <c r="T24" s="34"/>
      <c r="U24" s="233">
        <v>-0.4</v>
      </c>
      <c r="V24" s="130">
        <v>4.1</v>
      </c>
      <c r="W24" s="249"/>
      <c r="X24" s="240"/>
      <c r="Y24" s="238"/>
      <c r="Z24" s="247"/>
      <c r="AA24" s="280"/>
      <c r="AB24" s="241"/>
      <c r="AC24" s="281"/>
      <c r="AD24" s="243"/>
      <c r="AE24" s="213"/>
    </row>
    <row r="25" ht="15.75" customHeight="1">
      <c r="A25" s="278"/>
      <c r="B25" s="282" t="s">
        <v>147</v>
      </c>
      <c r="C25" s="233"/>
      <c r="D25" s="235">
        <v>96.1</v>
      </c>
      <c r="E25" s="233">
        <v>97.0</v>
      </c>
      <c r="F25" s="283">
        <v>0.97</v>
      </c>
      <c r="G25" s="237">
        <v>96.0</v>
      </c>
      <c r="H25" s="34">
        <v>97.9</v>
      </c>
      <c r="I25" s="236">
        <v>95.1</v>
      </c>
      <c r="J25" s="130">
        <v>97.0</v>
      </c>
      <c r="K25" s="237">
        <v>96.0</v>
      </c>
      <c r="L25" s="240"/>
      <c r="M25" s="233">
        <v>99.0</v>
      </c>
      <c r="N25" s="130">
        <v>99.0</v>
      </c>
      <c r="O25" s="237">
        <v>98.0</v>
      </c>
      <c r="P25" s="239">
        <v>97.5</v>
      </c>
      <c r="Q25" s="233">
        <v>99.7</v>
      </c>
      <c r="R25" s="130">
        <v>97.7</v>
      </c>
      <c r="S25" s="237">
        <v>98.9</v>
      </c>
      <c r="T25" s="34">
        <v>95.0</v>
      </c>
      <c r="U25" s="233">
        <v>98.6</v>
      </c>
      <c r="V25" s="130">
        <v>98.2</v>
      </c>
      <c r="W25" s="249"/>
      <c r="X25" s="240"/>
      <c r="Y25" s="238"/>
      <c r="Z25" s="247"/>
      <c r="AA25" s="280"/>
      <c r="AB25" s="241"/>
      <c r="AC25" s="281"/>
      <c r="AD25" s="243"/>
      <c r="AE25" s="213"/>
    </row>
    <row r="26" ht="15.75" customHeight="1">
      <c r="A26" s="278"/>
      <c r="B26" s="279" t="s">
        <v>148</v>
      </c>
      <c r="C26" s="238"/>
      <c r="D26" s="240"/>
      <c r="E26" s="238"/>
      <c r="F26" s="247"/>
      <c r="G26" s="249"/>
      <c r="H26" s="240"/>
      <c r="I26" s="261"/>
      <c r="J26" s="247"/>
      <c r="K26" s="249"/>
      <c r="L26" s="240"/>
      <c r="M26" s="238"/>
      <c r="N26" s="247"/>
      <c r="O26" s="249"/>
      <c r="P26" s="239"/>
      <c r="Q26" s="238"/>
      <c r="R26" s="247"/>
      <c r="S26" s="249"/>
      <c r="T26" s="240"/>
      <c r="U26" s="238"/>
      <c r="V26" s="247"/>
      <c r="W26" s="249"/>
      <c r="X26" s="240"/>
      <c r="Y26" s="238"/>
      <c r="Z26" s="247"/>
      <c r="AA26" s="280"/>
      <c r="AB26" s="241"/>
      <c r="AC26" s="281"/>
      <c r="AD26" s="243"/>
      <c r="AE26" s="213"/>
    </row>
    <row r="27" ht="15.75" customHeight="1">
      <c r="A27" s="278"/>
      <c r="B27" s="284" t="s">
        <v>149</v>
      </c>
      <c r="C27" s="285"/>
      <c r="D27" s="286">
        <v>0.6</v>
      </c>
      <c r="E27" s="285">
        <v>0.4</v>
      </c>
      <c r="F27" s="287" t="s">
        <v>150</v>
      </c>
      <c r="G27" s="288">
        <v>0.5</v>
      </c>
      <c r="H27" s="286">
        <v>0.6</v>
      </c>
      <c r="I27" s="289">
        <v>0.4</v>
      </c>
      <c r="J27" s="287">
        <v>0.4</v>
      </c>
      <c r="K27" s="288">
        <v>0.35</v>
      </c>
      <c r="L27" s="286"/>
      <c r="M27" s="285">
        <v>0.5</v>
      </c>
      <c r="N27" s="287">
        <v>0.4</v>
      </c>
      <c r="O27" s="288">
        <v>0.4</v>
      </c>
      <c r="P27" s="290">
        <v>0.4</v>
      </c>
      <c r="Q27" s="285">
        <v>0.6</v>
      </c>
      <c r="R27" s="287">
        <v>0.4</v>
      </c>
      <c r="S27" s="288">
        <v>0.45</v>
      </c>
      <c r="T27" s="286">
        <v>0.4</v>
      </c>
      <c r="U27" s="285">
        <v>0.6</v>
      </c>
      <c r="V27" s="287">
        <v>0.6</v>
      </c>
      <c r="W27" s="288"/>
      <c r="X27" s="286"/>
      <c r="Y27" s="285">
        <v>0.4</v>
      </c>
      <c r="Z27" s="287"/>
      <c r="AA27" s="291"/>
      <c r="AB27" s="292"/>
      <c r="AC27" s="293"/>
      <c r="AD27" s="294"/>
      <c r="AE27" s="295"/>
    </row>
    <row r="28" ht="15.75" customHeight="1">
      <c r="A28" s="296"/>
      <c r="B28" s="297" t="s">
        <v>151</v>
      </c>
      <c r="C28" s="298" t="str">
        <f t="shared" ref="C28:E28" si="1">IF(AND(C22&gt;0,C27&gt;0),C22/C27,"")</f>
        <v/>
      </c>
      <c r="D28" s="299">
        <f t="shared" si="1"/>
        <v>156.3333333</v>
      </c>
      <c r="E28" s="298">
        <f t="shared" si="1"/>
        <v>219.75</v>
      </c>
      <c r="F28" s="300">
        <v>228.0</v>
      </c>
      <c r="G28" s="301">
        <f t="shared" ref="G28:AD28" si="2">IF(AND(G22&gt;0,G27&gt;0),G22/G27,"")</f>
        <v>162</v>
      </c>
      <c r="H28" s="299">
        <f t="shared" si="2"/>
        <v>165.6666667</v>
      </c>
      <c r="I28" s="298">
        <f t="shared" si="2"/>
        <v>187.75</v>
      </c>
      <c r="J28" s="302">
        <f t="shared" si="2"/>
        <v>243.75</v>
      </c>
      <c r="K28" s="301">
        <f t="shared" si="2"/>
        <v>235.4285714</v>
      </c>
      <c r="L28" s="299" t="str">
        <f t="shared" si="2"/>
        <v/>
      </c>
      <c r="M28" s="298">
        <f t="shared" si="2"/>
        <v>266</v>
      </c>
      <c r="N28" s="302">
        <f t="shared" si="2"/>
        <v>389</v>
      </c>
      <c r="O28" s="301">
        <f t="shared" si="2"/>
        <v>272.5</v>
      </c>
      <c r="P28" s="299">
        <f t="shared" si="2"/>
        <v>248.25</v>
      </c>
      <c r="Q28" s="298">
        <f t="shared" si="2"/>
        <v>351.5</v>
      </c>
      <c r="R28" s="302">
        <f t="shared" si="2"/>
        <v>247.5</v>
      </c>
      <c r="S28" s="301">
        <f t="shared" si="2"/>
        <v>283.3333333</v>
      </c>
      <c r="T28" s="299">
        <f t="shared" si="2"/>
        <v>184.5</v>
      </c>
      <c r="U28" s="298">
        <f t="shared" si="2"/>
        <v>191.6666667</v>
      </c>
      <c r="V28" s="302">
        <f t="shared" si="2"/>
        <v>180.3333333</v>
      </c>
      <c r="W28" s="301" t="str">
        <f t="shared" si="2"/>
        <v/>
      </c>
      <c r="X28" s="299" t="str">
        <f t="shared" si="2"/>
        <v/>
      </c>
      <c r="Y28" s="298" t="str">
        <f t="shared" si="2"/>
        <v/>
      </c>
      <c r="Z28" s="302" t="str">
        <f t="shared" si="2"/>
        <v/>
      </c>
      <c r="AA28" s="303" t="str">
        <f t="shared" si="2"/>
        <v/>
      </c>
      <c r="AB28" s="304" t="str">
        <f t="shared" si="2"/>
        <v/>
      </c>
      <c r="AC28" s="305" t="str">
        <f t="shared" si="2"/>
        <v/>
      </c>
      <c r="AD28" s="304" t="str">
        <f t="shared" si="2"/>
        <v/>
      </c>
      <c r="AE28" s="306"/>
    </row>
    <row r="29" ht="15.75" customHeight="1">
      <c r="A29" s="270" t="s">
        <v>152</v>
      </c>
      <c r="B29" s="271" t="s">
        <v>153</v>
      </c>
      <c r="C29" s="218" t="s">
        <v>154</v>
      </c>
      <c r="D29" s="224" t="s">
        <v>154</v>
      </c>
      <c r="E29" s="218" t="s">
        <v>154</v>
      </c>
      <c r="F29" s="224" t="s">
        <v>154</v>
      </c>
      <c r="G29" s="218" t="s">
        <v>154</v>
      </c>
      <c r="H29" s="224" t="s">
        <v>155</v>
      </c>
      <c r="I29" s="222" t="s">
        <v>154</v>
      </c>
      <c r="J29" s="224" t="s">
        <v>154</v>
      </c>
      <c r="K29" s="218" t="s">
        <v>154</v>
      </c>
      <c r="L29" s="224" t="s">
        <v>156</v>
      </c>
      <c r="M29" s="218" t="s">
        <v>156</v>
      </c>
      <c r="N29" s="224" t="s">
        <v>156</v>
      </c>
      <c r="O29" s="218" t="s">
        <v>156</v>
      </c>
      <c r="P29" s="307" t="s">
        <v>156</v>
      </c>
      <c r="Q29" s="218" t="s">
        <v>154</v>
      </c>
      <c r="R29" s="224" t="s">
        <v>156</v>
      </c>
      <c r="S29" s="218" t="s">
        <v>156</v>
      </c>
      <c r="T29" s="224" t="s">
        <v>154</v>
      </c>
      <c r="U29" s="218" t="s">
        <v>156</v>
      </c>
      <c r="V29" s="224" t="s">
        <v>156</v>
      </c>
      <c r="W29" s="218" t="s">
        <v>156</v>
      </c>
      <c r="X29" s="224" t="s">
        <v>156</v>
      </c>
      <c r="Y29" s="218" t="s">
        <v>156</v>
      </c>
      <c r="Z29" s="224" t="s">
        <v>155</v>
      </c>
      <c r="AA29" s="308"/>
      <c r="AB29" s="309"/>
      <c r="AC29" s="308"/>
      <c r="AD29" s="310"/>
      <c r="AE29" s="213"/>
    </row>
    <row r="30" ht="15.75" customHeight="1">
      <c r="A30" s="278"/>
      <c r="B30" s="279" t="s">
        <v>157</v>
      </c>
      <c r="C30" s="233">
        <v>400.0</v>
      </c>
      <c r="D30" s="34">
        <v>400.0</v>
      </c>
      <c r="E30" s="233">
        <v>400.0</v>
      </c>
      <c r="F30" s="234">
        <v>450.0</v>
      </c>
      <c r="G30" s="36">
        <v>490.0</v>
      </c>
      <c r="H30" s="235">
        <v>10.0</v>
      </c>
      <c r="I30" s="236">
        <v>490.0</v>
      </c>
      <c r="J30" s="130">
        <v>490.0</v>
      </c>
      <c r="K30" s="237">
        <v>490.0</v>
      </c>
      <c r="L30" s="34">
        <v>26.0</v>
      </c>
      <c r="M30" s="233">
        <v>26.0</v>
      </c>
      <c r="N30" s="234">
        <v>16.0</v>
      </c>
      <c r="O30" s="237">
        <v>20.0</v>
      </c>
      <c r="P30" s="239">
        <v>22.0</v>
      </c>
      <c r="Q30" s="233">
        <v>480.0</v>
      </c>
      <c r="R30" s="130">
        <v>22.0</v>
      </c>
      <c r="S30" s="237">
        <v>20.0</v>
      </c>
      <c r="T30" s="34">
        <v>450.0</v>
      </c>
      <c r="U30" s="233">
        <v>24.0</v>
      </c>
      <c r="V30" s="130">
        <v>24.0</v>
      </c>
      <c r="W30" s="237">
        <v>22.0</v>
      </c>
      <c r="X30" s="34">
        <v>16.0</v>
      </c>
      <c r="Y30" s="233">
        <v>14.0</v>
      </c>
      <c r="Z30" s="130">
        <v>8.0</v>
      </c>
      <c r="AA30" s="280"/>
      <c r="AB30" s="241"/>
      <c r="AC30" s="281"/>
      <c r="AD30" s="243"/>
      <c r="AE30" s="213"/>
    </row>
    <row r="31" ht="15.75" customHeight="1">
      <c r="A31" s="278"/>
      <c r="B31" s="279" t="s">
        <v>158</v>
      </c>
      <c r="C31" s="233">
        <v>16.0</v>
      </c>
      <c r="D31" s="34">
        <v>26.0</v>
      </c>
      <c r="E31" s="233">
        <v>28.0</v>
      </c>
      <c r="F31" s="234">
        <v>24.0</v>
      </c>
      <c r="G31" s="36">
        <v>22.0</v>
      </c>
      <c r="H31" s="311"/>
      <c r="I31" s="236">
        <v>20.0</v>
      </c>
      <c r="J31" s="130">
        <v>20.0</v>
      </c>
      <c r="K31" s="237">
        <v>20.0</v>
      </c>
      <c r="L31" s="34">
        <v>15.0</v>
      </c>
      <c r="M31" s="233">
        <v>12.0</v>
      </c>
      <c r="N31" s="234">
        <v>14.0</v>
      </c>
      <c r="O31" s="36">
        <v>14.0</v>
      </c>
      <c r="P31" s="239">
        <v>14.0</v>
      </c>
      <c r="Q31" s="233">
        <v>20.0</v>
      </c>
      <c r="R31" s="130">
        <v>20.0</v>
      </c>
      <c r="S31" s="237">
        <v>20.0</v>
      </c>
      <c r="T31" s="34">
        <v>20.0</v>
      </c>
      <c r="U31" s="233">
        <v>20.0</v>
      </c>
      <c r="V31" s="130">
        <v>16.0</v>
      </c>
      <c r="W31" s="237">
        <v>25.0</v>
      </c>
      <c r="X31" s="34">
        <v>22.0</v>
      </c>
      <c r="Y31" s="233">
        <v>16.0</v>
      </c>
      <c r="Z31" s="247"/>
      <c r="AA31" s="280"/>
      <c r="AB31" s="241"/>
      <c r="AC31" s="281"/>
      <c r="AD31" s="243"/>
      <c r="AE31" s="213"/>
    </row>
    <row r="32" ht="15.75" customHeight="1">
      <c r="A32" s="278"/>
      <c r="B32" s="279" t="s">
        <v>159</v>
      </c>
      <c r="C32" s="233">
        <v>12.0</v>
      </c>
      <c r="D32" s="34">
        <v>12.0</v>
      </c>
      <c r="E32" s="233">
        <v>12.0</v>
      </c>
      <c r="F32" s="234">
        <v>12.0</v>
      </c>
      <c r="G32" s="36">
        <v>10.0</v>
      </c>
      <c r="H32" s="235">
        <v>8.0</v>
      </c>
      <c r="I32" s="236">
        <v>9.0</v>
      </c>
      <c r="J32" s="130">
        <v>9.0</v>
      </c>
      <c r="K32" s="237">
        <v>8.0</v>
      </c>
      <c r="L32" s="34">
        <v>10.0</v>
      </c>
      <c r="M32" s="233">
        <v>8.0</v>
      </c>
      <c r="N32" s="234">
        <v>8.0</v>
      </c>
      <c r="O32" s="237">
        <v>8.0</v>
      </c>
      <c r="P32" s="239">
        <v>8.0</v>
      </c>
      <c r="Q32" s="233">
        <v>10.0</v>
      </c>
      <c r="R32" s="130">
        <v>10.0</v>
      </c>
      <c r="S32" s="237">
        <v>8.0</v>
      </c>
      <c r="T32" s="34">
        <v>6.0</v>
      </c>
      <c r="U32" s="233">
        <v>8.0</v>
      </c>
      <c r="V32" s="130">
        <v>8.0</v>
      </c>
      <c r="W32" s="237">
        <v>8.0</v>
      </c>
      <c r="X32" s="34">
        <v>8.0</v>
      </c>
      <c r="Y32" s="233">
        <v>6.0</v>
      </c>
      <c r="Z32" s="130">
        <v>8.0</v>
      </c>
      <c r="AA32" s="280"/>
      <c r="AB32" s="241"/>
      <c r="AC32" s="281"/>
      <c r="AD32" s="243"/>
      <c r="AE32" s="213"/>
    </row>
    <row r="33" ht="15.75" customHeight="1">
      <c r="A33" s="278"/>
      <c r="B33" s="279" t="s">
        <v>160</v>
      </c>
      <c r="C33" s="233">
        <v>0.7</v>
      </c>
      <c r="D33" s="34">
        <v>0.6</v>
      </c>
      <c r="E33" s="233">
        <v>0.4</v>
      </c>
      <c r="F33" s="234">
        <v>0.4</v>
      </c>
      <c r="G33" s="36">
        <v>0.45</v>
      </c>
      <c r="H33" s="235">
        <v>0.6</v>
      </c>
      <c r="I33" s="236">
        <v>0.4</v>
      </c>
      <c r="J33" s="130">
        <v>0.4</v>
      </c>
      <c r="K33" s="237">
        <v>0.35</v>
      </c>
      <c r="L33" s="34">
        <v>0.55</v>
      </c>
      <c r="M33" s="233">
        <v>0.5</v>
      </c>
      <c r="N33" s="234">
        <v>0.4</v>
      </c>
      <c r="O33" s="237">
        <v>0.4</v>
      </c>
      <c r="P33" s="239">
        <v>0.4</v>
      </c>
      <c r="Q33" s="233">
        <v>0.4</v>
      </c>
      <c r="R33" s="130">
        <v>0.4</v>
      </c>
      <c r="S33" s="237">
        <v>0.45</v>
      </c>
      <c r="T33" s="34">
        <v>0.45</v>
      </c>
      <c r="U33" s="233">
        <v>0.6</v>
      </c>
      <c r="V33" s="130">
        <v>0.5</v>
      </c>
      <c r="W33" s="237">
        <v>0.4</v>
      </c>
      <c r="X33" s="34">
        <v>0.4</v>
      </c>
      <c r="Y33" s="233">
        <v>0.4</v>
      </c>
      <c r="Z33" s="130">
        <v>0.3</v>
      </c>
      <c r="AA33" s="280"/>
      <c r="AB33" s="241"/>
      <c r="AC33" s="281"/>
      <c r="AD33" s="243"/>
      <c r="AE33" s="213"/>
    </row>
    <row r="34" ht="15.75" customHeight="1">
      <c r="A34" s="278"/>
      <c r="B34" s="312" t="s">
        <v>161</v>
      </c>
      <c r="C34" s="232">
        <v>0.7</v>
      </c>
      <c r="D34" s="235">
        <v>0.7</v>
      </c>
      <c r="E34" s="233">
        <v>0.7</v>
      </c>
      <c r="F34" s="234">
        <v>0.7</v>
      </c>
      <c r="G34" s="36">
        <v>0.8</v>
      </c>
      <c r="H34" s="311"/>
      <c r="I34" s="236">
        <v>0.8</v>
      </c>
      <c r="J34" s="234">
        <v>0.8</v>
      </c>
      <c r="K34" s="237">
        <v>0.8</v>
      </c>
      <c r="L34" s="34">
        <v>1.0</v>
      </c>
      <c r="M34" s="233">
        <v>1.0</v>
      </c>
      <c r="N34" s="234">
        <v>1.1</v>
      </c>
      <c r="O34" s="237">
        <v>0.9</v>
      </c>
      <c r="P34" s="313">
        <v>1.0</v>
      </c>
      <c r="Q34" s="232">
        <v>0.7</v>
      </c>
      <c r="R34" s="130">
        <v>0.9</v>
      </c>
      <c r="S34" s="237">
        <v>0.9</v>
      </c>
      <c r="T34" s="34">
        <v>0.9</v>
      </c>
      <c r="U34" s="233">
        <v>0.9</v>
      </c>
      <c r="V34" s="130">
        <v>0.7</v>
      </c>
      <c r="W34" s="237">
        <v>0.8</v>
      </c>
      <c r="X34" s="34">
        <v>0.8</v>
      </c>
      <c r="Y34" s="233">
        <v>0.9</v>
      </c>
      <c r="Z34" s="247"/>
      <c r="AA34" s="280"/>
      <c r="AB34" s="241"/>
      <c r="AC34" s="281"/>
      <c r="AD34" s="243"/>
      <c r="AE34" s="213"/>
    </row>
    <row r="35" ht="15.75" customHeight="1">
      <c r="A35" s="278"/>
      <c r="B35" s="312" t="s">
        <v>162</v>
      </c>
      <c r="C35" s="232">
        <v>34.0</v>
      </c>
      <c r="D35" s="235">
        <v>34.0</v>
      </c>
      <c r="E35" s="233">
        <v>53.0</v>
      </c>
      <c r="F35" s="234">
        <v>45.0</v>
      </c>
      <c r="G35" s="36">
        <v>56.0</v>
      </c>
      <c r="H35" s="311"/>
      <c r="I35" s="236">
        <v>40.0</v>
      </c>
      <c r="J35" s="234">
        <v>40.0</v>
      </c>
      <c r="K35" s="237">
        <v>39.0</v>
      </c>
      <c r="L35" s="34">
        <v>40.0</v>
      </c>
      <c r="M35" s="232">
        <v>60.0</v>
      </c>
      <c r="N35" s="241"/>
      <c r="O35" s="242"/>
      <c r="P35" s="314"/>
      <c r="Q35" s="232">
        <v>63.0</v>
      </c>
      <c r="R35" s="241"/>
      <c r="S35" s="249"/>
      <c r="T35" s="240"/>
      <c r="U35" s="238"/>
      <c r="V35" s="247"/>
      <c r="W35" s="249"/>
      <c r="X35" s="240"/>
      <c r="Y35" s="238"/>
      <c r="Z35" s="247"/>
      <c r="AA35" s="280"/>
      <c r="AB35" s="241"/>
      <c r="AC35" s="281"/>
      <c r="AD35" s="243"/>
      <c r="AE35" s="213"/>
    </row>
    <row r="36" ht="15.75" customHeight="1">
      <c r="A36" s="278"/>
      <c r="B36" s="284" t="s">
        <v>163</v>
      </c>
      <c r="C36" s="315" t="s">
        <v>164</v>
      </c>
      <c r="D36" s="316" t="s">
        <v>164</v>
      </c>
      <c r="E36" s="315" t="s">
        <v>164</v>
      </c>
      <c r="F36" s="316" t="s">
        <v>164</v>
      </c>
      <c r="G36" s="315" t="s">
        <v>164</v>
      </c>
      <c r="H36" s="316"/>
      <c r="I36" s="317" t="s">
        <v>164</v>
      </c>
      <c r="J36" s="316" t="s">
        <v>164</v>
      </c>
      <c r="K36" s="315" t="s">
        <v>164</v>
      </c>
      <c r="L36" s="316" t="s">
        <v>165</v>
      </c>
      <c r="M36" s="315" t="s">
        <v>165</v>
      </c>
      <c r="N36" s="316" t="s">
        <v>165</v>
      </c>
      <c r="O36" s="315" t="s">
        <v>165</v>
      </c>
      <c r="P36" s="318" t="s">
        <v>165</v>
      </c>
      <c r="Q36" s="315" t="s">
        <v>164</v>
      </c>
      <c r="R36" s="316" t="s">
        <v>165</v>
      </c>
      <c r="S36" s="315"/>
      <c r="T36" s="319" t="s">
        <v>164</v>
      </c>
      <c r="U36" s="315" t="s">
        <v>165</v>
      </c>
      <c r="V36" s="319" t="s">
        <v>165</v>
      </c>
      <c r="W36" s="315"/>
      <c r="X36" s="319" t="s">
        <v>165</v>
      </c>
      <c r="Y36" s="315" t="s">
        <v>165</v>
      </c>
      <c r="Z36" s="319" t="s">
        <v>165</v>
      </c>
      <c r="AA36" s="315"/>
      <c r="AB36" s="316"/>
      <c r="AC36" s="315"/>
      <c r="AD36" s="320"/>
      <c r="AE36" s="321"/>
    </row>
    <row r="37" ht="15.75" customHeight="1">
      <c r="A37" s="322" t="s">
        <v>166</v>
      </c>
      <c r="B37" s="271" t="s">
        <v>167</v>
      </c>
      <c r="C37" s="216">
        <v>16.0</v>
      </c>
      <c r="D37" s="223">
        <v>26.0</v>
      </c>
      <c r="E37" s="224">
        <v>28.0</v>
      </c>
      <c r="F37" s="221">
        <v>25.0</v>
      </c>
      <c r="G37" s="216">
        <v>22.0</v>
      </c>
      <c r="H37" s="219">
        <v>14.0</v>
      </c>
      <c r="I37" s="307">
        <v>20.0</v>
      </c>
      <c r="J37" s="217">
        <v>20.0</v>
      </c>
      <c r="K37" s="218">
        <v>30.0</v>
      </c>
      <c r="L37" s="223">
        <v>19.0</v>
      </c>
      <c r="M37" s="224">
        <v>14.0</v>
      </c>
      <c r="N37" s="221">
        <v>16.0</v>
      </c>
      <c r="O37" s="218">
        <v>15.0</v>
      </c>
      <c r="P37" s="323">
        <v>18.0</v>
      </c>
      <c r="Q37" s="220">
        <v>20.0</v>
      </c>
      <c r="R37" s="217">
        <v>24.0</v>
      </c>
      <c r="S37" s="218">
        <v>20.0</v>
      </c>
      <c r="T37" s="223">
        <v>20.0</v>
      </c>
      <c r="U37" s="224">
        <v>20.0</v>
      </c>
      <c r="V37" s="217">
        <v>16.0</v>
      </c>
      <c r="W37" s="218">
        <v>25.0</v>
      </c>
      <c r="X37" s="223">
        <v>28.0</v>
      </c>
      <c r="Y37" s="224">
        <v>31.0</v>
      </c>
      <c r="Z37" s="217">
        <v>19.0</v>
      </c>
      <c r="AA37" s="227"/>
      <c r="AB37" s="228"/>
      <c r="AC37" s="324"/>
      <c r="AD37" s="230"/>
      <c r="AE37" s="213"/>
    </row>
    <row r="38" ht="15.75" customHeight="1">
      <c r="A38" s="214"/>
      <c r="B38" s="282" t="s">
        <v>168</v>
      </c>
      <c r="C38" s="232">
        <v>400.0</v>
      </c>
      <c r="D38" s="130">
        <v>400.0</v>
      </c>
      <c r="E38" s="237">
        <v>400.0</v>
      </c>
      <c r="F38" s="235">
        <v>450.0</v>
      </c>
      <c r="G38" s="232">
        <v>490.0</v>
      </c>
      <c r="H38" s="234">
        <v>720.0</v>
      </c>
      <c r="I38" s="251">
        <v>490.0</v>
      </c>
      <c r="J38" s="34">
        <v>491.0</v>
      </c>
      <c r="K38" s="233">
        <v>490.0</v>
      </c>
      <c r="L38" s="130">
        <v>350.0</v>
      </c>
      <c r="M38" s="36">
        <v>670.0</v>
      </c>
      <c r="N38" s="235">
        <v>700.0</v>
      </c>
      <c r="O38" s="233">
        <v>450.0</v>
      </c>
      <c r="P38" s="325">
        <v>670.0</v>
      </c>
      <c r="Q38" s="237">
        <v>480.0</v>
      </c>
      <c r="R38" s="34">
        <v>560.0</v>
      </c>
      <c r="S38" s="233">
        <v>490.0</v>
      </c>
      <c r="T38" s="130">
        <v>450.0</v>
      </c>
      <c r="U38" s="237">
        <v>650.0</v>
      </c>
      <c r="V38" s="34">
        <v>540.0</v>
      </c>
      <c r="W38" s="233">
        <v>540.0</v>
      </c>
      <c r="X38" s="130">
        <v>380.0</v>
      </c>
      <c r="Y38" s="237">
        <v>540.0</v>
      </c>
      <c r="Z38" s="34">
        <v>640.0</v>
      </c>
      <c r="AA38" s="238"/>
      <c r="AB38" s="241"/>
      <c r="AC38" s="326"/>
      <c r="AD38" s="243"/>
      <c r="AE38" s="213"/>
    </row>
    <row r="39" ht="15.75" customHeight="1">
      <c r="A39" s="214"/>
      <c r="B39" s="279" t="s">
        <v>169</v>
      </c>
      <c r="C39" s="232">
        <v>6.4</v>
      </c>
      <c r="D39" s="234">
        <v>10.4</v>
      </c>
      <c r="E39" s="237">
        <v>11.2</v>
      </c>
      <c r="F39" s="235">
        <v>11.0</v>
      </c>
      <c r="G39" s="232">
        <v>10.9</v>
      </c>
      <c r="H39" s="234">
        <v>7.5</v>
      </c>
      <c r="I39" s="251">
        <v>9.8</v>
      </c>
      <c r="J39" s="34">
        <v>9.8</v>
      </c>
      <c r="K39" s="233">
        <v>9.9</v>
      </c>
      <c r="L39" s="234">
        <v>11.2</v>
      </c>
      <c r="M39" s="237">
        <v>10.4</v>
      </c>
      <c r="N39" s="235">
        <v>12.1</v>
      </c>
      <c r="O39" s="233">
        <v>9.4</v>
      </c>
      <c r="P39" s="325">
        <v>10.4</v>
      </c>
      <c r="Q39" s="237">
        <v>9.6</v>
      </c>
      <c r="R39" s="34">
        <v>12.0</v>
      </c>
      <c r="S39" s="233">
        <v>9.9</v>
      </c>
      <c r="T39" s="130">
        <v>9.3</v>
      </c>
      <c r="U39" s="237">
        <v>13.0</v>
      </c>
      <c r="V39" s="34">
        <v>9.1</v>
      </c>
      <c r="W39" s="233">
        <v>13.6</v>
      </c>
      <c r="X39" s="130">
        <v>13.5</v>
      </c>
      <c r="Y39" s="237">
        <v>16.7</v>
      </c>
      <c r="Z39" s="34">
        <v>9.7</v>
      </c>
      <c r="AA39" s="238"/>
      <c r="AB39" s="241"/>
      <c r="AC39" s="326"/>
      <c r="AD39" s="243"/>
      <c r="AE39" s="213"/>
    </row>
    <row r="40" ht="15.75" customHeight="1">
      <c r="A40" s="214"/>
      <c r="B40" s="279" t="s">
        <v>170</v>
      </c>
      <c r="C40" s="232">
        <v>35.0</v>
      </c>
      <c r="D40" s="130">
        <v>34.0</v>
      </c>
      <c r="E40" s="237">
        <v>46.0</v>
      </c>
      <c r="F40" s="235">
        <v>42.0</v>
      </c>
      <c r="G40" s="232">
        <v>40.0</v>
      </c>
      <c r="H40" s="234">
        <v>18.0</v>
      </c>
      <c r="I40" s="251">
        <v>29.0</v>
      </c>
      <c r="J40" s="34">
        <v>34.0</v>
      </c>
      <c r="K40" s="233">
        <v>35.0</v>
      </c>
      <c r="L40" s="130">
        <v>36.0</v>
      </c>
      <c r="M40" s="237">
        <v>34.0</v>
      </c>
      <c r="N40" s="235">
        <v>24.0</v>
      </c>
      <c r="O40" s="233">
        <v>25.0</v>
      </c>
      <c r="P40" s="325">
        <v>30.0</v>
      </c>
      <c r="Q40" s="36">
        <v>33.0</v>
      </c>
      <c r="R40" s="34">
        <v>32.0</v>
      </c>
      <c r="S40" s="233">
        <v>28.0</v>
      </c>
      <c r="T40" s="130">
        <v>28.0</v>
      </c>
      <c r="U40" s="237">
        <v>32.0</v>
      </c>
      <c r="V40" s="34">
        <v>32.0</v>
      </c>
      <c r="W40" s="233">
        <v>30.0</v>
      </c>
      <c r="X40" s="130">
        <v>24.0</v>
      </c>
      <c r="Y40" s="237">
        <v>21.0</v>
      </c>
      <c r="Z40" s="34">
        <v>16.0</v>
      </c>
      <c r="AA40" s="238"/>
      <c r="AB40" s="241"/>
      <c r="AC40" s="326"/>
      <c r="AD40" s="243"/>
      <c r="AE40" s="213"/>
    </row>
    <row r="41" ht="15.75" customHeight="1">
      <c r="A41" s="214"/>
      <c r="B41" s="279" t="s">
        <v>171</v>
      </c>
      <c r="C41" s="232">
        <v>25.0</v>
      </c>
      <c r="D41" s="234">
        <v>23.0</v>
      </c>
      <c r="E41" s="36">
        <v>23.0</v>
      </c>
      <c r="F41" s="235">
        <v>26.0</v>
      </c>
      <c r="G41" s="232">
        <v>25.0</v>
      </c>
      <c r="H41" s="241"/>
      <c r="I41" s="251">
        <v>21.0</v>
      </c>
      <c r="J41" s="34">
        <v>24.0</v>
      </c>
      <c r="K41" s="233">
        <v>22.0</v>
      </c>
      <c r="L41" s="247"/>
      <c r="M41" s="36">
        <v>27.0</v>
      </c>
      <c r="N41" s="311"/>
      <c r="O41" s="327"/>
      <c r="P41" s="243"/>
      <c r="Q41" s="36">
        <v>23.0</v>
      </c>
      <c r="R41" s="240"/>
      <c r="S41" s="233">
        <v>24.0</v>
      </c>
      <c r="T41" s="247"/>
      <c r="U41" s="237">
        <v>26.0</v>
      </c>
      <c r="V41" s="34">
        <v>24.0</v>
      </c>
      <c r="W41" s="233">
        <v>25.0</v>
      </c>
      <c r="X41" s="247"/>
      <c r="Y41" s="249"/>
      <c r="Z41" s="240"/>
      <c r="AA41" s="238"/>
      <c r="AB41" s="241"/>
      <c r="AC41" s="326"/>
      <c r="AD41" s="243"/>
      <c r="AE41" s="213"/>
    </row>
    <row r="42" ht="15.75" customHeight="1">
      <c r="A42" s="214"/>
      <c r="B42" s="279" t="s">
        <v>172</v>
      </c>
      <c r="C42" s="232">
        <v>14.0</v>
      </c>
      <c r="D42" s="234">
        <v>12.5</v>
      </c>
      <c r="E42" s="36">
        <v>12.4</v>
      </c>
      <c r="F42" s="235">
        <v>13.0</v>
      </c>
      <c r="G42" s="232">
        <v>10.0</v>
      </c>
      <c r="H42" s="241"/>
      <c r="I42" s="251">
        <v>9.7</v>
      </c>
      <c r="J42" s="34">
        <v>10.0</v>
      </c>
      <c r="K42" s="233">
        <v>8.0</v>
      </c>
      <c r="L42" s="247"/>
      <c r="M42" s="36">
        <v>8.0</v>
      </c>
      <c r="N42" s="311"/>
      <c r="O42" s="327"/>
      <c r="P42" s="243"/>
      <c r="Q42" s="36">
        <v>10.0</v>
      </c>
      <c r="R42" s="240"/>
      <c r="S42" s="233">
        <v>9.0</v>
      </c>
      <c r="T42" s="247"/>
      <c r="U42" s="237">
        <v>8.8</v>
      </c>
      <c r="V42" s="34">
        <v>8.0</v>
      </c>
      <c r="W42" s="233">
        <v>9.3</v>
      </c>
      <c r="X42" s="247"/>
      <c r="Y42" s="237"/>
      <c r="Z42" s="240"/>
      <c r="AA42" s="238"/>
      <c r="AB42" s="241"/>
      <c r="AC42" s="326"/>
      <c r="AD42" s="243"/>
      <c r="AE42" s="213"/>
    </row>
    <row r="43" ht="15.75" customHeight="1">
      <c r="A43" s="214"/>
      <c r="B43" s="284" t="s">
        <v>173</v>
      </c>
      <c r="C43" s="315" t="s">
        <v>89</v>
      </c>
      <c r="D43" s="328" t="s">
        <v>89</v>
      </c>
      <c r="E43" s="319" t="s">
        <v>89</v>
      </c>
      <c r="F43" s="329" t="s">
        <v>89</v>
      </c>
      <c r="G43" s="315" t="s">
        <v>89</v>
      </c>
      <c r="H43" s="328" t="s">
        <v>174</v>
      </c>
      <c r="I43" s="330" t="s">
        <v>89</v>
      </c>
      <c r="J43" s="329" t="s">
        <v>89</v>
      </c>
      <c r="K43" s="315" t="s">
        <v>89</v>
      </c>
      <c r="L43" s="328" t="s">
        <v>174</v>
      </c>
      <c r="M43" s="319" t="s">
        <v>89</v>
      </c>
      <c r="N43" s="329" t="s">
        <v>174</v>
      </c>
      <c r="O43" s="315" t="s">
        <v>174</v>
      </c>
      <c r="P43" s="320" t="s">
        <v>174</v>
      </c>
      <c r="Q43" s="331"/>
      <c r="R43" s="329" t="s">
        <v>174</v>
      </c>
      <c r="S43" s="332"/>
      <c r="T43" s="333"/>
      <c r="U43" s="319" t="s">
        <v>89</v>
      </c>
      <c r="V43" s="329" t="s">
        <v>89</v>
      </c>
      <c r="W43" s="315" t="s">
        <v>174</v>
      </c>
      <c r="X43" s="328" t="s">
        <v>174</v>
      </c>
      <c r="Y43" s="319" t="s">
        <v>174</v>
      </c>
      <c r="Z43" s="329" t="s">
        <v>174</v>
      </c>
      <c r="AA43" s="332"/>
      <c r="AB43" s="333"/>
      <c r="AC43" s="334"/>
      <c r="AD43" s="335"/>
      <c r="AE43" s="213"/>
    </row>
    <row r="44" ht="15.75" customHeight="1">
      <c r="A44" s="214"/>
      <c r="B44" s="282" t="s">
        <v>175</v>
      </c>
      <c r="C44" s="233">
        <v>-0.5</v>
      </c>
      <c r="D44" s="247"/>
      <c r="E44" s="249"/>
      <c r="F44" s="240"/>
      <c r="G44" s="238"/>
      <c r="H44" s="130">
        <v>0.8</v>
      </c>
      <c r="I44" s="336"/>
      <c r="J44" s="240"/>
      <c r="K44" s="238"/>
      <c r="L44" s="247"/>
      <c r="M44" s="249"/>
      <c r="N44" s="240"/>
      <c r="O44" s="238"/>
      <c r="P44" s="335"/>
      <c r="Q44" s="249"/>
      <c r="R44" s="240"/>
      <c r="S44" s="238"/>
      <c r="T44" s="247"/>
      <c r="U44" s="249"/>
      <c r="V44" s="240"/>
      <c r="W44" s="233">
        <v>2.0</v>
      </c>
      <c r="X44" s="247"/>
      <c r="Y44" s="249"/>
      <c r="Z44" s="34">
        <v>1.5</v>
      </c>
      <c r="AA44" s="238"/>
      <c r="AB44" s="241"/>
      <c r="AC44" s="326"/>
      <c r="AD44" s="243"/>
      <c r="AE44" s="213"/>
    </row>
    <row r="45" ht="15.75" customHeight="1">
      <c r="A45" s="214"/>
      <c r="B45" s="284" t="s">
        <v>176</v>
      </c>
      <c r="C45" s="332"/>
      <c r="D45" s="333"/>
      <c r="E45" s="331"/>
      <c r="F45" s="337"/>
      <c r="G45" s="332"/>
      <c r="H45" s="333"/>
      <c r="I45" s="338"/>
      <c r="J45" s="337"/>
      <c r="K45" s="332"/>
      <c r="L45" s="333"/>
      <c r="M45" s="331"/>
      <c r="N45" s="337"/>
      <c r="O45" s="332"/>
      <c r="P45" s="339"/>
      <c r="Q45" s="331"/>
      <c r="R45" s="337"/>
      <c r="S45" s="332"/>
      <c r="T45" s="333"/>
      <c r="U45" s="331"/>
      <c r="V45" s="337"/>
      <c r="W45" s="332"/>
      <c r="X45" s="333"/>
      <c r="Y45" s="331"/>
      <c r="Z45" s="337"/>
      <c r="AA45" s="332"/>
      <c r="AB45" s="340"/>
      <c r="AC45" s="341"/>
      <c r="AD45" s="342"/>
      <c r="AE45" s="213"/>
    </row>
    <row r="46" ht="15.75" customHeight="1">
      <c r="A46" s="214"/>
      <c r="B46" s="343" t="s">
        <v>177</v>
      </c>
      <c r="C46" s="344"/>
      <c r="D46" s="345"/>
      <c r="E46" s="344"/>
      <c r="F46" s="345"/>
      <c r="G46" s="344"/>
      <c r="H46" s="345"/>
      <c r="I46" s="346"/>
      <c r="J46" s="345"/>
      <c r="K46" s="344"/>
      <c r="L46" s="345"/>
      <c r="M46" s="344"/>
      <c r="N46" s="345"/>
      <c r="O46" s="344"/>
      <c r="P46" s="347"/>
      <c r="Q46" s="344"/>
      <c r="R46" s="345"/>
      <c r="S46" s="344"/>
      <c r="T46" s="345"/>
      <c r="U46" s="344"/>
      <c r="V46" s="345"/>
      <c r="W46" s="344"/>
      <c r="X46" s="345"/>
      <c r="Y46" s="344"/>
      <c r="Z46" s="345"/>
      <c r="AA46" s="344"/>
      <c r="AB46" s="345"/>
      <c r="AC46" s="344"/>
      <c r="AD46" s="348"/>
      <c r="AE46" s="349"/>
    </row>
    <row r="47" ht="15.75" customHeight="1">
      <c r="A47" s="263"/>
      <c r="B47" s="350" t="s">
        <v>178</v>
      </c>
      <c r="C47" s="351" t="s">
        <v>179</v>
      </c>
      <c r="D47" s="352" t="s">
        <v>179</v>
      </c>
      <c r="E47" s="351" t="s">
        <v>179</v>
      </c>
      <c r="F47" s="352" t="s">
        <v>179</v>
      </c>
      <c r="G47" s="351"/>
      <c r="H47" s="352"/>
      <c r="I47" s="353" t="s">
        <v>179</v>
      </c>
      <c r="J47" s="352" t="s">
        <v>179</v>
      </c>
      <c r="K47" s="354"/>
      <c r="L47" s="352" t="s">
        <v>179</v>
      </c>
      <c r="M47" s="351" t="s">
        <v>179</v>
      </c>
      <c r="N47" s="355"/>
      <c r="O47" s="351" t="s">
        <v>179</v>
      </c>
      <c r="P47" s="356" t="s">
        <v>179</v>
      </c>
      <c r="Q47" s="351" t="s">
        <v>179</v>
      </c>
      <c r="R47" s="352" t="s">
        <v>179</v>
      </c>
      <c r="S47" s="354"/>
      <c r="T47" s="352" t="s">
        <v>179</v>
      </c>
      <c r="U47" s="351" t="s">
        <v>179</v>
      </c>
      <c r="V47" s="352" t="s">
        <v>179</v>
      </c>
      <c r="W47" s="354"/>
      <c r="X47" s="352" t="s">
        <v>179</v>
      </c>
      <c r="Y47" s="351" t="s">
        <v>179</v>
      </c>
      <c r="Z47" s="355"/>
      <c r="AA47" s="354"/>
      <c r="AB47" s="355"/>
      <c r="AC47" s="354"/>
      <c r="AD47" s="357"/>
      <c r="AE47" s="349"/>
    </row>
    <row r="48" ht="15.75" customHeight="1">
      <c r="A48" s="358" t="s">
        <v>180</v>
      </c>
      <c r="B48" s="359" t="s">
        <v>181</v>
      </c>
      <c r="C48" s="360">
        <f t="shared" ref="C48:AD48" si="3">IFS(C29="VC-CMV",C30/$J$2,C29="PC-CMV",C38/$J$2,C29="PC-CSV",C38/$J$2,C29="CPAP",C38/$J$2,C29="VMNI",C38/$J$2,C29="PC-SIMV",C38/$J$2,C29="","")</f>
        <v>5.668452229</v>
      </c>
      <c r="D48" s="361">
        <f t="shared" si="3"/>
        <v>5.668452229</v>
      </c>
      <c r="E48" s="362">
        <f t="shared" si="3"/>
        <v>5.668452229</v>
      </c>
      <c r="F48" s="363">
        <f t="shared" si="3"/>
        <v>6.377008758</v>
      </c>
      <c r="G48" s="360">
        <f t="shared" si="3"/>
        <v>6.943853981</v>
      </c>
      <c r="H48" s="361">
        <f t="shared" si="3"/>
        <v>10.20321401</v>
      </c>
      <c r="I48" s="364">
        <f t="shared" si="3"/>
        <v>6.943853981</v>
      </c>
      <c r="J48" s="363">
        <f t="shared" si="3"/>
        <v>6.943853981</v>
      </c>
      <c r="K48" s="360">
        <f t="shared" si="3"/>
        <v>6.943853981</v>
      </c>
      <c r="L48" s="361">
        <f t="shared" si="3"/>
        <v>4.9598957</v>
      </c>
      <c r="M48" s="362">
        <f t="shared" si="3"/>
        <v>9.494657484</v>
      </c>
      <c r="N48" s="363">
        <f t="shared" si="3"/>
        <v>9.919791401</v>
      </c>
      <c r="O48" s="360">
        <f t="shared" si="3"/>
        <v>6.377008758</v>
      </c>
      <c r="P48" s="365">
        <f t="shared" si="3"/>
        <v>9.494657484</v>
      </c>
      <c r="Q48" s="362">
        <f t="shared" si="3"/>
        <v>6.802142675</v>
      </c>
      <c r="R48" s="363">
        <f t="shared" si="3"/>
        <v>7.935833121</v>
      </c>
      <c r="S48" s="360">
        <f t="shared" si="3"/>
        <v>6.943853981</v>
      </c>
      <c r="T48" s="361">
        <f t="shared" si="3"/>
        <v>6.377008758</v>
      </c>
      <c r="U48" s="362">
        <f t="shared" si="3"/>
        <v>9.211234872</v>
      </c>
      <c r="V48" s="363">
        <f t="shared" si="3"/>
        <v>7.652410509</v>
      </c>
      <c r="W48" s="360">
        <f t="shared" si="3"/>
        <v>7.652410509</v>
      </c>
      <c r="X48" s="361">
        <f t="shared" si="3"/>
        <v>5.385029618</v>
      </c>
      <c r="Y48" s="362">
        <f t="shared" si="3"/>
        <v>7.652410509</v>
      </c>
      <c r="Z48" s="363">
        <f t="shared" si="3"/>
        <v>9.069523567</v>
      </c>
      <c r="AA48" s="360" t="str">
        <f t="shared" si="3"/>
        <v/>
      </c>
      <c r="AB48" s="361" t="str">
        <f t="shared" si="3"/>
        <v/>
      </c>
      <c r="AC48" s="362" t="str">
        <f t="shared" si="3"/>
        <v/>
      </c>
      <c r="AD48" s="366" t="str">
        <f t="shared" si="3"/>
        <v/>
      </c>
      <c r="AE48" s="367"/>
    </row>
    <row r="49" ht="15.75" customHeight="1">
      <c r="A49" s="214"/>
      <c r="B49" s="368" t="s">
        <v>182</v>
      </c>
      <c r="C49" s="369">
        <v>1.0</v>
      </c>
      <c r="D49" s="370">
        <v>1.0</v>
      </c>
      <c r="E49" s="371">
        <v>1.0</v>
      </c>
      <c r="F49" s="372">
        <v>1.0</v>
      </c>
      <c r="G49" s="369">
        <v>1.0</v>
      </c>
      <c r="H49" s="370">
        <v>1.0</v>
      </c>
      <c r="I49" s="373">
        <v>1.0</v>
      </c>
      <c r="J49" s="372">
        <v>1.0</v>
      </c>
      <c r="K49" s="369">
        <v>1.0</v>
      </c>
      <c r="L49" s="370">
        <v>1.0</v>
      </c>
      <c r="M49" s="371">
        <v>1.0</v>
      </c>
      <c r="N49" s="372">
        <v>1.0</v>
      </c>
      <c r="O49" s="369">
        <v>1.0</v>
      </c>
      <c r="P49" s="374">
        <v>1.0</v>
      </c>
      <c r="Q49" s="371">
        <v>1.0</v>
      </c>
      <c r="R49" s="372">
        <v>1.0</v>
      </c>
      <c r="S49" s="369">
        <v>1.0</v>
      </c>
      <c r="T49" s="370">
        <v>1.0</v>
      </c>
      <c r="U49" s="371">
        <v>1.0</v>
      </c>
      <c r="V49" s="372">
        <v>1.0</v>
      </c>
      <c r="W49" s="369">
        <v>1.0</v>
      </c>
      <c r="X49" s="370">
        <v>1.0</v>
      </c>
      <c r="Y49" s="371">
        <v>1.0</v>
      </c>
      <c r="Z49" s="372">
        <v>1.0</v>
      </c>
      <c r="AA49" s="369">
        <v>1.0</v>
      </c>
      <c r="AB49" s="375">
        <v>1.0</v>
      </c>
      <c r="AC49" s="376">
        <v>1.0</v>
      </c>
      <c r="AD49" s="377">
        <v>1.0</v>
      </c>
      <c r="AE49" s="321"/>
    </row>
    <row r="50" ht="15.75" customHeight="1">
      <c r="A50" s="214"/>
      <c r="B50" s="378" t="s">
        <v>183</v>
      </c>
      <c r="C50" s="379">
        <f t="shared" ref="C50:AD50" si="4">((60/C31)-C34)/C34</f>
        <v>4.357142857</v>
      </c>
      <c r="D50" s="380">
        <f t="shared" si="4"/>
        <v>2.296703297</v>
      </c>
      <c r="E50" s="381">
        <f t="shared" si="4"/>
        <v>2.06122449</v>
      </c>
      <c r="F50" s="382">
        <f t="shared" si="4"/>
        <v>2.571428571</v>
      </c>
      <c r="G50" s="379">
        <f t="shared" si="4"/>
        <v>2.409090909</v>
      </c>
      <c r="H50" s="380" t="str">
        <f t="shared" si="4"/>
        <v>#DIV/0!</v>
      </c>
      <c r="I50" s="383">
        <f t="shared" si="4"/>
        <v>2.75</v>
      </c>
      <c r="J50" s="382">
        <f t="shared" si="4"/>
        <v>2.75</v>
      </c>
      <c r="K50" s="379">
        <f t="shared" si="4"/>
        <v>2.75</v>
      </c>
      <c r="L50" s="380">
        <f t="shared" si="4"/>
        <v>3</v>
      </c>
      <c r="M50" s="381">
        <f t="shared" si="4"/>
        <v>4</v>
      </c>
      <c r="N50" s="382">
        <f t="shared" si="4"/>
        <v>2.896103896</v>
      </c>
      <c r="O50" s="379">
        <f t="shared" si="4"/>
        <v>3.761904762</v>
      </c>
      <c r="P50" s="384">
        <f t="shared" si="4"/>
        <v>3.285714286</v>
      </c>
      <c r="Q50" s="381">
        <f t="shared" si="4"/>
        <v>3.285714286</v>
      </c>
      <c r="R50" s="382">
        <f t="shared" si="4"/>
        <v>2.333333333</v>
      </c>
      <c r="S50" s="379">
        <f t="shared" si="4"/>
        <v>2.333333333</v>
      </c>
      <c r="T50" s="380">
        <f t="shared" si="4"/>
        <v>2.333333333</v>
      </c>
      <c r="U50" s="381">
        <f t="shared" si="4"/>
        <v>2.333333333</v>
      </c>
      <c r="V50" s="382">
        <f t="shared" si="4"/>
        <v>4.357142857</v>
      </c>
      <c r="W50" s="379">
        <f t="shared" si="4"/>
        <v>2</v>
      </c>
      <c r="X50" s="380">
        <f t="shared" si="4"/>
        <v>2.409090909</v>
      </c>
      <c r="Y50" s="381">
        <f t="shared" si="4"/>
        <v>3.166666667</v>
      </c>
      <c r="Z50" s="382" t="str">
        <f t="shared" si="4"/>
        <v>#DIV/0!</v>
      </c>
      <c r="AA50" s="379" t="str">
        <f t="shared" si="4"/>
        <v>#DIV/0!</v>
      </c>
      <c r="AB50" s="385" t="str">
        <f t="shared" si="4"/>
        <v>#DIV/0!</v>
      </c>
      <c r="AC50" s="386" t="str">
        <f t="shared" si="4"/>
        <v>#DIV/0!</v>
      </c>
      <c r="AD50" s="387" t="str">
        <f t="shared" si="4"/>
        <v>#DIV/0!</v>
      </c>
      <c r="AE50" s="295"/>
    </row>
    <row r="51" ht="15.75" customHeight="1">
      <c r="A51" s="214"/>
      <c r="B51" s="388" t="s">
        <v>184</v>
      </c>
      <c r="C51" s="389">
        <f t="shared" ref="C51:AD51" si="5">IF(C52&lt;&gt;"",(C52*C34)+C42,"")</f>
        <v>21.7</v>
      </c>
      <c r="D51" s="390">
        <f t="shared" si="5"/>
        <v>19.85</v>
      </c>
      <c r="E51" s="389">
        <f t="shared" si="5"/>
        <v>19.82</v>
      </c>
      <c r="F51" s="390">
        <f t="shared" si="5"/>
        <v>22.1</v>
      </c>
      <c r="G51" s="389">
        <f t="shared" si="5"/>
        <v>22</v>
      </c>
      <c r="H51" s="390" t="str">
        <f t="shared" si="5"/>
        <v/>
      </c>
      <c r="I51" s="391">
        <f t="shared" si="5"/>
        <v>18.74</v>
      </c>
      <c r="J51" s="390">
        <f t="shared" si="5"/>
        <v>21.2</v>
      </c>
      <c r="K51" s="389">
        <f t="shared" si="5"/>
        <v>19.2</v>
      </c>
      <c r="L51" s="390" t="str">
        <f t="shared" si="5"/>
        <v/>
      </c>
      <c r="M51" s="389">
        <f t="shared" si="5"/>
        <v>27</v>
      </c>
      <c r="N51" s="390" t="str">
        <f t="shared" si="5"/>
        <v/>
      </c>
      <c r="O51" s="389" t="str">
        <f t="shared" si="5"/>
        <v/>
      </c>
      <c r="P51" s="392" t="str">
        <f t="shared" si="5"/>
        <v/>
      </c>
      <c r="Q51" s="389">
        <f t="shared" si="5"/>
        <v>19.1</v>
      </c>
      <c r="R51" s="390" t="str">
        <f t="shared" si="5"/>
        <v/>
      </c>
      <c r="S51" s="389">
        <f t="shared" si="5"/>
        <v>22.5</v>
      </c>
      <c r="T51" s="390" t="str">
        <f t="shared" si="5"/>
        <v/>
      </c>
      <c r="U51" s="389">
        <f t="shared" si="5"/>
        <v>24.28</v>
      </c>
      <c r="V51" s="390">
        <f t="shared" si="5"/>
        <v>19.2</v>
      </c>
      <c r="W51" s="389">
        <f t="shared" si="5"/>
        <v>21.86</v>
      </c>
      <c r="X51" s="390" t="str">
        <f t="shared" si="5"/>
        <v/>
      </c>
      <c r="Y51" s="389" t="str">
        <f t="shared" si="5"/>
        <v/>
      </c>
      <c r="Z51" s="390" t="str">
        <f t="shared" si="5"/>
        <v/>
      </c>
      <c r="AA51" s="389" t="str">
        <f t="shared" si="5"/>
        <v/>
      </c>
      <c r="AB51" s="390" t="str">
        <f t="shared" si="5"/>
        <v/>
      </c>
      <c r="AC51" s="389" t="str">
        <f t="shared" si="5"/>
        <v/>
      </c>
      <c r="AD51" s="391" t="str">
        <f t="shared" si="5"/>
        <v/>
      </c>
      <c r="AE51" s="213"/>
    </row>
    <row r="52" ht="15.75" customHeight="1">
      <c r="A52" s="214"/>
      <c r="B52" s="388" t="s">
        <v>185</v>
      </c>
      <c r="C52" s="393">
        <f t="shared" ref="C52:AD52" si="6">IF(AND(C42&gt;0,C41&gt;0),C41-C42,"")</f>
        <v>11</v>
      </c>
      <c r="D52" s="394">
        <f t="shared" si="6"/>
        <v>10.5</v>
      </c>
      <c r="E52" s="395">
        <f t="shared" si="6"/>
        <v>10.6</v>
      </c>
      <c r="F52" s="396">
        <f t="shared" si="6"/>
        <v>13</v>
      </c>
      <c r="G52" s="393">
        <f t="shared" si="6"/>
        <v>15</v>
      </c>
      <c r="H52" s="394" t="str">
        <f t="shared" si="6"/>
        <v/>
      </c>
      <c r="I52" s="397">
        <f t="shared" si="6"/>
        <v>11.3</v>
      </c>
      <c r="J52" s="396">
        <f t="shared" si="6"/>
        <v>14</v>
      </c>
      <c r="K52" s="393">
        <f t="shared" si="6"/>
        <v>14</v>
      </c>
      <c r="L52" s="394" t="str">
        <f t="shared" si="6"/>
        <v/>
      </c>
      <c r="M52" s="395">
        <f t="shared" si="6"/>
        <v>19</v>
      </c>
      <c r="N52" s="396" t="str">
        <f t="shared" si="6"/>
        <v/>
      </c>
      <c r="O52" s="393" t="str">
        <f t="shared" si="6"/>
        <v/>
      </c>
      <c r="P52" s="398" t="str">
        <f t="shared" si="6"/>
        <v/>
      </c>
      <c r="Q52" s="395">
        <f t="shared" si="6"/>
        <v>13</v>
      </c>
      <c r="R52" s="396" t="str">
        <f t="shared" si="6"/>
        <v/>
      </c>
      <c r="S52" s="393">
        <f t="shared" si="6"/>
        <v>15</v>
      </c>
      <c r="T52" s="394" t="str">
        <f t="shared" si="6"/>
        <v/>
      </c>
      <c r="U52" s="395">
        <f t="shared" si="6"/>
        <v>17.2</v>
      </c>
      <c r="V52" s="396">
        <f t="shared" si="6"/>
        <v>16</v>
      </c>
      <c r="W52" s="393">
        <f t="shared" si="6"/>
        <v>15.7</v>
      </c>
      <c r="X52" s="394" t="str">
        <f t="shared" si="6"/>
        <v/>
      </c>
      <c r="Y52" s="395" t="str">
        <f t="shared" si="6"/>
        <v/>
      </c>
      <c r="Z52" s="396" t="str">
        <f t="shared" si="6"/>
        <v/>
      </c>
      <c r="AA52" s="393" t="str">
        <f t="shared" si="6"/>
        <v/>
      </c>
      <c r="AB52" s="394" t="str">
        <f t="shared" si="6"/>
        <v/>
      </c>
      <c r="AC52" s="395" t="str">
        <f t="shared" si="6"/>
        <v/>
      </c>
      <c r="AD52" s="399" t="str">
        <f t="shared" si="6"/>
        <v/>
      </c>
      <c r="AE52" s="213"/>
    </row>
    <row r="53" ht="15.75" customHeight="1">
      <c r="A53" s="214"/>
      <c r="B53" s="388" t="s">
        <v>186</v>
      </c>
      <c r="C53" s="379">
        <f t="shared" ref="C53:AD53" si="7">IF(AND(C38&gt;0,C52&gt;0),C38/C52,"")</f>
        <v>36.36363636</v>
      </c>
      <c r="D53" s="380">
        <f t="shared" si="7"/>
        <v>38.0952381</v>
      </c>
      <c r="E53" s="381">
        <f t="shared" si="7"/>
        <v>37.73584906</v>
      </c>
      <c r="F53" s="382">
        <f t="shared" si="7"/>
        <v>34.61538462</v>
      </c>
      <c r="G53" s="379">
        <f t="shared" si="7"/>
        <v>32.66666667</v>
      </c>
      <c r="H53" s="380" t="str">
        <f t="shared" si="7"/>
        <v>#DIV/0!</v>
      </c>
      <c r="I53" s="383">
        <f t="shared" si="7"/>
        <v>43.36283186</v>
      </c>
      <c r="J53" s="382">
        <f t="shared" si="7"/>
        <v>35.07142857</v>
      </c>
      <c r="K53" s="379">
        <f t="shared" si="7"/>
        <v>35</v>
      </c>
      <c r="L53" s="380" t="str">
        <f t="shared" si="7"/>
        <v>#DIV/0!</v>
      </c>
      <c r="M53" s="381">
        <f t="shared" si="7"/>
        <v>35.26315789</v>
      </c>
      <c r="N53" s="382" t="str">
        <f t="shared" si="7"/>
        <v>#DIV/0!</v>
      </c>
      <c r="O53" s="379" t="str">
        <f t="shared" si="7"/>
        <v>#DIV/0!</v>
      </c>
      <c r="P53" s="384" t="str">
        <f t="shared" si="7"/>
        <v>#DIV/0!</v>
      </c>
      <c r="Q53" s="381">
        <f t="shared" si="7"/>
        <v>36.92307692</v>
      </c>
      <c r="R53" s="382" t="str">
        <f t="shared" si="7"/>
        <v>#DIV/0!</v>
      </c>
      <c r="S53" s="379">
        <f t="shared" si="7"/>
        <v>32.66666667</v>
      </c>
      <c r="T53" s="380" t="str">
        <f t="shared" si="7"/>
        <v>#DIV/0!</v>
      </c>
      <c r="U53" s="381">
        <f t="shared" si="7"/>
        <v>37.79069767</v>
      </c>
      <c r="V53" s="382">
        <f t="shared" si="7"/>
        <v>33.75</v>
      </c>
      <c r="W53" s="379">
        <f t="shared" si="7"/>
        <v>34.39490446</v>
      </c>
      <c r="X53" s="380" t="str">
        <f t="shared" si="7"/>
        <v>#DIV/0!</v>
      </c>
      <c r="Y53" s="381" t="str">
        <f t="shared" si="7"/>
        <v>#DIV/0!</v>
      </c>
      <c r="Z53" s="382" t="str">
        <f t="shared" si="7"/>
        <v>#DIV/0!</v>
      </c>
      <c r="AA53" s="379" t="str">
        <f t="shared" si="7"/>
        <v/>
      </c>
      <c r="AB53" s="380" t="str">
        <f t="shared" si="7"/>
        <v/>
      </c>
      <c r="AC53" s="381" t="str">
        <f t="shared" si="7"/>
        <v/>
      </c>
      <c r="AD53" s="400" t="str">
        <f t="shared" si="7"/>
        <v/>
      </c>
      <c r="AE53" s="213"/>
    </row>
    <row r="54" ht="15.75" customHeight="1">
      <c r="A54" s="214"/>
      <c r="B54" s="388" t="s">
        <v>187</v>
      </c>
      <c r="C54" s="401">
        <f t="shared" ref="C54:AD54" si="8">IF(AND(C29="VC-CMV",C43="NO"),(C40-C41)/(C35/60),"")</f>
        <v>17.64705882</v>
      </c>
      <c r="D54" s="402">
        <f t="shared" si="8"/>
        <v>19.41176471</v>
      </c>
      <c r="E54" s="401">
        <f t="shared" si="8"/>
        <v>26.03773585</v>
      </c>
      <c r="F54" s="402">
        <f t="shared" si="8"/>
        <v>21.33333333</v>
      </c>
      <c r="G54" s="401">
        <f t="shared" si="8"/>
        <v>16.07142857</v>
      </c>
      <c r="H54" s="402" t="str">
        <f t="shared" si="8"/>
        <v/>
      </c>
      <c r="I54" s="403">
        <f t="shared" si="8"/>
        <v>12</v>
      </c>
      <c r="J54" s="402">
        <f t="shared" si="8"/>
        <v>15</v>
      </c>
      <c r="K54" s="401">
        <f t="shared" si="8"/>
        <v>20</v>
      </c>
      <c r="L54" s="402" t="str">
        <f t="shared" si="8"/>
        <v/>
      </c>
      <c r="M54" s="401" t="str">
        <f t="shared" si="8"/>
        <v/>
      </c>
      <c r="N54" s="402" t="str">
        <f t="shared" si="8"/>
        <v/>
      </c>
      <c r="O54" s="401" t="str">
        <f t="shared" si="8"/>
        <v/>
      </c>
      <c r="P54" s="404" t="str">
        <f t="shared" si="8"/>
        <v/>
      </c>
      <c r="Q54" s="401" t="str">
        <f t="shared" si="8"/>
        <v/>
      </c>
      <c r="R54" s="402" t="str">
        <f t="shared" si="8"/>
        <v/>
      </c>
      <c r="S54" s="401" t="str">
        <f t="shared" si="8"/>
        <v/>
      </c>
      <c r="T54" s="402" t="str">
        <f t="shared" si="8"/>
        <v/>
      </c>
      <c r="U54" s="401" t="str">
        <f t="shared" si="8"/>
        <v/>
      </c>
      <c r="V54" s="402" t="str">
        <f t="shared" si="8"/>
        <v/>
      </c>
      <c r="W54" s="401" t="str">
        <f t="shared" si="8"/>
        <v/>
      </c>
      <c r="X54" s="402" t="str">
        <f t="shared" si="8"/>
        <v/>
      </c>
      <c r="Y54" s="401" t="str">
        <f t="shared" si="8"/>
        <v/>
      </c>
      <c r="Z54" s="402" t="str">
        <f t="shared" si="8"/>
        <v/>
      </c>
      <c r="AA54" s="401" t="str">
        <f t="shared" si="8"/>
        <v/>
      </c>
      <c r="AB54" s="402" t="str">
        <f t="shared" si="8"/>
        <v/>
      </c>
      <c r="AC54" s="401" t="str">
        <f t="shared" si="8"/>
        <v/>
      </c>
      <c r="AD54" s="404" t="str">
        <f t="shared" si="8"/>
        <v/>
      </c>
      <c r="AE54" s="405"/>
    </row>
    <row r="55" ht="15.75" customHeight="1">
      <c r="A55" s="214"/>
      <c r="B55" s="406" t="s">
        <v>188</v>
      </c>
      <c r="C55" s="407">
        <f t="shared" ref="C55:AD55" si="9">IF(AND(C29="VC-CMV",AND(C36="Cuadrada",C43="NO")), (((0.5*(C52/(C38/1000))+(1+(C49/C50))/(60*(C49/C50))*C37*C54)*((C38/1000)*(C38/1000))+(C38/1000)*C42)*C37*0.098),"")</f>
        <v>18.55510588</v>
      </c>
      <c r="D55" s="408">
        <f t="shared" si="9"/>
        <v>29.39621176</v>
      </c>
      <c r="E55" s="409">
        <f t="shared" si="9"/>
        <v>35.75838792</v>
      </c>
      <c r="F55" s="410">
        <f t="shared" si="9"/>
        <v>37.24875</v>
      </c>
      <c r="G55" s="407">
        <f t="shared" si="9"/>
        <v>28.88703125</v>
      </c>
      <c r="H55" s="408" t="str">
        <f t="shared" si="9"/>
        <v/>
      </c>
      <c r="I55" s="411">
        <f t="shared" si="9"/>
        <v>21.80108</v>
      </c>
      <c r="J55" s="410">
        <f t="shared" si="9"/>
        <v>25.21984675</v>
      </c>
      <c r="K55" s="407">
        <f t="shared" si="9"/>
        <v>48.080025</v>
      </c>
      <c r="L55" s="408" t="str">
        <f t="shared" si="9"/>
        <v/>
      </c>
      <c r="M55" s="409" t="str">
        <f t="shared" si="9"/>
        <v/>
      </c>
      <c r="N55" s="410" t="str">
        <f t="shared" si="9"/>
        <v/>
      </c>
      <c r="O55" s="407" t="str">
        <f t="shared" si="9"/>
        <v/>
      </c>
      <c r="P55" s="412" t="str">
        <f t="shared" si="9"/>
        <v/>
      </c>
      <c r="Q55" s="409" t="str">
        <f t="shared" si="9"/>
        <v/>
      </c>
      <c r="R55" s="410" t="str">
        <f t="shared" si="9"/>
        <v/>
      </c>
      <c r="S55" s="407" t="str">
        <f t="shared" si="9"/>
        <v/>
      </c>
      <c r="T55" s="408" t="str">
        <f t="shared" si="9"/>
        <v/>
      </c>
      <c r="U55" s="409" t="str">
        <f t="shared" si="9"/>
        <v/>
      </c>
      <c r="V55" s="410" t="str">
        <f t="shared" si="9"/>
        <v/>
      </c>
      <c r="W55" s="407" t="str">
        <f t="shared" si="9"/>
        <v/>
      </c>
      <c r="X55" s="408" t="str">
        <f t="shared" si="9"/>
        <v/>
      </c>
      <c r="Y55" s="409" t="str">
        <f t="shared" si="9"/>
        <v/>
      </c>
      <c r="Z55" s="410" t="str">
        <f t="shared" si="9"/>
        <v/>
      </c>
      <c r="AA55" s="407" t="str">
        <f t="shared" si="9"/>
        <v/>
      </c>
      <c r="AB55" s="408" t="str">
        <f t="shared" si="9"/>
        <v/>
      </c>
      <c r="AC55" s="409" t="str">
        <f t="shared" si="9"/>
        <v/>
      </c>
      <c r="AD55" s="413" t="str">
        <f t="shared" si="9"/>
        <v/>
      </c>
      <c r="AE55" s="367"/>
    </row>
    <row r="56" ht="15.75" customHeight="1">
      <c r="A56" s="214"/>
      <c r="B56" s="414" t="s">
        <v>189</v>
      </c>
      <c r="C56" s="407">
        <f>IFS(OR(C53="",C55=""),"",AND(C53&gt;0,C55&gt;0),C55/C53)</f>
        <v>0.5102654118</v>
      </c>
      <c r="D56" s="415"/>
      <c r="E56" s="416"/>
      <c r="F56" s="417"/>
      <c r="G56" s="418"/>
      <c r="H56" s="415"/>
      <c r="I56" s="419"/>
      <c r="J56" s="417"/>
      <c r="K56" s="418"/>
      <c r="L56" s="415"/>
      <c r="M56" s="416"/>
      <c r="N56" s="417"/>
      <c r="O56" s="418"/>
      <c r="P56" s="420"/>
      <c r="Q56" s="416"/>
      <c r="R56" s="417"/>
      <c r="S56" s="418"/>
      <c r="T56" s="415"/>
      <c r="U56" s="416"/>
      <c r="V56" s="417"/>
      <c r="W56" s="418"/>
      <c r="X56" s="415"/>
      <c r="Y56" s="416"/>
      <c r="Z56" s="417"/>
      <c r="AA56" s="418"/>
      <c r="AB56" s="415"/>
      <c r="AC56" s="416"/>
      <c r="AD56" s="421"/>
      <c r="AE56" s="367"/>
    </row>
    <row r="57" ht="15.75" customHeight="1">
      <c r="A57" s="214"/>
      <c r="B57" s="414" t="s">
        <v>190</v>
      </c>
      <c r="C57" s="407">
        <f t="shared" ref="C57:AD57" si="10">IFS(OR(C55="",$J$2=""),"",AND(C55&gt;0,$J$2&gt;0),C55/$J$2)</f>
        <v>0.2629468283</v>
      </c>
      <c r="D57" s="408">
        <f t="shared" si="10"/>
        <v>0.4165775553</v>
      </c>
      <c r="E57" s="409">
        <f t="shared" si="10"/>
        <v>0.5067367844</v>
      </c>
      <c r="F57" s="410">
        <f t="shared" si="10"/>
        <v>0.5278568999</v>
      </c>
      <c r="G57" s="407">
        <f t="shared" si="10"/>
        <v>0.4093618917</v>
      </c>
      <c r="H57" s="408" t="str">
        <f t="shared" si="10"/>
        <v/>
      </c>
      <c r="I57" s="411">
        <f t="shared" si="10"/>
        <v>0.3089459513</v>
      </c>
      <c r="J57" s="410">
        <f t="shared" si="10"/>
        <v>0.3573937413</v>
      </c>
      <c r="K57" s="407">
        <f t="shared" si="10"/>
        <v>0.6813483122</v>
      </c>
      <c r="L57" s="408" t="str">
        <f t="shared" si="10"/>
        <v/>
      </c>
      <c r="M57" s="409" t="str">
        <f t="shared" si="10"/>
        <v/>
      </c>
      <c r="N57" s="410" t="str">
        <f t="shared" si="10"/>
        <v/>
      </c>
      <c r="O57" s="407" t="str">
        <f t="shared" si="10"/>
        <v/>
      </c>
      <c r="P57" s="412" t="str">
        <f t="shared" si="10"/>
        <v/>
      </c>
      <c r="Q57" s="409" t="str">
        <f t="shared" si="10"/>
        <v/>
      </c>
      <c r="R57" s="410" t="str">
        <f t="shared" si="10"/>
        <v/>
      </c>
      <c r="S57" s="407" t="str">
        <f t="shared" si="10"/>
        <v/>
      </c>
      <c r="T57" s="408" t="str">
        <f t="shared" si="10"/>
        <v/>
      </c>
      <c r="U57" s="409" t="str">
        <f t="shared" si="10"/>
        <v/>
      </c>
      <c r="V57" s="410" t="str">
        <f t="shared" si="10"/>
        <v/>
      </c>
      <c r="W57" s="407" t="str">
        <f t="shared" si="10"/>
        <v/>
      </c>
      <c r="X57" s="408" t="str">
        <f t="shared" si="10"/>
        <v/>
      </c>
      <c r="Y57" s="409" t="str">
        <f t="shared" si="10"/>
        <v/>
      </c>
      <c r="Z57" s="410" t="str">
        <f t="shared" si="10"/>
        <v/>
      </c>
      <c r="AA57" s="407" t="str">
        <f t="shared" si="10"/>
        <v/>
      </c>
      <c r="AB57" s="408" t="str">
        <f t="shared" si="10"/>
        <v/>
      </c>
      <c r="AC57" s="409" t="str">
        <f t="shared" si="10"/>
        <v/>
      </c>
      <c r="AD57" s="413" t="str">
        <f t="shared" si="10"/>
        <v/>
      </c>
      <c r="AE57" s="367"/>
    </row>
    <row r="58" ht="15.75" customHeight="1">
      <c r="A58" s="214"/>
      <c r="B58" s="414" t="s">
        <v>191</v>
      </c>
      <c r="C58" s="407" t="str">
        <f t="shared" ref="C58:AD58" si="11">IF(AND(C43="NO",AND(C21&gt;0,C39&gt;0)),(C39*1000*C21)/($J$2*37.5*100),"")</f>
        <v/>
      </c>
      <c r="D58" s="422">
        <f t="shared" si="11"/>
        <v>1.917901917</v>
      </c>
      <c r="E58" s="407">
        <f t="shared" si="11"/>
        <v>1.61256129</v>
      </c>
      <c r="F58" s="422">
        <f t="shared" si="11"/>
        <v>1.517255713</v>
      </c>
      <c r="G58" s="407">
        <f t="shared" si="11"/>
        <v>1.44167635</v>
      </c>
      <c r="H58" s="422" t="str">
        <f t="shared" si="11"/>
        <v/>
      </c>
      <c r="I58" s="423">
        <f t="shared" si="11"/>
        <v>1.399880963</v>
      </c>
      <c r="J58" s="422">
        <f t="shared" si="11"/>
        <v>1.399880963</v>
      </c>
      <c r="K58" s="407">
        <f t="shared" si="11"/>
        <v>1.328118357</v>
      </c>
      <c r="L58" s="422" t="str">
        <f t="shared" si="11"/>
        <v/>
      </c>
      <c r="M58" s="407">
        <f t="shared" si="11"/>
        <v>1.375544408</v>
      </c>
      <c r="N58" s="422" t="str">
        <f t="shared" si="11"/>
        <v/>
      </c>
      <c r="O58" s="407" t="str">
        <f t="shared" si="11"/>
        <v/>
      </c>
      <c r="P58" s="424" t="str">
        <f t="shared" si="11"/>
        <v/>
      </c>
      <c r="Q58" s="407" t="str">
        <f t="shared" si="11"/>
        <v/>
      </c>
      <c r="R58" s="422" t="str">
        <f t="shared" si="11"/>
        <v/>
      </c>
      <c r="S58" s="407" t="str">
        <f t="shared" si="11"/>
        <v/>
      </c>
      <c r="T58" s="422" t="str">
        <f t="shared" si="11"/>
        <v/>
      </c>
      <c r="U58" s="407">
        <f t="shared" si="11"/>
        <v>1.78820773</v>
      </c>
      <c r="V58" s="422">
        <f t="shared" si="11"/>
        <v>1.299889465</v>
      </c>
      <c r="W58" s="407" t="str">
        <f t="shared" si="11"/>
        <v/>
      </c>
      <c r="X58" s="422" t="str">
        <f t="shared" si="11"/>
        <v/>
      </c>
      <c r="Y58" s="407" t="str">
        <f t="shared" si="11"/>
        <v/>
      </c>
      <c r="Z58" s="422" t="str">
        <f t="shared" si="11"/>
        <v/>
      </c>
      <c r="AA58" s="407" t="str">
        <f t="shared" si="11"/>
        <v/>
      </c>
      <c r="AB58" s="422" t="str">
        <f t="shared" si="11"/>
        <v/>
      </c>
      <c r="AC58" s="407" t="str">
        <f t="shared" si="11"/>
        <v/>
      </c>
      <c r="AD58" s="424" t="str">
        <f t="shared" si="11"/>
        <v/>
      </c>
      <c r="AE58" s="367"/>
    </row>
    <row r="59" ht="15.75" customHeight="1">
      <c r="A59" s="214"/>
      <c r="B59" s="425" t="s">
        <v>192</v>
      </c>
      <c r="C59" s="426" t="str">
        <f t="shared" ref="C59:AD59" si="12">IFS(C41="","",C41=C40,"0",C41&lt;C40,"",C41&gt;C40,C41-(C40-C32))</f>
        <v/>
      </c>
      <c r="D59" s="427" t="str">
        <f t="shared" si="12"/>
        <v/>
      </c>
      <c r="E59" s="428" t="str">
        <f t="shared" si="12"/>
        <v/>
      </c>
      <c r="F59" s="429" t="str">
        <f t="shared" si="12"/>
        <v/>
      </c>
      <c r="G59" s="426" t="str">
        <f t="shared" si="12"/>
        <v/>
      </c>
      <c r="H59" s="427" t="str">
        <f t="shared" si="12"/>
        <v/>
      </c>
      <c r="I59" s="430" t="str">
        <f t="shared" si="12"/>
        <v/>
      </c>
      <c r="J59" s="429" t="str">
        <f t="shared" si="12"/>
        <v/>
      </c>
      <c r="K59" s="426" t="str">
        <f t="shared" si="12"/>
        <v/>
      </c>
      <c r="L59" s="427" t="str">
        <f t="shared" si="12"/>
        <v/>
      </c>
      <c r="M59" s="428" t="str">
        <f t="shared" si="12"/>
        <v/>
      </c>
      <c r="N59" s="429" t="str">
        <f t="shared" si="12"/>
        <v/>
      </c>
      <c r="O59" s="426" t="str">
        <f t="shared" si="12"/>
        <v/>
      </c>
      <c r="P59" s="431" t="str">
        <f t="shared" si="12"/>
        <v/>
      </c>
      <c r="Q59" s="428" t="str">
        <f t="shared" si="12"/>
        <v/>
      </c>
      <c r="R59" s="429" t="str">
        <f t="shared" si="12"/>
        <v/>
      </c>
      <c r="S59" s="426" t="str">
        <f t="shared" si="12"/>
        <v/>
      </c>
      <c r="T59" s="427" t="str">
        <f t="shared" si="12"/>
        <v/>
      </c>
      <c r="U59" s="428" t="str">
        <f t="shared" si="12"/>
        <v/>
      </c>
      <c r="V59" s="429" t="str">
        <f t="shared" si="12"/>
        <v/>
      </c>
      <c r="W59" s="426" t="str">
        <f t="shared" si="12"/>
        <v/>
      </c>
      <c r="X59" s="427" t="str">
        <f t="shared" si="12"/>
        <v/>
      </c>
      <c r="Y59" s="428" t="str">
        <f t="shared" si="12"/>
        <v/>
      </c>
      <c r="Z59" s="429" t="str">
        <f t="shared" si="12"/>
        <v/>
      </c>
      <c r="AA59" s="426" t="str">
        <f t="shared" si="12"/>
        <v/>
      </c>
      <c r="AB59" s="427" t="str">
        <f t="shared" si="12"/>
        <v/>
      </c>
      <c r="AC59" s="428" t="str">
        <f t="shared" si="12"/>
        <v/>
      </c>
      <c r="AD59" s="432" t="str">
        <f t="shared" si="12"/>
        <v/>
      </c>
      <c r="AE59" s="367"/>
    </row>
    <row r="60" ht="15.75" customHeight="1">
      <c r="A60" s="214"/>
      <c r="B60" s="433" t="s">
        <v>193</v>
      </c>
      <c r="C60" s="434" t="str">
        <f t="shared" ref="C60:AD60" si="13">IF(C45&gt;0,(C40-C41)*(C45*0.66),"")</f>
        <v/>
      </c>
      <c r="D60" s="435" t="str">
        <f t="shared" si="13"/>
        <v/>
      </c>
      <c r="E60" s="434" t="str">
        <f t="shared" si="13"/>
        <v/>
      </c>
      <c r="F60" s="435" t="str">
        <f t="shared" si="13"/>
        <v/>
      </c>
      <c r="G60" s="434" t="str">
        <f t="shared" si="13"/>
        <v/>
      </c>
      <c r="H60" s="435" t="str">
        <f t="shared" si="13"/>
        <v/>
      </c>
      <c r="I60" s="436" t="str">
        <f t="shared" si="13"/>
        <v/>
      </c>
      <c r="J60" s="435" t="str">
        <f t="shared" si="13"/>
        <v/>
      </c>
      <c r="K60" s="434" t="str">
        <f t="shared" si="13"/>
        <v/>
      </c>
      <c r="L60" s="435" t="str">
        <f t="shared" si="13"/>
        <v/>
      </c>
      <c r="M60" s="434" t="str">
        <f t="shared" si="13"/>
        <v/>
      </c>
      <c r="N60" s="435" t="str">
        <f t="shared" si="13"/>
        <v/>
      </c>
      <c r="O60" s="434" t="str">
        <f t="shared" si="13"/>
        <v/>
      </c>
      <c r="P60" s="437" t="str">
        <f t="shared" si="13"/>
        <v/>
      </c>
      <c r="Q60" s="434" t="str">
        <f t="shared" si="13"/>
        <v/>
      </c>
      <c r="R60" s="435" t="str">
        <f t="shared" si="13"/>
        <v/>
      </c>
      <c r="S60" s="434" t="str">
        <f t="shared" si="13"/>
        <v/>
      </c>
      <c r="T60" s="435" t="str">
        <f t="shared" si="13"/>
        <v/>
      </c>
      <c r="U60" s="434" t="str">
        <f t="shared" si="13"/>
        <v/>
      </c>
      <c r="V60" s="435" t="str">
        <f t="shared" si="13"/>
        <v/>
      </c>
      <c r="W60" s="434" t="str">
        <f t="shared" si="13"/>
        <v/>
      </c>
      <c r="X60" s="435" t="str">
        <f t="shared" si="13"/>
        <v/>
      </c>
      <c r="Y60" s="434" t="str">
        <f t="shared" si="13"/>
        <v/>
      </c>
      <c r="Z60" s="435" t="str">
        <f t="shared" si="13"/>
        <v/>
      </c>
      <c r="AA60" s="434" t="str">
        <f t="shared" si="13"/>
        <v/>
      </c>
      <c r="AB60" s="435" t="str">
        <f t="shared" si="13"/>
        <v/>
      </c>
      <c r="AC60" s="434" t="str">
        <f t="shared" si="13"/>
        <v/>
      </c>
      <c r="AD60" s="437" t="str">
        <f t="shared" si="13"/>
        <v/>
      </c>
      <c r="AE60" s="213"/>
    </row>
    <row r="61" ht="15.75" customHeight="1">
      <c r="A61" s="214"/>
      <c r="B61" s="433" t="s">
        <v>194</v>
      </c>
      <c r="C61" s="434" t="str">
        <f t="shared" ref="C61:AD61" si="14">IF(C45&gt;0,C45*0.75,"")</f>
        <v/>
      </c>
      <c r="D61" s="435" t="str">
        <f t="shared" si="14"/>
        <v/>
      </c>
      <c r="E61" s="434" t="str">
        <f t="shared" si="14"/>
        <v/>
      </c>
      <c r="F61" s="435" t="str">
        <f t="shared" si="14"/>
        <v/>
      </c>
      <c r="G61" s="434" t="str">
        <f t="shared" si="14"/>
        <v/>
      </c>
      <c r="H61" s="435" t="str">
        <f t="shared" si="14"/>
        <v/>
      </c>
      <c r="I61" s="436" t="str">
        <f t="shared" si="14"/>
        <v/>
      </c>
      <c r="J61" s="435" t="str">
        <f t="shared" si="14"/>
        <v/>
      </c>
      <c r="K61" s="434" t="str">
        <f t="shared" si="14"/>
        <v/>
      </c>
      <c r="L61" s="435" t="str">
        <f t="shared" si="14"/>
        <v/>
      </c>
      <c r="M61" s="434" t="str">
        <f t="shared" si="14"/>
        <v/>
      </c>
      <c r="N61" s="435" t="str">
        <f t="shared" si="14"/>
        <v/>
      </c>
      <c r="O61" s="434" t="str">
        <f t="shared" si="14"/>
        <v/>
      </c>
      <c r="P61" s="437" t="str">
        <f t="shared" si="14"/>
        <v/>
      </c>
      <c r="Q61" s="434" t="str">
        <f t="shared" si="14"/>
        <v/>
      </c>
      <c r="R61" s="435" t="str">
        <f t="shared" si="14"/>
        <v/>
      </c>
      <c r="S61" s="434" t="str">
        <f t="shared" si="14"/>
        <v/>
      </c>
      <c r="T61" s="435" t="str">
        <f t="shared" si="14"/>
        <v/>
      </c>
      <c r="U61" s="434" t="str">
        <f t="shared" si="14"/>
        <v/>
      </c>
      <c r="V61" s="435" t="str">
        <f t="shared" si="14"/>
        <v/>
      </c>
      <c r="W61" s="434" t="str">
        <f t="shared" si="14"/>
        <v/>
      </c>
      <c r="X61" s="435" t="str">
        <f t="shared" si="14"/>
        <v/>
      </c>
      <c r="Y61" s="434" t="str">
        <f t="shared" si="14"/>
        <v/>
      </c>
      <c r="Z61" s="435" t="str">
        <f t="shared" si="14"/>
        <v/>
      </c>
      <c r="AA61" s="434" t="str">
        <f t="shared" si="14"/>
        <v/>
      </c>
      <c r="AB61" s="435" t="str">
        <f t="shared" si="14"/>
        <v/>
      </c>
      <c r="AC61" s="434" t="str">
        <f t="shared" si="14"/>
        <v/>
      </c>
      <c r="AD61" s="437" t="str">
        <f t="shared" si="14"/>
        <v/>
      </c>
      <c r="AE61" s="213"/>
    </row>
    <row r="62" ht="15.75" customHeight="1">
      <c r="A62" s="214"/>
      <c r="B62" s="433" t="s">
        <v>195</v>
      </c>
      <c r="C62" s="434">
        <f t="shared" ref="C62:AD62" si="15">IFS(AND(C52&lt;&gt;"",C37&lt;&gt;""),C52*C37,AND(C52&lt;&gt;"",C31&lt;&gt;""),C52*C31,C52="","")</f>
        <v>176</v>
      </c>
      <c r="D62" s="435">
        <f t="shared" si="15"/>
        <v>273</v>
      </c>
      <c r="E62" s="434">
        <f t="shared" si="15"/>
        <v>296.8</v>
      </c>
      <c r="F62" s="435">
        <f t="shared" si="15"/>
        <v>325</v>
      </c>
      <c r="G62" s="434">
        <f t="shared" si="15"/>
        <v>330</v>
      </c>
      <c r="H62" s="435" t="str">
        <f t="shared" si="15"/>
        <v/>
      </c>
      <c r="I62" s="436">
        <f t="shared" si="15"/>
        <v>226</v>
      </c>
      <c r="J62" s="435">
        <f t="shared" si="15"/>
        <v>280</v>
      </c>
      <c r="K62" s="434">
        <f t="shared" si="15"/>
        <v>420</v>
      </c>
      <c r="L62" s="435" t="str">
        <f t="shared" si="15"/>
        <v/>
      </c>
      <c r="M62" s="434">
        <f t="shared" si="15"/>
        <v>266</v>
      </c>
      <c r="N62" s="435" t="str">
        <f t="shared" si="15"/>
        <v/>
      </c>
      <c r="O62" s="434" t="str">
        <f t="shared" si="15"/>
        <v/>
      </c>
      <c r="P62" s="437" t="str">
        <f t="shared" si="15"/>
        <v/>
      </c>
      <c r="Q62" s="434">
        <f t="shared" si="15"/>
        <v>260</v>
      </c>
      <c r="R62" s="435" t="str">
        <f t="shared" si="15"/>
        <v/>
      </c>
      <c r="S62" s="434">
        <f t="shared" si="15"/>
        <v>300</v>
      </c>
      <c r="T62" s="435" t="str">
        <f t="shared" si="15"/>
        <v/>
      </c>
      <c r="U62" s="434">
        <f t="shared" si="15"/>
        <v>344</v>
      </c>
      <c r="V62" s="435">
        <f t="shared" si="15"/>
        <v>256</v>
      </c>
      <c r="W62" s="434">
        <f t="shared" si="15"/>
        <v>392.5</v>
      </c>
      <c r="X62" s="435" t="str">
        <f t="shared" si="15"/>
        <v/>
      </c>
      <c r="Y62" s="434" t="str">
        <f t="shared" si="15"/>
        <v/>
      </c>
      <c r="Z62" s="435" t="str">
        <f t="shared" si="15"/>
        <v/>
      </c>
      <c r="AA62" s="434" t="str">
        <f t="shared" si="15"/>
        <v/>
      </c>
      <c r="AB62" s="435" t="str">
        <f t="shared" si="15"/>
        <v/>
      </c>
      <c r="AC62" s="434" t="str">
        <f t="shared" si="15"/>
        <v/>
      </c>
      <c r="AD62" s="437" t="str">
        <f t="shared" si="15"/>
        <v/>
      </c>
      <c r="AE62" s="213"/>
    </row>
    <row r="63" ht="15.75" customHeight="1">
      <c r="A63" s="263"/>
      <c r="B63" s="438" t="s">
        <v>196</v>
      </c>
      <c r="C63" s="439" t="str">
        <f t="shared" ref="C63:AD63" si="16">IFS(C51="","",AND(C51&lt;&gt;"",C27&lt;&gt;""),(C51*100*C27)/C22)</f>
        <v>#N/A</v>
      </c>
      <c r="D63" s="440">
        <f t="shared" si="16"/>
        <v>12.69722814</v>
      </c>
      <c r="E63" s="441">
        <f t="shared" si="16"/>
        <v>9.019340159</v>
      </c>
      <c r="F63" s="440" t="str">
        <f t="shared" si="16"/>
        <v>#VALUE!</v>
      </c>
      <c r="G63" s="441">
        <f t="shared" si="16"/>
        <v>13.58024691</v>
      </c>
      <c r="H63" s="440" t="str">
        <f t="shared" si="16"/>
        <v/>
      </c>
      <c r="I63" s="442">
        <f t="shared" si="16"/>
        <v>9.981358189</v>
      </c>
      <c r="J63" s="440">
        <f t="shared" si="16"/>
        <v>8.697435897</v>
      </c>
      <c r="K63" s="441">
        <f t="shared" si="16"/>
        <v>8.155339806</v>
      </c>
      <c r="L63" s="440" t="str">
        <f t="shared" si="16"/>
        <v/>
      </c>
      <c r="M63" s="441">
        <f t="shared" si="16"/>
        <v>10.15037594</v>
      </c>
      <c r="N63" s="440" t="str">
        <f t="shared" si="16"/>
        <v/>
      </c>
      <c r="O63" s="441" t="str">
        <f t="shared" si="16"/>
        <v/>
      </c>
      <c r="P63" s="443" t="str">
        <f t="shared" si="16"/>
        <v/>
      </c>
      <c r="Q63" s="441">
        <f t="shared" si="16"/>
        <v>5.433854908</v>
      </c>
      <c r="R63" s="440" t="str">
        <f t="shared" si="16"/>
        <v/>
      </c>
      <c r="S63" s="441">
        <f t="shared" si="16"/>
        <v>7.941176471</v>
      </c>
      <c r="T63" s="440" t="str">
        <f t="shared" si="16"/>
        <v/>
      </c>
      <c r="U63" s="441">
        <f t="shared" si="16"/>
        <v>12.66782609</v>
      </c>
      <c r="V63" s="440">
        <f t="shared" si="16"/>
        <v>10.64695009</v>
      </c>
      <c r="W63" s="441" t="str">
        <f t="shared" si="16"/>
        <v>#N/A</v>
      </c>
      <c r="X63" s="440" t="str">
        <f t="shared" si="16"/>
        <v/>
      </c>
      <c r="Y63" s="441" t="str">
        <f t="shared" si="16"/>
        <v/>
      </c>
      <c r="Z63" s="440" t="str">
        <f t="shared" si="16"/>
        <v/>
      </c>
      <c r="AA63" s="441" t="str">
        <f t="shared" si="16"/>
        <v/>
      </c>
      <c r="AB63" s="440" t="str">
        <f t="shared" si="16"/>
        <v/>
      </c>
      <c r="AC63" s="441" t="str">
        <f t="shared" si="16"/>
        <v/>
      </c>
      <c r="AD63" s="443" t="str">
        <f t="shared" si="16"/>
        <v/>
      </c>
      <c r="AE63" s="213"/>
    </row>
    <row r="64" ht="15.75" customHeight="1">
      <c r="A64" s="444"/>
      <c r="B64" s="445"/>
      <c r="C64" s="195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96"/>
      <c r="AC64" s="196"/>
      <c r="AD64" s="196"/>
      <c r="AE64" s="213"/>
    </row>
    <row r="65" ht="15.75" customHeight="1">
      <c r="A65" s="444"/>
      <c r="B65" s="445"/>
      <c r="C65" s="195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B65" s="196"/>
      <c r="AC65" s="196"/>
      <c r="AD65" s="196"/>
      <c r="AE65" s="213"/>
    </row>
    <row r="66" ht="15.75" customHeight="1">
      <c r="A66" s="444"/>
      <c r="B66" s="446" t="s">
        <v>109</v>
      </c>
      <c r="C66" s="447">
        <f>SUM(C67:C71)</f>
        <v>20</v>
      </c>
      <c r="D66" s="56"/>
      <c r="E66" s="448" t="s">
        <v>108</v>
      </c>
      <c r="F66" s="449">
        <f>F67+F68+F69+F70+F72</f>
        <v>24</v>
      </c>
      <c r="G66" s="56"/>
      <c r="H66" s="448" t="s">
        <v>110</v>
      </c>
      <c r="I66" s="450">
        <f>SUM(I67:I73)</f>
        <v>9</v>
      </c>
      <c r="J66" s="56"/>
      <c r="K66" s="451" t="s">
        <v>197</v>
      </c>
      <c r="L66" s="201"/>
      <c r="M66" s="452">
        <f>COUNTIF(15:15,"POSITIVO")</f>
        <v>0</v>
      </c>
      <c r="N66" s="56"/>
      <c r="O66" s="453" t="s">
        <v>198</v>
      </c>
      <c r="P66" s="447" t="str">
        <f>IF(P67&gt;0,"SI","NO")</f>
        <v>NO</v>
      </c>
      <c r="Q66" s="56"/>
      <c r="R66" s="56"/>
      <c r="S66" s="454" t="s">
        <v>199</v>
      </c>
      <c r="T66" s="455">
        <f>COUNTIF(28:28,"&lt;200")</f>
        <v>7</v>
      </c>
      <c r="U66" s="56"/>
      <c r="V66" s="56"/>
      <c r="W66" s="56"/>
      <c r="X66" s="56"/>
      <c r="Y66" s="56"/>
      <c r="Z66" s="56"/>
      <c r="AB66" s="196"/>
      <c r="AC66" s="196"/>
      <c r="AD66" s="196"/>
      <c r="AE66" s="213"/>
    </row>
    <row r="67" ht="15.75" customHeight="1">
      <c r="A67" s="56"/>
      <c r="B67" s="456" t="s">
        <v>200</v>
      </c>
      <c r="C67" s="457">
        <f>COUNTIF(14:14,"MDZ")</f>
        <v>18</v>
      </c>
      <c r="D67" s="56"/>
      <c r="E67" s="456" t="s">
        <v>201</v>
      </c>
      <c r="F67" s="458">
        <f>COUNTIF(12:12,"FNT")</f>
        <v>0</v>
      </c>
      <c r="G67" s="56"/>
      <c r="H67" s="456" t="s">
        <v>202</v>
      </c>
      <c r="I67" s="459">
        <f>COUNTIF(19:19,"NORA")</f>
        <v>5</v>
      </c>
      <c r="J67" s="191"/>
      <c r="K67" s="460" t="s">
        <v>203</v>
      </c>
      <c r="L67" s="201"/>
      <c r="M67" s="461">
        <f>COUNTIF(15:15,"NEGATIVO")</f>
        <v>3</v>
      </c>
      <c r="N67" s="191"/>
      <c r="O67" s="462" t="s">
        <v>204</v>
      </c>
      <c r="P67" s="458">
        <f>COUNTIFS(17:17,"&gt;=0",17:17,"&lt;48")</f>
        <v>0</v>
      </c>
      <c r="Q67" s="463" t="s">
        <v>205</v>
      </c>
      <c r="AB67" s="196"/>
      <c r="AC67" s="196"/>
      <c r="AD67" s="196"/>
      <c r="AE67" s="196"/>
    </row>
    <row r="68" ht="15.75" customHeight="1">
      <c r="A68" s="464"/>
      <c r="B68" s="465" t="s">
        <v>206</v>
      </c>
      <c r="C68" s="466">
        <f>COUNTIF(14:14,"PROPO")</f>
        <v>0</v>
      </c>
      <c r="D68" s="467"/>
      <c r="E68" s="468" t="s">
        <v>207</v>
      </c>
      <c r="F68" s="469">
        <f>COUNTIF(12:12,"MORF")</f>
        <v>24</v>
      </c>
      <c r="G68" s="467"/>
      <c r="H68" s="468" t="s">
        <v>208</v>
      </c>
      <c r="I68" s="470">
        <f>COUNTIF(19:19,"VASO")</f>
        <v>0</v>
      </c>
      <c r="J68" s="191"/>
      <c r="K68" s="460" t="s">
        <v>209</v>
      </c>
      <c r="L68" s="201"/>
      <c r="M68" s="461">
        <f>COUNTIF(15:15,"N/E")</f>
        <v>14</v>
      </c>
      <c r="N68" s="191"/>
      <c r="O68" s="471" t="s">
        <v>210</v>
      </c>
      <c r="P68" s="472">
        <f>COUNTIF(17:17,"&gt;=48")</f>
        <v>0</v>
      </c>
      <c r="Q68" s="473" t="s">
        <v>205</v>
      </c>
      <c r="S68" s="474" t="s">
        <v>211</v>
      </c>
      <c r="T68" s="475">
        <f>COUNTIF(47:47,"PRONO")</f>
        <v>0</v>
      </c>
      <c r="AB68" s="196"/>
      <c r="AC68" s="196"/>
      <c r="AD68" s="196"/>
      <c r="AE68" s="196"/>
    </row>
    <row r="69" ht="15.75" customHeight="1">
      <c r="A69" s="464"/>
      <c r="B69" s="465" t="s">
        <v>212</v>
      </c>
      <c r="C69" s="466">
        <f>COUNTIF(14:14,"DEXMEDETO")</f>
        <v>2</v>
      </c>
      <c r="D69" s="467"/>
      <c r="E69" s="468" t="s">
        <v>213</v>
      </c>
      <c r="F69" s="469">
        <f>COUNTIF(12:12,"REMI")</f>
        <v>0</v>
      </c>
      <c r="G69" s="467"/>
      <c r="H69" s="468" t="s">
        <v>214</v>
      </c>
      <c r="I69" s="470">
        <f>COUNTIF(19:19,"DOPA")</f>
        <v>4</v>
      </c>
      <c r="J69" s="191"/>
      <c r="K69" s="191"/>
      <c r="L69" s="191"/>
      <c r="M69" s="191"/>
      <c r="N69" s="191"/>
      <c r="O69" s="191"/>
      <c r="P69" s="191"/>
      <c r="Q69" s="191"/>
      <c r="AB69" s="196"/>
      <c r="AC69" s="196"/>
      <c r="AD69" s="196"/>
      <c r="AE69" s="196"/>
    </row>
    <row r="70" ht="15.75" customHeight="1">
      <c r="A70" s="464"/>
      <c r="B70" s="465" t="s">
        <v>215</v>
      </c>
      <c r="C70" s="476">
        <f>COUNTIF(14:14,"MDZ/PROPO")</f>
        <v>0</v>
      </c>
      <c r="D70" s="191"/>
      <c r="E70" s="477" t="s">
        <v>216</v>
      </c>
      <c r="F70" s="470">
        <f>COUNTIF(12:12,"DOLOFRIX")</f>
        <v>0</v>
      </c>
      <c r="G70" s="191"/>
      <c r="H70" s="477" t="s">
        <v>217</v>
      </c>
      <c r="I70" s="470">
        <f>COUNTIF(19:19,"NORA/VASO")</f>
        <v>0</v>
      </c>
      <c r="J70" s="191"/>
      <c r="K70" s="478" t="s">
        <v>218</v>
      </c>
      <c r="L70" s="201"/>
      <c r="M70" s="479">
        <f>SUM(M71:M73)</f>
        <v>14</v>
      </c>
      <c r="N70" s="191"/>
      <c r="O70" s="480" t="s">
        <v>103</v>
      </c>
      <c r="P70" s="481">
        <f>SUM(P71:P74)</f>
        <v>3</v>
      </c>
      <c r="Q70" s="191"/>
      <c r="AB70" s="196"/>
      <c r="AC70" s="196"/>
      <c r="AD70" s="196"/>
      <c r="AE70" s="196"/>
    </row>
    <row r="71" ht="15.75" customHeight="1">
      <c r="A71" s="464"/>
      <c r="B71" s="465" t="s">
        <v>219</v>
      </c>
      <c r="C71" s="476">
        <f>COUNTIF(14:14,"KETA")</f>
        <v>0</v>
      </c>
      <c r="D71" s="191"/>
      <c r="E71" s="477" t="s">
        <v>220</v>
      </c>
      <c r="F71" s="470">
        <f>COUNTIF(12:12,"AINES")</f>
        <v>0</v>
      </c>
      <c r="G71" s="191"/>
      <c r="H71" s="477" t="s">
        <v>221</v>
      </c>
      <c r="I71" s="470">
        <f>COUNTIF(19:19,"DOBUTA")</f>
        <v>0</v>
      </c>
      <c r="J71" s="191"/>
      <c r="K71" s="482" t="s">
        <v>222</v>
      </c>
      <c r="L71" s="153"/>
      <c r="M71" s="483">
        <f>COUNTIF(16:16,"QTP")</f>
        <v>0</v>
      </c>
      <c r="N71" s="191"/>
      <c r="O71" s="484" t="s">
        <v>223</v>
      </c>
      <c r="P71" s="485">
        <f>COUNTIF(18:18,"ATRA")</f>
        <v>3</v>
      </c>
      <c r="Q71" s="191"/>
      <c r="AB71" s="196"/>
      <c r="AC71" s="196"/>
      <c r="AD71" s="196"/>
      <c r="AE71" s="196"/>
    </row>
    <row r="72" ht="15.75" customHeight="1">
      <c r="A72" s="464"/>
      <c r="B72" s="486" t="s">
        <v>224</v>
      </c>
      <c r="C72" s="487">
        <f>COUNTIF(14:14,"OTROS")</f>
        <v>0</v>
      </c>
      <c r="D72" s="191"/>
      <c r="E72" s="488" t="s">
        <v>224</v>
      </c>
      <c r="F72" s="472">
        <f>COUNTIF(12:12,"OTROS")</f>
        <v>0</v>
      </c>
      <c r="G72" s="191"/>
      <c r="H72" s="477" t="s">
        <v>225</v>
      </c>
      <c r="I72" s="470">
        <f>COUNTIF(19:19,"MILRI")</f>
        <v>0</v>
      </c>
      <c r="J72" s="191"/>
      <c r="K72" s="482" t="s">
        <v>226</v>
      </c>
      <c r="L72" s="153"/>
      <c r="M72" s="483">
        <f>COUNTIF(16:16,"HLP")</f>
        <v>0</v>
      </c>
      <c r="N72" s="191"/>
      <c r="O72" s="488" t="s">
        <v>227</v>
      </c>
      <c r="P72" s="487">
        <f>COUNTIF(18:18,"ROCU")</f>
        <v>0</v>
      </c>
      <c r="Q72" s="191"/>
      <c r="AB72" s="196"/>
      <c r="AC72" s="196"/>
      <c r="AD72" s="196"/>
      <c r="AE72" s="196"/>
    </row>
    <row r="73" ht="15.75" customHeight="1">
      <c r="B73" s="191"/>
      <c r="C73" s="489"/>
      <c r="D73" s="191"/>
      <c r="E73" s="191"/>
      <c r="F73" s="191"/>
      <c r="G73" s="191"/>
      <c r="H73" s="488" t="s">
        <v>224</v>
      </c>
      <c r="I73" s="472">
        <f>COUNTIF(19:19,"OTROS")</f>
        <v>0</v>
      </c>
      <c r="J73" s="191"/>
      <c r="K73" s="471" t="s">
        <v>133</v>
      </c>
      <c r="L73" s="58"/>
      <c r="M73" s="490">
        <f>COUNTIF(16:16,"QTP/HLP")</f>
        <v>14</v>
      </c>
      <c r="N73" s="191"/>
      <c r="O73" s="491"/>
      <c r="P73" s="489"/>
      <c r="Q73" s="191"/>
      <c r="AB73" s="196"/>
      <c r="AC73" s="196"/>
      <c r="AD73" s="196"/>
      <c r="AE73" s="196"/>
    </row>
    <row r="74" ht="15.75" customHeight="1">
      <c r="B74" s="191"/>
      <c r="C74" s="489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491"/>
      <c r="P74" s="489"/>
      <c r="Q74" s="191"/>
      <c r="AB74" s="196"/>
      <c r="AC74" s="196"/>
      <c r="AD74" s="196"/>
      <c r="AE74" s="196"/>
    </row>
    <row r="75" ht="15.75" customHeight="1">
      <c r="C75" s="492"/>
      <c r="AB75" s="196"/>
      <c r="AC75" s="196"/>
      <c r="AD75" s="196"/>
      <c r="AE75" s="196"/>
    </row>
    <row r="76" ht="15.75" customHeight="1">
      <c r="C76" s="492"/>
      <c r="AB76" s="196"/>
      <c r="AC76" s="196"/>
      <c r="AD76" s="196"/>
      <c r="AE76" s="196"/>
    </row>
    <row r="77" ht="15.75" customHeight="1">
      <c r="C77" s="492"/>
      <c r="AB77" s="196"/>
      <c r="AC77" s="196"/>
      <c r="AD77" s="196"/>
      <c r="AE77" s="196"/>
    </row>
    <row r="78" ht="15.75" customHeight="1">
      <c r="C78" s="492"/>
      <c r="AB78" s="196"/>
      <c r="AC78" s="196"/>
      <c r="AD78" s="196"/>
      <c r="AE78" s="196"/>
    </row>
    <row r="79" ht="15.75" customHeight="1">
      <c r="C79" s="492"/>
      <c r="AB79" s="196"/>
      <c r="AC79" s="196"/>
      <c r="AD79" s="196"/>
      <c r="AE79" s="196"/>
    </row>
    <row r="80" ht="15.75" customHeight="1">
      <c r="C80" s="492"/>
      <c r="AB80" s="196"/>
      <c r="AC80" s="196"/>
      <c r="AD80" s="196"/>
      <c r="AE80" s="196"/>
    </row>
    <row r="81" ht="15.75" customHeight="1">
      <c r="C81" s="492"/>
      <c r="AB81" s="196"/>
      <c r="AC81" s="196"/>
      <c r="AD81" s="196"/>
      <c r="AE81" s="196"/>
    </row>
    <row r="82" ht="15.75" customHeight="1">
      <c r="C82" s="492"/>
      <c r="AB82" s="196"/>
      <c r="AC82" s="196"/>
      <c r="AD82" s="196"/>
      <c r="AE82" s="196"/>
    </row>
    <row r="83" ht="15.75" customHeight="1">
      <c r="C83" s="492"/>
      <c r="AB83" s="196"/>
      <c r="AC83" s="196"/>
      <c r="AD83" s="196"/>
      <c r="AE83" s="196"/>
    </row>
    <row r="84" ht="15.75" customHeight="1">
      <c r="C84" s="492"/>
      <c r="AB84" s="196"/>
      <c r="AC84" s="196"/>
      <c r="AD84" s="196"/>
      <c r="AE84" s="196"/>
    </row>
    <row r="85" ht="15.75" customHeight="1">
      <c r="C85" s="492"/>
      <c r="AB85" s="196"/>
      <c r="AC85" s="196"/>
      <c r="AD85" s="196"/>
      <c r="AE85" s="196"/>
    </row>
    <row r="86" ht="15.75" customHeight="1">
      <c r="C86" s="492"/>
      <c r="AB86" s="196"/>
      <c r="AC86" s="196"/>
      <c r="AD86" s="196"/>
      <c r="AE86" s="196"/>
    </row>
    <row r="87" ht="15.75" customHeight="1">
      <c r="C87" s="492"/>
      <c r="AB87" s="196"/>
      <c r="AC87" s="196"/>
      <c r="AD87" s="196"/>
      <c r="AE87" s="196"/>
    </row>
    <row r="88" ht="15.75" customHeight="1">
      <c r="C88" s="492"/>
      <c r="AB88" s="196"/>
      <c r="AC88" s="196"/>
      <c r="AD88" s="196"/>
      <c r="AE88" s="196"/>
    </row>
    <row r="89" ht="15.75" customHeight="1">
      <c r="C89" s="492"/>
      <c r="AB89" s="196"/>
      <c r="AC89" s="196"/>
      <c r="AD89" s="196"/>
      <c r="AE89" s="196"/>
    </row>
    <row r="90" ht="15.75" customHeight="1">
      <c r="C90" s="492"/>
      <c r="AB90" s="196"/>
      <c r="AC90" s="196"/>
      <c r="AD90" s="196"/>
      <c r="AE90" s="196"/>
    </row>
    <row r="91" ht="15.75" customHeight="1">
      <c r="C91" s="492"/>
      <c r="AB91" s="196"/>
      <c r="AC91" s="196"/>
      <c r="AD91" s="196"/>
      <c r="AE91" s="196"/>
    </row>
    <row r="92" ht="15.75" customHeight="1">
      <c r="C92" s="492"/>
      <c r="AB92" s="196"/>
      <c r="AC92" s="196"/>
      <c r="AD92" s="196"/>
      <c r="AE92" s="196"/>
    </row>
    <row r="93" ht="15.75" customHeight="1">
      <c r="C93" s="492"/>
      <c r="AB93" s="196"/>
      <c r="AC93" s="196"/>
      <c r="AD93" s="196"/>
      <c r="AE93" s="196"/>
    </row>
    <row r="94" ht="15.75" customHeight="1">
      <c r="C94" s="492"/>
      <c r="AB94" s="196"/>
      <c r="AC94" s="196"/>
      <c r="AD94" s="196"/>
      <c r="AE94" s="196"/>
    </row>
    <row r="95" ht="15.75" customHeight="1">
      <c r="C95" s="492"/>
      <c r="AB95" s="196"/>
      <c r="AC95" s="196"/>
      <c r="AD95" s="196"/>
      <c r="AE95" s="196"/>
    </row>
    <row r="96" ht="15.75" customHeight="1">
      <c r="C96" s="492"/>
      <c r="AB96" s="196"/>
      <c r="AC96" s="196"/>
      <c r="AD96" s="196"/>
      <c r="AE96" s="196"/>
    </row>
    <row r="97" ht="15.75" customHeight="1">
      <c r="C97" s="492"/>
      <c r="AB97" s="196"/>
      <c r="AC97" s="196"/>
      <c r="AD97" s="196"/>
      <c r="AE97" s="196"/>
    </row>
    <row r="98" ht="15.75" customHeight="1">
      <c r="C98" s="492"/>
      <c r="AB98" s="196"/>
      <c r="AC98" s="196"/>
      <c r="AD98" s="196"/>
      <c r="AE98" s="196"/>
    </row>
    <row r="99" ht="15.75" customHeight="1">
      <c r="C99" s="492"/>
      <c r="AB99" s="196"/>
      <c r="AC99" s="196"/>
      <c r="AD99" s="196"/>
      <c r="AE99" s="196"/>
    </row>
    <row r="100" ht="15.75" customHeight="1">
      <c r="C100" s="492"/>
      <c r="AB100" s="196"/>
      <c r="AC100" s="196"/>
      <c r="AD100" s="196"/>
      <c r="AE100" s="196"/>
    </row>
    <row r="101" ht="15.75" customHeight="1">
      <c r="C101" s="492"/>
      <c r="AB101" s="196"/>
      <c r="AC101" s="196"/>
      <c r="AD101" s="196"/>
      <c r="AE101" s="196"/>
    </row>
    <row r="102" ht="15.75" customHeight="1">
      <c r="C102" s="492"/>
      <c r="AB102" s="196"/>
      <c r="AC102" s="196"/>
      <c r="AD102" s="196"/>
      <c r="AE102" s="196"/>
    </row>
    <row r="103" ht="15.75" customHeight="1">
      <c r="C103" s="492"/>
      <c r="AB103" s="196"/>
      <c r="AC103" s="196"/>
      <c r="AD103" s="196"/>
      <c r="AE103" s="196"/>
    </row>
    <row r="104" ht="15.75" customHeight="1">
      <c r="C104" s="492"/>
      <c r="AB104" s="196"/>
      <c r="AC104" s="196"/>
      <c r="AD104" s="196"/>
      <c r="AE104" s="196"/>
    </row>
    <row r="105" ht="15.75" customHeight="1">
      <c r="C105" s="492"/>
      <c r="AB105" s="196"/>
      <c r="AC105" s="196"/>
      <c r="AD105" s="196"/>
      <c r="AE105" s="196"/>
    </row>
    <row r="106" ht="15.75" customHeight="1">
      <c r="C106" s="492"/>
      <c r="AB106" s="196"/>
      <c r="AC106" s="196"/>
      <c r="AD106" s="196"/>
      <c r="AE106" s="196"/>
    </row>
    <row r="107" ht="15.75" customHeight="1">
      <c r="C107" s="492"/>
      <c r="AB107" s="196"/>
      <c r="AC107" s="196"/>
      <c r="AD107" s="196"/>
      <c r="AE107" s="196"/>
    </row>
    <row r="108" ht="15.75" customHeight="1">
      <c r="C108" s="492"/>
      <c r="AB108" s="196"/>
      <c r="AC108" s="196"/>
      <c r="AD108" s="196"/>
      <c r="AE108" s="196"/>
    </row>
    <row r="109" ht="15.75" customHeight="1">
      <c r="C109" s="492"/>
      <c r="AB109" s="196"/>
      <c r="AC109" s="196"/>
      <c r="AD109" s="196"/>
      <c r="AE109" s="196"/>
    </row>
    <row r="110" ht="15.75" customHeight="1">
      <c r="C110" s="492"/>
      <c r="AB110" s="196"/>
      <c r="AC110" s="196"/>
      <c r="AD110" s="196"/>
      <c r="AE110" s="196"/>
    </row>
    <row r="111" ht="15.75" customHeight="1">
      <c r="C111" s="492"/>
      <c r="AB111" s="196"/>
      <c r="AC111" s="196"/>
      <c r="AD111" s="196"/>
      <c r="AE111" s="196"/>
    </row>
    <row r="112" ht="15.75" customHeight="1">
      <c r="C112" s="492"/>
      <c r="AB112" s="196"/>
      <c r="AC112" s="196"/>
      <c r="AD112" s="196"/>
      <c r="AE112" s="196"/>
    </row>
    <row r="113" ht="15.75" customHeight="1">
      <c r="C113" s="492"/>
      <c r="AB113" s="196"/>
      <c r="AC113" s="196"/>
      <c r="AD113" s="196"/>
      <c r="AE113" s="196"/>
    </row>
    <row r="114" ht="15.75" customHeight="1">
      <c r="C114" s="492"/>
      <c r="AB114" s="196"/>
      <c r="AC114" s="196"/>
      <c r="AD114" s="196"/>
      <c r="AE114" s="196"/>
    </row>
    <row r="115" ht="15.75" customHeight="1">
      <c r="C115" s="492"/>
      <c r="AB115" s="196"/>
      <c r="AC115" s="196"/>
      <c r="AD115" s="196"/>
      <c r="AE115" s="196"/>
    </row>
    <row r="116" ht="15.75" customHeight="1">
      <c r="C116" s="492"/>
      <c r="AB116" s="196"/>
      <c r="AC116" s="196"/>
      <c r="AD116" s="196"/>
      <c r="AE116" s="196"/>
    </row>
    <row r="117" ht="15.75" customHeight="1">
      <c r="C117" s="492"/>
      <c r="AB117" s="196"/>
      <c r="AC117" s="196"/>
      <c r="AD117" s="196"/>
      <c r="AE117" s="196"/>
    </row>
    <row r="118" ht="15.75" customHeight="1">
      <c r="C118" s="492"/>
      <c r="AB118" s="196"/>
      <c r="AC118" s="196"/>
      <c r="AD118" s="196"/>
      <c r="AE118" s="196"/>
    </row>
    <row r="119" ht="15.75" customHeight="1">
      <c r="C119" s="492"/>
      <c r="AB119" s="196"/>
      <c r="AC119" s="196"/>
      <c r="AD119" s="196"/>
      <c r="AE119" s="196"/>
    </row>
    <row r="120" ht="15.75" customHeight="1">
      <c r="C120" s="492"/>
      <c r="AB120" s="196"/>
      <c r="AC120" s="196"/>
      <c r="AD120" s="196"/>
      <c r="AE120" s="196"/>
    </row>
    <row r="121" ht="15.75" customHeight="1">
      <c r="C121" s="492"/>
      <c r="AB121" s="196"/>
      <c r="AC121" s="196"/>
      <c r="AD121" s="196"/>
      <c r="AE121" s="196"/>
    </row>
    <row r="122" ht="15.75" customHeight="1">
      <c r="C122" s="492"/>
      <c r="AB122" s="196"/>
      <c r="AC122" s="196"/>
      <c r="AD122" s="196"/>
      <c r="AE122" s="196"/>
    </row>
    <row r="123" ht="15.75" customHeight="1">
      <c r="C123" s="492"/>
      <c r="AB123" s="196"/>
      <c r="AC123" s="196"/>
      <c r="AD123" s="196"/>
      <c r="AE123" s="196"/>
    </row>
    <row r="124" ht="15.75" customHeight="1">
      <c r="C124" s="492"/>
      <c r="AB124" s="196"/>
      <c r="AC124" s="196"/>
      <c r="AD124" s="196"/>
      <c r="AE124" s="196"/>
    </row>
    <row r="125" ht="15.75" customHeight="1">
      <c r="C125" s="492"/>
      <c r="AB125" s="196"/>
      <c r="AC125" s="196"/>
      <c r="AD125" s="196"/>
      <c r="AE125" s="196"/>
    </row>
    <row r="126" ht="15.75" customHeight="1">
      <c r="C126" s="492"/>
      <c r="AB126" s="196"/>
      <c r="AC126" s="196"/>
      <c r="AD126" s="196"/>
      <c r="AE126" s="196"/>
    </row>
    <row r="127" ht="15.75" customHeight="1">
      <c r="C127" s="492"/>
      <c r="AB127" s="196"/>
      <c r="AC127" s="196"/>
      <c r="AD127" s="196"/>
      <c r="AE127" s="196"/>
    </row>
    <row r="128" ht="15.75" customHeight="1">
      <c r="C128" s="492"/>
      <c r="AB128" s="196"/>
      <c r="AC128" s="196"/>
      <c r="AD128" s="196"/>
      <c r="AE128" s="196"/>
    </row>
    <row r="129" ht="15.75" customHeight="1">
      <c r="C129" s="492"/>
      <c r="AB129" s="196"/>
      <c r="AC129" s="196"/>
      <c r="AD129" s="196"/>
      <c r="AE129" s="196"/>
    </row>
    <row r="130" ht="15.75" customHeight="1">
      <c r="C130" s="492"/>
      <c r="AB130" s="196"/>
      <c r="AC130" s="196"/>
      <c r="AD130" s="196"/>
      <c r="AE130" s="196"/>
    </row>
    <row r="131" ht="15.75" customHeight="1">
      <c r="C131" s="492"/>
      <c r="AB131" s="196"/>
      <c r="AC131" s="196"/>
      <c r="AD131" s="196"/>
      <c r="AE131" s="196"/>
    </row>
    <row r="132" ht="15.75" customHeight="1">
      <c r="C132" s="492"/>
      <c r="AB132" s="196"/>
      <c r="AC132" s="196"/>
      <c r="AD132" s="196"/>
      <c r="AE132" s="196"/>
    </row>
    <row r="133" ht="15.75" customHeight="1">
      <c r="C133" s="492"/>
      <c r="AB133" s="196"/>
      <c r="AC133" s="196"/>
      <c r="AD133" s="196"/>
      <c r="AE133" s="196"/>
    </row>
    <row r="134" ht="15.75" customHeight="1">
      <c r="C134" s="492"/>
      <c r="AB134" s="196"/>
      <c r="AC134" s="196"/>
      <c r="AD134" s="196"/>
      <c r="AE134" s="196"/>
    </row>
    <row r="135" ht="15.75" customHeight="1">
      <c r="C135" s="492"/>
      <c r="AB135" s="196"/>
      <c r="AC135" s="196"/>
      <c r="AD135" s="196"/>
      <c r="AE135" s="196"/>
    </row>
    <row r="136" ht="15.75" customHeight="1">
      <c r="C136" s="492"/>
      <c r="AB136" s="196"/>
      <c r="AC136" s="196"/>
      <c r="AD136" s="196"/>
      <c r="AE136" s="196"/>
    </row>
    <row r="137" ht="15.75" customHeight="1">
      <c r="C137" s="492"/>
      <c r="AB137" s="196"/>
      <c r="AC137" s="196"/>
      <c r="AD137" s="196"/>
      <c r="AE137" s="196"/>
    </row>
    <row r="138" ht="15.75" customHeight="1">
      <c r="C138" s="492"/>
      <c r="AB138" s="196"/>
      <c r="AC138" s="196"/>
      <c r="AD138" s="196"/>
      <c r="AE138" s="196"/>
    </row>
    <row r="139" ht="15.75" customHeight="1">
      <c r="C139" s="492"/>
      <c r="AB139" s="196"/>
      <c r="AC139" s="196"/>
      <c r="AD139" s="196"/>
      <c r="AE139" s="196"/>
    </row>
    <row r="140" ht="15.75" customHeight="1">
      <c r="C140" s="492"/>
      <c r="AB140" s="196"/>
      <c r="AC140" s="196"/>
      <c r="AD140" s="196"/>
      <c r="AE140" s="196"/>
    </row>
    <row r="141" ht="15.75" customHeight="1">
      <c r="C141" s="492"/>
      <c r="AB141" s="196"/>
      <c r="AC141" s="196"/>
      <c r="AD141" s="196"/>
      <c r="AE141" s="196"/>
    </row>
    <row r="142" ht="15.75" customHeight="1">
      <c r="C142" s="492"/>
      <c r="AB142" s="196"/>
      <c r="AC142" s="196"/>
      <c r="AD142" s="196"/>
      <c r="AE142" s="196"/>
    </row>
    <row r="143" ht="15.75" customHeight="1">
      <c r="C143" s="492"/>
      <c r="AB143" s="196"/>
      <c r="AC143" s="196"/>
      <c r="AD143" s="196"/>
      <c r="AE143" s="196"/>
    </row>
    <row r="144" ht="15.75" customHeight="1">
      <c r="C144" s="492"/>
      <c r="AB144" s="196"/>
      <c r="AC144" s="196"/>
      <c r="AD144" s="196"/>
      <c r="AE144" s="196"/>
    </row>
    <row r="145" ht="15.75" customHeight="1">
      <c r="C145" s="492"/>
      <c r="AB145" s="196"/>
      <c r="AC145" s="196"/>
      <c r="AD145" s="196"/>
      <c r="AE145" s="196"/>
    </row>
    <row r="146" ht="15.75" customHeight="1">
      <c r="C146" s="492"/>
      <c r="AB146" s="196"/>
      <c r="AC146" s="196"/>
      <c r="AD146" s="196"/>
      <c r="AE146" s="196"/>
    </row>
    <row r="147" ht="15.75" customHeight="1">
      <c r="C147" s="492"/>
      <c r="AB147" s="196"/>
      <c r="AC147" s="196"/>
      <c r="AD147" s="196"/>
      <c r="AE147" s="196"/>
    </row>
    <row r="148" ht="15.75" customHeight="1">
      <c r="C148" s="492"/>
      <c r="AB148" s="196"/>
      <c r="AC148" s="196"/>
      <c r="AD148" s="196"/>
      <c r="AE148" s="196"/>
    </row>
    <row r="149" ht="15.75" customHeight="1">
      <c r="C149" s="492"/>
      <c r="AB149" s="196"/>
      <c r="AC149" s="196"/>
      <c r="AD149" s="196"/>
      <c r="AE149" s="196"/>
    </row>
    <row r="150" ht="15.75" customHeight="1">
      <c r="C150" s="492"/>
      <c r="AB150" s="196"/>
      <c r="AC150" s="196"/>
      <c r="AD150" s="196"/>
      <c r="AE150" s="196"/>
    </row>
    <row r="151" ht="15.75" customHeight="1">
      <c r="C151" s="492"/>
      <c r="AB151" s="196"/>
      <c r="AC151" s="196"/>
      <c r="AD151" s="196"/>
      <c r="AE151" s="196"/>
    </row>
    <row r="152" ht="15.75" customHeight="1">
      <c r="C152" s="492"/>
      <c r="AB152" s="196"/>
      <c r="AC152" s="196"/>
      <c r="AD152" s="196"/>
      <c r="AE152" s="196"/>
    </row>
    <row r="153" ht="15.75" customHeight="1">
      <c r="C153" s="492"/>
      <c r="AB153" s="196"/>
      <c r="AC153" s="196"/>
      <c r="AD153" s="196"/>
      <c r="AE153" s="196"/>
    </row>
    <row r="154" ht="15.75" customHeight="1">
      <c r="C154" s="492"/>
      <c r="AB154" s="196"/>
      <c r="AC154" s="196"/>
      <c r="AD154" s="196"/>
      <c r="AE154" s="196"/>
    </row>
    <row r="155" ht="15.75" customHeight="1">
      <c r="C155" s="492"/>
      <c r="AB155" s="196"/>
      <c r="AC155" s="196"/>
      <c r="AD155" s="196"/>
      <c r="AE155" s="196"/>
    </row>
    <row r="156" ht="15.75" customHeight="1">
      <c r="C156" s="492"/>
      <c r="AB156" s="196"/>
      <c r="AC156" s="196"/>
      <c r="AD156" s="196"/>
      <c r="AE156" s="196"/>
    </row>
    <row r="157" ht="15.75" customHeight="1">
      <c r="C157" s="492"/>
      <c r="AB157" s="196"/>
      <c r="AC157" s="196"/>
      <c r="AD157" s="196"/>
      <c r="AE157" s="196"/>
    </row>
    <row r="158" ht="15.75" customHeight="1">
      <c r="C158" s="492"/>
      <c r="AB158" s="196"/>
      <c r="AC158" s="196"/>
      <c r="AD158" s="196"/>
      <c r="AE158" s="196"/>
    </row>
    <row r="159" ht="15.75" customHeight="1">
      <c r="C159" s="492"/>
      <c r="AB159" s="196"/>
      <c r="AC159" s="196"/>
      <c r="AD159" s="196"/>
      <c r="AE159" s="196"/>
    </row>
    <row r="160" ht="15.75" customHeight="1">
      <c r="C160" s="492"/>
      <c r="AB160" s="196"/>
      <c r="AC160" s="196"/>
      <c r="AD160" s="196"/>
      <c r="AE160" s="196"/>
    </row>
    <row r="161" ht="15.75" customHeight="1">
      <c r="C161" s="492"/>
      <c r="AB161" s="196"/>
      <c r="AC161" s="196"/>
      <c r="AD161" s="196"/>
      <c r="AE161" s="196"/>
    </row>
    <row r="162" ht="15.75" customHeight="1">
      <c r="C162" s="492"/>
      <c r="AB162" s="196"/>
      <c r="AC162" s="196"/>
      <c r="AD162" s="196"/>
      <c r="AE162" s="196"/>
    </row>
    <row r="163" ht="15.75" customHeight="1">
      <c r="C163" s="492"/>
      <c r="AB163" s="196"/>
      <c r="AC163" s="196"/>
      <c r="AD163" s="196"/>
      <c r="AE163" s="196"/>
    </row>
    <row r="164" ht="15.75" customHeight="1">
      <c r="C164" s="492"/>
      <c r="AB164" s="196"/>
      <c r="AC164" s="196"/>
      <c r="AD164" s="196"/>
      <c r="AE164" s="196"/>
    </row>
    <row r="165" ht="15.75" customHeight="1">
      <c r="C165" s="492"/>
      <c r="AB165" s="196"/>
      <c r="AC165" s="196"/>
      <c r="AD165" s="196"/>
      <c r="AE165" s="196"/>
    </row>
    <row r="166" ht="15.75" customHeight="1">
      <c r="C166" s="492"/>
      <c r="AB166" s="196"/>
      <c r="AC166" s="196"/>
      <c r="AD166" s="196"/>
      <c r="AE166" s="196"/>
    </row>
    <row r="167" ht="15.75" customHeight="1">
      <c r="C167" s="492"/>
      <c r="AB167" s="196"/>
      <c r="AC167" s="196"/>
      <c r="AD167" s="196"/>
      <c r="AE167" s="196"/>
    </row>
    <row r="168" ht="15.75" customHeight="1">
      <c r="C168" s="492"/>
      <c r="AB168" s="196"/>
      <c r="AC168" s="196"/>
      <c r="AD168" s="196"/>
      <c r="AE168" s="196"/>
    </row>
    <row r="169" ht="15.75" customHeight="1">
      <c r="C169" s="492"/>
      <c r="AB169" s="196"/>
      <c r="AC169" s="196"/>
      <c r="AD169" s="196"/>
      <c r="AE169" s="196"/>
    </row>
    <row r="170" ht="15.75" customHeight="1">
      <c r="C170" s="492"/>
      <c r="AB170" s="196"/>
      <c r="AC170" s="196"/>
      <c r="AD170" s="196"/>
      <c r="AE170" s="196"/>
    </row>
    <row r="171" ht="15.75" customHeight="1">
      <c r="C171" s="492"/>
      <c r="AB171" s="196"/>
      <c r="AC171" s="196"/>
      <c r="AD171" s="196"/>
      <c r="AE171" s="196"/>
    </row>
    <row r="172" ht="15.75" customHeight="1">
      <c r="C172" s="492"/>
      <c r="AB172" s="196"/>
      <c r="AC172" s="196"/>
      <c r="AD172" s="196"/>
      <c r="AE172" s="196"/>
    </row>
    <row r="173" ht="15.75" customHeight="1">
      <c r="C173" s="492"/>
      <c r="AB173" s="196"/>
      <c r="AC173" s="196"/>
      <c r="AD173" s="196"/>
      <c r="AE173" s="196"/>
    </row>
    <row r="174" ht="15.75" customHeight="1">
      <c r="C174" s="492"/>
      <c r="AB174" s="196"/>
      <c r="AC174" s="196"/>
      <c r="AD174" s="196"/>
      <c r="AE174" s="196"/>
    </row>
    <row r="175" ht="15.75" customHeight="1">
      <c r="C175" s="492"/>
      <c r="AB175" s="196"/>
      <c r="AC175" s="196"/>
      <c r="AD175" s="196"/>
      <c r="AE175" s="196"/>
    </row>
    <row r="176" ht="15.75" customHeight="1">
      <c r="C176" s="492"/>
      <c r="AB176" s="196"/>
      <c r="AC176" s="196"/>
      <c r="AD176" s="196"/>
      <c r="AE176" s="196"/>
    </row>
    <row r="177" ht="15.75" customHeight="1">
      <c r="C177" s="492"/>
      <c r="AB177" s="196"/>
      <c r="AC177" s="196"/>
      <c r="AD177" s="196"/>
      <c r="AE177" s="196"/>
    </row>
    <row r="178" ht="15.75" customHeight="1">
      <c r="C178" s="492"/>
      <c r="AB178" s="196"/>
      <c r="AC178" s="196"/>
      <c r="AD178" s="196"/>
      <c r="AE178" s="196"/>
    </row>
    <row r="179" ht="15.75" customHeight="1">
      <c r="C179" s="492"/>
      <c r="AB179" s="196"/>
      <c r="AC179" s="196"/>
      <c r="AD179" s="196"/>
      <c r="AE179" s="196"/>
    </row>
    <row r="180" ht="15.75" customHeight="1">
      <c r="C180" s="492"/>
      <c r="AB180" s="196"/>
      <c r="AC180" s="196"/>
      <c r="AD180" s="196"/>
      <c r="AE180" s="196"/>
    </row>
    <row r="181" ht="15.75" customHeight="1">
      <c r="C181" s="492"/>
      <c r="AB181" s="196"/>
      <c r="AC181" s="196"/>
      <c r="AD181" s="196"/>
      <c r="AE181" s="196"/>
    </row>
    <row r="182" ht="15.75" customHeight="1">
      <c r="C182" s="492"/>
      <c r="AB182" s="196"/>
      <c r="AC182" s="196"/>
      <c r="AD182" s="196"/>
      <c r="AE182" s="196"/>
    </row>
    <row r="183" ht="15.75" customHeight="1">
      <c r="C183" s="492"/>
      <c r="AB183" s="196"/>
      <c r="AC183" s="196"/>
      <c r="AD183" s="196"/>
      <c r="AE183" s="196"/>
    </row>
    <row r="184" ht="15.75" customHeight="1">
      <c r="C184" s="492"/>
      <c r="AB184" s="196"/>
      <c r="AC184" s="196"/>
      <c r="AD184" s="196"/>
      <c r="AE184" s="196"/>
    </row>
    <row r="185" ht="15.75" customHeight="1">
      <c r="C185" s="492"/>
      <c r="AB185" s="196"/>
      <c r="AC185" s="196"/>
      <c r="AD185" s="196"/>
      <c r="AE185" s="196"/>
    </row>
    <row r="186" ht="15.75" customHeight="1">
      <c r="C186" s="492"/>
      <c r="AB186" s="196"/>
      <c r="AC186" s="196"/>
      <c r="AD186" s="196"/>
      <c r="AE186" s="196"/>
    </row>
    <row r="187" ht="15.75" customHeight="1">
      <c r="C187" s="492"/>
      <c r="AB187" s="196"/>
      <c r="AC187" s="196"/>
      <c r="AD187" s="196"/>
      <c r="AE187" s="196"/>
    </row>
    <row r="188" ht="15.75" customHeight="1">
      <c r="C188" s="492"/>
      <c r="AB188" s="196"/>
      <c r="AC188" s="196"/>
      <c r="AD188" s="196"/>
      <c r="AE188" s="196"/>
    </row>
    <row r="189" ht="15.75" customHeight="1">
      <c r="C189" s="492"/>
      <c r="AB189" s="196"/>
      <c r="AC189" s="196"/>
      <c r="AD189" s="196"/>
      <c r="AE189" s="196"/>
    </row>
    <row r="190" ht="15.75" customHeight="1">
      <c r="C190" s="492"/>
      <c r="AB190" s="196"/>
      <c r="AC190" s="196"/>
      <c r="AD190" s="196"/>
      <c r="AE190" s="196"/>
    </row>
    <row r="191" ht="15.75" customHeight="1">
      <c r="C191" s="492"/>
      <c r="AB191" s="196"/>
      <c r="AC191" s="196"/>
      <c r="AD191" s="196"/>
      <c r="AE191" s="196"/>
    </row>
    <row r="192" ht="15.75" customHeight="1">
      <c r="C192" s="492"/>
      <c r="AB192" s="196"/>
      <c r="AC192" s="196"/>
      <c r="AD192" s="196"/>
      <c r="AE192" s="196"/>
    </row>
    <row r="193" ht="15.75" customHeight="1">
      <c r="C193" s="492"/>
      <c r="AB193" s="196"/>
      <c r="AC193" s="196"/>
      <c r="AD193" s="196"/>
      <c r="AE193" s="196"/>
    </row>
    <row r="194" ht="15.75" customHeight="1">
      <c r="C194" s="492"/>
      <c r="AB194" s="196"/>
      <c r="AC194" s="196"/>
      <c r="AD194" s="196"/>
      <c r="AE194" s="196"/>
    </row>
    <row r="195" ht="15.75" customHeight="1">
      <c r="C195" s="492"/>
      <c r="AB195" s="196"/>
      <c r="AC195" s="196"/>
      <c r="AD195" s="196"/>
      <c r="AE195" s="196"/>
    </row>
    <row r="196" ht="15.75" customHeight="1">
      <c r="C196" s="492"/>
      <c r="AB196" s="196"/>
      <c r="AC196" s="196"/>
      <c r="AD196" s="196"/>
      <c r="AE196" s="196"/>
    </row>
    <row r="197" ht="15.75" customHeight="1">
      <c r="C197" s="492"/>
      <c r="AB197" s="196"/>
      <c r="AC197" s="196"/>
      <c r="AD197" s="196"/>
      <c r="AE197" s="196"/>
    </row>
    <row r="198" ht="15.75" customHeight="1">
      <c r="C198" s="492"/>
      <c r="AB198" s="196"/>
      <c r="AC198" s="196"/>
      <c r="AD198" s="196"/>
      <c r="AE198" s="196"/>
    </row>
    <row r="199" ht="15.75" customHeight="1">
      <c r="C199" s="492"/>
      <c r="AB199" s="196"/>
      <c r="AC199" s="196"/>
      <c r="AD199" s="196"/>
      <c r="AE199" s="196"/>
    </row>
    <row r="200" ht="15.75" customHeight="1">
      <c r="C200" s="492"/>
      <c r="AB200" s="196"/>
      <c r="AC200" s="196"/>
      <c r="AD200" s="196"/>
      <c r="AE200" s="196"/>
    </row>
    <row r="201" ht="15.75" customHeight="1">
      <c r="C201" s="492"/>
      <c r="AB201" s="196"/>
      <c r="AC201" s="196"/>
      <c r="AD201" s="196"/>
      <c r="AE201" s="196"/>
    </row>
    <row r="202" ht="15.75" customHeight="1">
      <c r="C202" s="492"/>
      <c r="AB202" s="196"/>
      <c r="AC202" s="196"/>
      <c r="AD202" s="196"/>
      <c r="AE202" s="196"/>
    </row>
    <row r="203" ht="15.75" customHeight="1">
      <c r="C203" s="492"/>
      <c r="AB203" s="196"/>
      <c r="AC203" s="196"/>
      <c r="AD203" s="196"/>
      <c r="AE203" s="196"/>
    </row>
    <row r="204" ht="15.75" customHeight="1">
      <c r="C204" s="492"/>
      <c r="AB204" s="196"/>
      <c r="AC204" s="196"/>
      <c r="AD204" s="196"/>
      <c r="AE204" s="196"/>
    </row>
    <row r="205" ht="15.75" customHeight="1">
      <c r="C205" s="492"/>
      <c r="AB205" s="196"/>
      <c r="AC205" s="196"/>
      <c r="AD205" s="196"/>
      <c r="AE205" s="196"/>
    </row>
    <row r="206" ht="15.75" customHeight="1">
      <c r="C206" s="492"/>
      <c r="AB206" s="196"/>
      <c r="AC206" s="196"/>
      <c r="AD206" s="196"/>
      <c r="AE206" s="196"/>
    </row>
    <row r="207" ht="15.75" customHeight="1">
      <c r="C207" s="492"/>
      <c r="AB207" s="196"/>
      <c r="AC207" s="196"/>
      <c r="AD207" s="196"/>
      <c r="AE207" s="196"/>
    </row>
    <row r="208" ht="15.75" customHeight="1">
      <c r="C208" s="492"/>
      <c r="AB208" s="196"/>
      <c r="AC208" s="196"/>
      <c r="AD208" s="196"/>
      <c r="AE208" s="196"/>
    </row>
    <row r="209" ht="15.75" customHeight="1">
      <c r="C209" s="492"/>
      <c r="AB209" s="196"/>
      <c r="AC209" s="196"/>
      <c r="AD209" s="196"/>
      <c r="AE209" s="196"/>
    </row>
    <row r="210" ht="15.75" customHeight="1">
      <c r="C210" s="492"/>
      <c r="AB210" s="196"/>
      <c r="AC210" s="196"/>
      <c r="AD210" s="196"/>
      <c r="AE210" s="196"/>
    </row>
    <row r="211" ht="15.75" customHeight="1">
      <c r="C211" s="492"/>
      <c r="AB211" s="196"/>
      <c r="AC211" s="196"/>
      <c r="AD211" s="196"/>
      <c r="AE211" s="196"/>
    </row>
    <row r="212" ht="15.75" customHeight="1">
      <c r="C212" s="492"/>
      <c r="AB212" s="196"/>
      <c r="AC212" s="196"/>
      <c r="AD212" s="196"/>
      <c r="AE212" s="196"/>
    </row>
    <row r="213" ht="15.75" customHeight="1">
      <c r="C213" s="492"/>
      <c r="AB213" s="196"/>
      <c r="AC213" s="196"/>
      <c r="AD213" s="196"/>
      <c r="AE213" s="196"/>
    </row>
    <row r="214" ht="15.75" customHeight="1">
      <c r="C214" s="492"/>
      <c r="AB214" s="196"/>
      <c r="AC214" s="196"/>
      <c r="AD214" s="196"/>
      <c r="AE214" s="196"/>
    </row>
    <row r="215" ht="15.75" customHeight="1">
      <c r="C215" s="492"/>
      <c r="AB215" s="196"/>
      <c r="AC215" s="196"/>
      <c r="AD215" s="196"/>
      <c r="AE215" s="196"/>
    </row>
    <row r="216" ht="15.75" customHeight="1">
      <c r="C216" s="492"/>
      <c r="AB216" s="196"/>
      <c r="AC216" s="196"/>
      <c r="AD216" s="196"/>
      <c r="AE216" s="196"/>
    </row>
    <row r="217" ht="15.75" customHeight="1">
      <c r="C217" s="492"/>
      <c r="AB217" s="196"/>
      <c r="AC217" s="196"/>
      <c r="AD217" s="196"/>
      <c r="AE217" s="196"/>
    </row>
    <row r="218" ht="15.75" customHeight="1">
      <c r="C218" s="492"/>
      <c r="AB218" s="196"/>
      <c r="AC218" s="196"/>
      <c r="AD218" s="196"/>
      <c r="AE218" s="196"/>
    </row>
    <row r="219" ht="15.75" customHeight="1">
      <c r="C219" s="492"/>
      <c r="AB219" s="196"/>
      <c r="AC219" s="196"/>
      <c r="AD219" s="196"/>
      <c r="AE219" s="196"/>
    </row>
    <row r="220" ht="15.75" customHeight="1">
      <c r="C220" s="492"/>
      <c r="AB220" s="196"/>
      <c r="AC220" s="196"/>
      <c r="AD220" s="196"/>
      <c r="AE220" s="196"/>
    </row>
    <row r="221" ht="15.75" customHeight="1">
      <c r="C221" s="492"/>
      <c r="AB221" s="196"/>
      <c r="AC221" s="196"/>
      <c r="AD221" s="196"/>
      <c r="AE221" s="196"/>
    </row>
    <row r="222" ht="15.75" customHeight="1">
      <c r="C222" s="492"/>
      <c r="AB222" s="196"/>
      <c r="AC222" s="196"/>
      <c r="AD222" s="196"/>
      <c r="AE222" s="196"/>
    </row>
    <row r="223" ht="15.75" customHeight="1">
      <c r="C223" s="492"/>
      <c r="AB223" s="196"/>
      <c r="AC223" s="196"/>
      <c r="AD223" s="196"/>
      <c r="AE223" s="196"/>
    </row>
    <row r="224" ht="15.75" customHeight="1">
      <c r="C224" s="492"/>
      <c r="AB224" s="196"/>
      <c r="AC224" s="196"/>
      <c r="AD224" s="196"/>
      <c r="AE224" s="196"/>
    </row>
    <row r="225" ht="15.75" customHeight="1">
      <c r="C225" s="492"/>
      <c r="AB225" s="196"/>
      <c r="AC225" s="196"/>
      <c r="AD225" s="196"/>
      <c r="AE225" s="196"/>
    </row>
    <row r="226" ht="15.75" customHeight="1">
      <c r="C226" s="492"/>
      <c r="AB226" s="196"/>
      <c r="AC226" s="196"/>
      <c r="AD226" s="196"/>
      <c r="AE226" s="196"/>
    </row>
    <row r="227" ht="15.75" customHeight="1">
      <c r="C227" s="492"/>
      <c r="AB227" s="196"/>
      <c r="AC227" s="196"/>
      <c r="AD227" s="196"/>
      <c r="AE227" s="196"/>
    </row>
    <row r="228" ht="15.75" customHeight="1">
      <c r="C228" s="492"/>
      <c r="AB228" s="196"/>
      <c r="AC228" s="196"/>
      <c r="AD228" s="196"/>
      <c r="AE228" s="196"/>
    </row>
    <row r="229" ht="15.75" customHeight="1">
      <c r="C229" s="492"/>
      <c r="AB229" s="196"/>
      <c r="AC229" s="196"/>
      <c r="AD229" s="196"/>
      <c r="AE229" s="196"/>
    </row>
    <row r="230" ht="15.75" customHeight="1">
      <c r="C230" s="492"/>
      <c r="AB230" s="196"/>
      <c r="AC230" s="196"/>
      <c r="AD230" s="196"/>
      <c r="AE230" s="196"/>
    </row>
    <row r="231" ht="15.75" customHeight="1">
      <c r="C231" s="492"/>
      <c r="AB231" s="196"/>
      <c r="AC231" s="196"/>
      <c r="AD231" s="196"/>
      <c r="AE231" s="196"/>
    </row>
    <row r="232" ht="15.75" customHeight="1">
      <c r="C232" s="492"/>
      <c r="AB232" s="196"/>
      <c r="AC232" s="196"/>
      <c r="AD232" s="196"/>
      <c r="AE232" s="196"/>
    </row>
    <row r="233" ht="15.75" customHeight="1">
      <c r="C233" s="492"/>
      <c r="AB233" s="196"/>
      <c r="AC233" s="196"/>
      <c r="AD233" s="196"/>
      <c r="AE233" s="196"/>
    </row>
    <row r="234" ht="15.75" customHeight="1">
      <c r="C234" s="492"/>
      <c r="AB234" s="196"/>
      <c r="AC234" s="196"/>
      <c r="AD234" s="196"/>
      <c r="AE234" s="196"/>
    </row>
    <row r="235" ht="15.75" customHeight="1">
      <c r="C235" s="492"/>
      <c r="AB235" s="196"/>
      <c r="AC235" s="196"/>
      <c r="AD235" s="196"/>
      <c r="AE235" s="196"/>
    </row>
    <row r="236" ht="15.75" customHeight="1">
      <c r="C236" s="492"/>
      <c r="AB236" s="196"/>
      <c r="AC236" s="196"/>
      <c r="AD236" s="196"/>
      <c r="AE236" s="196"/>
    </row>
    <row r="237" ht="15.75" customHeight="1">
      <c r="C237" s="492"/>
      <c r="AB237" s="196"/>
      <c r="AC237" s="196"/>
      <c r="AD237" s="196"/>
      <c r="AE237" s="196"/>
    </row>
    <row r="238" ht="15.75" customHeight="1">
      <c r="C238" s="492"/>
      <c r="AB238" s="196"/>
      <c r="AC238" s="196"/>
      <c r="AD238" s="196"/>
      <c r="AE238" s="196"/>
    </row>
    <row r="239" ht="15.75" customHeight="1">
      <c r="C239" s="492"/>
      <c r="AB239" s="196"/>
      <c r="AC239" s="196"/>
      <c r="AD239" s="196"/>
      <c r="AE239" s="196"/>
    </row>
    <row r="240" ht="15.75" customHeight="1">
      <c r="C240" s="492"/>
      <c r="AB240" s="196"/>
      <c r="AC240" s="196"/>
      <c r="AD240" s="196"/>
      <c r="AE240" s="196"/>
    </row>
    <row r="241" ht="15.75" customHeight="1">
      <c r="C241" s="492"/>
      <c r="AB241" s="196"/>
      <c r="AC241" s="196"/>
      <c r="AD241" s="196"/>
      <c r="AE241" s="196"/>
    </row>
    <row r="242" ht="15.75" customHeight="1">
      <c r="C242" s="492"/>
      <c r="AB242" s="196"/>
      <c r="AC242" s="196"/>
      <c r="AD242" s="196"/>
      <c r="AE242" s="196"/>
    </row>
    <row r="243" ht="15.75" customHeight="1">
      <c r="C243" s="492"/>
      <c r="AB243" s="196"/>
      <c r="AC243" s="196"/>
      <c r="AD243" s="196"/>
      <c r="AE243" s="196"/>
    </row>
    <row r="244" ht="15.75" customHeight="1">
      <c r="C244" s="492"/>
      <c r="AB244" s="196"/>
      <c r="AC244" s="196"/>
      <c r="AD244" s="196"/>
      <c r="AE244" s="196"/>
    </row>
    <row r="245" ht="15.75" customHeight="1">
      <c r="C245" s="492"/>
      <c r="AB245" s="196"/>
      <c r="AC245" s="196"/>
      <c r="AD245" s="196"/>
      <c r="AE245" s="196"/>
    </row>
    <row r="246" ht="15.75" customHeight="1">
      <c r="C246" s="492"/>
      <c r="AB246" s="196"/>
      <c r="AC246" s="196"/>
      <c r="AD246" s="196"/>
      <c r="AE246" s="196"/>
    </row>
    <row r="247" ht="15.75" customHeight="1">
      <c r="C247" s="492"/>
      <c r="AB247" s="196"/>
      <c r="AC247" s="196"/>
      <c r="AD247" s="196"/>
      <c r="AE247" s="196"/>
    </row>
    <row r="248" ht="15.75" customHeight="1">
      <c r="C248" s="492"/>
      <c r="AB248" s="196"/>
      <c r="AC248" s="196"/>
      <c r="AD248" s="196"/>
      <c r="AE248" s="196"/>
    </row>
    <row r="249" ht="15.75" customHeight="1">
      <c r="C249" s="492"/>
      <c r="AB249" s="196"/>
      <c r="AC249" s="196"/>
      <c r="AD249" s="196"/>
      <c r="AE249" s="196"/>
    </row>
    <row r="250" ht="15.75" customHeight="1">
      <c r="C250" s="492"/>
      <c r="AB250" s="196"/>
      <c r="AC250" s="196"/>
      <c r="AD250" s="196"/>
      <c r="AE250" s="196"/>
    </row>
    <row r="251" ht="15.75" customHeight="1">
      <c r="C251" s="492"/>
      <c r="AB251" s="196"/>
      <c r="AC251" s="196"/>
      <c r="AD251" s="196"/>
      <c r="AE251" s="196"/>
    </row>
    <row r="252" ht="15.75" customHeight="1">
      <c r="C252" s="492"/>
      <c r="AB252" s="196"/>
      <c r="AC252" s="196"/>
      <c r="AD252" s="196"/>
      <c r="AE252" s="196"/>
    </row>
    <row r="253" ht="15.75" customHeight="1">
      <c r="C253" s="492"/>
      <c r="AB253" s="196"/>
      <c r="AC253" s="196"/>
      <c r="AD253" s="196"/>
      <c r="AE253" s="196"/>
    </row>
    <row r="254" ht="15.75" customHeight="1">
      <c r="C254" s="492"/>
      <c r="AB254" s="196"/>
      <c r="AC254" s="196"/>
      <c r="AD254" s="196"/>
      <c r="AE254" s="196"/>
    </row>
    <row r="255" ht="15.75" customHeight="1">
      <c r="C255" s="492"/>
      <c r="AB255" s="196"/>
      <c r="AC255" s="196"/>
      <c r="AD255" s="196"/>
      <c r="AE255" s="196"/>
    </row>
    <row r="256" ht="15.75" customHeight="1">
      <c r="C256" s="492"/>
      <c r="AB256" s="196"/>
      <c r="AC256" s="196"/>
      <c r="AD256" s="196"/>
      <c r="AE256" s="196"/>
    </row>
    <row r="257" ht="15.75" customHeight="1">
      <c r="C257" s="492"/>
      <c r="AB257" s="196"/>
      <c r="AC257" s="196"/>
      <c r="AD257" s="196"/>
      <c r="AE257" s="196"/>
    </row>
    <row r="258" ht="15.75" customHeight="1">
      <c r="C258" s="492"/>
      <c r="AB258" s="196"/>
      <c r="AC258" s="196"/>
      <c r="AD258" s="196"/>
      <c r="AE258" s="196"/>
    </row>
    <row r="259" ht="15.75" customHeight="1">
      <c r="C259" s="492"/>
      <c r="AB259" s="196"/>
      <c r="AC259" s="196"/>
      <c r="AD259" s="196"/>
      <c r="AE259" s="196"/>
    </row>
    <row r="260" ht="15.75" customHeight="1">
      <c r="C260" s="492"/>
      <c r="AB260" s="196"/>
      <c r="AC260" s="196"/>
      <c r="AD260" s="196"/>
      <c r="AE260" s="196"/>
    </row>
    <row r="261" ht="15.75" customHeight="1">
      <c r="C261" s="492"/>
      <c r="AB261" s="196"/>
      <c r="AC261" s="196"/>
      <c r="AD261" s="196"/>
      <c r="AE261" s="196"/>
    </row>
    <row r="262" ht="15.75" customHeight="1">
      <c r="C262" s="492"/>
      <c r="AB262" s="196"/>
      <c r="AC262" s="196"/>
      <c r="AD262" s="196"/>
      <c r="AE262" s="196"/>
    </row>
    <row r="263" ht="15.75" customHeight="1">
      <c r="C263" s="492"/>
      <c r="AB263" s="196"/>
      <c r="AC263" s="196"/>
      <c r="AD263" s="196"/>
      <c r="AE263" s="196"/>
    </row>
    <row r="264" ht="15.75" customHeight="1">
      <c r="C264" s="492"/>
      <c r="AB264" s="196"/>
      <c r="AC264" s="196"/>
      <c r="AD264" s="196"/>
      <c r="AE264" s="196"/>
    </row>
    <row r="265" ht="15.75" customHeight="1">
      <c r="C265" s="492"/>
      <c r="AB265" s="196"/>
      <c r="AC265" s="196"/>
      <c r="AD265" s="196"/>
      <c r="AE265" s="196"/>
    </row>
    <row r="266" ht="15.75" customHeight="1">
      <c r="C266" s="492"/>
      <c r="AB266" s="196"/>
      <c r="AC266" s="196"/>
      <c r="AD266" s="196"/>
      <c r="AE266" s="196"/>
    </row>
    <row r="267" ht="15.75" customHeight="1">
      <c r="C267" s="492"/>
      <c r="AB267" s="196"/>
      <c r="AC267" s="196"/>
      <c r="AD267" s="196"/>
      <c r="AE267" s="196"/>
    </row>
    <row r="268" ht="15.75" customHeight="1">
      <c r="C268" s="492"/>
      <c r="AB268" s="196"/>
      <c r="AC268" s="196"/>
      <c r="AD268" s="196"/>
      <c r="AE268" s="196"/>
    </row>
    <row r="269" ht="15.75" customHeight="1">
      <c r="C269" s="492"/>
      <c r="AB269" s="196"/>
      <c r="AC269" s="196"/>
      <c r="AD269" s="196"/>
      <c r="AE269" s="196"/>
    </row>
    <row r="270" ht="15.75" customHeight="1">
      <c r="C270" s="492"/>
      <c r="AB270" s="196"/>
      <c r="AC270" s="196"/>
      <c r="AD270" s="196"/>
      <c r="AE270" s="196"/>
    </row>
    <row r="271" ht="15.75" customHeight="1">
      <c r="C271" s="492"/>
      <c r="AB271" s="196"/>
      <c r="AC271" s="196"/>
      <c r="AD271" s="196"/>
      <c r="AE271" s="196"/>
    </row>
    <row r="272" ht="15.75" customHeight="1">
      <c r="C272" s="492"/>
      <c r="AB272" s="196"/>
      <c r="AC272" s="196"/>
      <c r="AD272" s="196"/>
      <c r="AE272" s="196"/>
    </row>
    <row r="273" ht="15.75" customHeight="1">
      <c r="C273" s="492"/>
      <c r="AB273" s="196"/>
      <c r="AC273" s="196"/>
      <c r="AD273" s="196"/>
      <c r="AE273" s="196"/>
    </row>
    <row r="274" ht="15.75" customHeight="1">
      <c r="C274" s="492"/>
      <c r="AB274" s="196"/>
      <c r="AC274" s="196"/>
      <c r="AD274" s="196"/>
      <c r="AE274" s="196"/>
    </row>
    <row r="275" ht="15.75" customHeight="1">
      <c r="C275" s="492"/>
      <c r="AB275" s="196"/>
      <c r="AC275" s="196"/>
      <c r="AD275" s="196"/>
      <c r="AE275" s="196"/>
    </row>
    <row r="276" ht="15.75" customHeight="1">
      <c r="C276" s="492"/>
      <c r="AB276" s="196"/>
      <c r="AC276" s="196"/>
      <c r="AD276" s="196"/>
      <c r="AE276" s="196"/>
    </row>
    <row r="277" ht="15.75" customHeight="1">
      <c r="C277" s="492"/>
      <c r="AB277" s="196"/>
      <c r="AC277" s="196"/>
      <c r="AD277" s="196"/>
      <c r="AE277" s="196"/>
    </row>
    <row r="278" ht="15.75" customHeight="1">
      <c r="C278" s="492"/>
      <c r="AB278" s="196"/>
      <c r="AC278" s="196"/>
      <c r="AD278" s="196"/>
      <c r="AE278" s="196"/>
    </row>
    <row r="279" ht="15.75" customHeight="1">
      <c r="C279" s="492"/>
      <c r="AB279" s="196"/>
      <c r="AC279" s="196"/>
      <c r="AD279" s="196"/>
      <c r="AE279" s="196"/>
    </row>
    <row r="280" ht="15.75" customHeight="1">
      <c r="C280" s="492"/>
      <c r="AB280" s="196"/>
      <c r="AC280" s="196"/>
      <c r="AD280" s="196"/>
      <c r="AE280" s="196"/>
    </row>
    <row r="281" ht="15.75" customHeight="1">
      <c r="C281" s="492"/>
      <c r="AB281" s="196"/>
      <c r="AC281" s="196"/>
      <c r="AD281" s="196"/>
      <c r="AE281" s="196"/>
    </row>
    <row r="282" ht="15.75" customHeight="1">
      <c r="C282" s="492"/>
      <c r="AB282" s="196"/>
      <c r="AC282" s="196"/>
      <c r="AD282" s="196"/>
      <c r="AE282" s="196"/>
    </row>
    <row r="283" ht="15.75" customHeight="1">
      <c r="C283" s="492"/>
      <c r="AB283" s="196"/>
      <c r="AC283" s="196"/>
      <c r="AD283" s="196"/>
      <c r="AE283" s="196"/>
    </row>
    <row r="284" ht="15.75" customHeight="1">
      <c r="C284" s="492"/>
      <c r="AB284" s="196"/>
      <c r="AC284" s="196"/>
      <c r="AD284" s="196"/>
      <c r="AE284" s="196"/>
    </row>
    <row r="285" ht="15.75" customHeight="1">
      <c r="C285" s="492"/>
      <c r="AB285" s="196"/>
      <c r="AC285" s="196"/>
      <c r="AD285" s="196"/>
      <c r="AE285" s="196"/>
    </row>
    <row r="286" ht="15.75" customHeight="1">
      <c r="C286" s="492"/>
      <c r="AB286" s="196"/>
      <c r="AC286" s="196"/>
      <c r="AD286" s="196"/>
      <c r="AE286" s="196"/>
    </row>
    <row r="287" ht="15.75" customHeight="1">
      <c r="C287" s="492"/>
      <c r="AB287" s="196"/>
      <c r="AC287" s="196"/>
      <c r="AD287" s="196"/>
      <c r="AE287" s="196"/>
    </row>
    <row r="288" ht="15.75" customHeight="1">
      <c r="C288" s="492"/>
      <c r="AB288" s="196"/>
      <c r="AC288" s="196"/>
      <c r="AD288" s="196"/>
      <c r="AE288" s="196"/>
    </row>
    <row r="289" ht="15.75" customHeight="1">
      <c r="C289" s="492"/>
      <c r="AB289" s="196"/>
      <c r="AC289" s="196"/>
      <c r="AD289" s="196"/>
      <c r="AE289" s="196"/>
    </row>
    <row r="290" ht="15.75" customHeight="1">
      <c r="C290" s="492"/>
      <c r="AB290" s="196"/>
      <c r="AC290" s="196"/>
      <c r="AD290" s="196"/>
      <c r="AE290" s="196"/>
    </row>
    <row r="291" ht="15.75" customHeight="1">
      <c r="C291" s="492"/>
      <c r="AB291" s="196"/>
      <c r="AC291" s="196"/>
      <c r="AD291" s="196"/>
      <c r="AE291" s="196"/>
    </row>
    <row r="292" ht="15.75" customHeight="1">
      <c r="C292" s="492"/>
      <c r="AB292" s="196"/>
      <c r="AC292" s="196"/>
      <c r="AD292" s="196"/>
      <c r="AE292" s="196"/>
    </row>
    <row r="293" ht="15.75" customHeight="1">
      <c r="C293" s="492"/>
      <c r="AB293" s="196"/>
      <c r="AC293" s="196"/>
      <c r="AD293" s="196"/>
      <c r="AE293" s="196"/>
    </row>
    <row r="294" ht="15.75" customHeight="1">
      <c r="C294" s="492"/>
      <c r="AB294" s="196"/>
      <c r="AC294" s="196"/>
      <c r="AD294" s="196"/>
      <c r="AE294" s="196"/>
    </row>
    <row r="295" ht="15.75" customHeight="1">
      <c r="C295" s="492"/>
      <c r="AB295" s="196"/>
      <c r="AC295" s="196"/>
      <c r="AD295" s="196"/>
      <c r="AE295" s="196"/>
    </row>
    <row r="296" ht="15.75" customHeight="1">
      <c r="C296" s="492"/>
      <c r="AB296" s="196"/>
      <c r="AC296" s="196"/>
      <c r="AD296" s="196"/>
      <c r="AE296" s="196"/>
    </row>
    <row r="297" ht="15.75" customHeight="1">
      <c r="C297" s="492"/>
      <c r="AB297" s="196"/>
      <c r="AC297" s="196"/>
      <c r="AD297" s="196"/>
      <c r="AE297" s="196"/>
    </row>
    <row r="298" ht="15.75" customHeight="1">
      <c r="C298" s="492"/>
      <c r="AB298" s="196"/>
      <c r="AC298" s="196"/>
      <c r="AD298" s="196"/>
      <c r="AE298" s="196"/>
    </row>
    <row r="299" ht="15.75" customHeight="1">
      <c r="C299" s="492"/>
      <c r="AB299" s="196"/>
      <c r="AC299" s="196"/>
      <c r="AD299" s="196"/>
      <c r="AE299" s="196"/>
    </row>
    <row r="300" ht="15.75" customHeight="1">
      <c r="C300" s="492"/>
      <c r="AB300" s="196"/>
      <c r="AC300" s="196"/>
      <c r="AD300" s="196"/>
      <c r="AE300" s="196"/>
    </row>
    <row r="301" ht="15.75" customHeight="1">
      <c r="C301" s="492"/>
      <c r="AB301" s="196"/>
      <c r="AC301" s="196"/>
      <c r="AD301" s="196"/>
      <c r="AE301" s="196"/>
    </row>
    <row r="302" ht="15.75" customHeight="1">
      <c r="C302" s="492"/>
      <c r="AB302" s="196"/>
      <c r="AC302" s="196"/>
      <c r="AD302" s="196"/>
      <c r="AE302" s="196"/>
    </row>
    <row r="303" ht="15.75" customHeight="1">
      <c r="C303" s="492"/>
      <c r="AB303" s="196"/>
      <c r="AC303" s="196"/>
      <c r="AD303" s="196"/>
      <c r="AE303" s="196"/>
    </row>
    <row r="304" ht="15.75" customHeight="1">
      <c r="C304" s="492"/>
      <c r="AB304" s="196"/>
      <c r="AC304" s="196"/>
      <c r="AD304" s="196"/>
      <c r="AE304" s="196"/>
    </row>
    <row r="305" ht="15.75" customHeight="1">
      <c r="C305" s="492"/>
      <c r="AB305" s="196"/>
      <c r="AC305" s="196"/>
      <c r="AD305" s="196"/>
      <c r="AE305" s="196"/>
    </row>
    <row r="306" ht="15.75" customHeight="1">
      <c r="C306" s="492"/>
      <c r="AB306" s="196"/>
      <c r="AC306" s="196"/>
      <c r="AD306" s="196"/>
      <c r="AE306" s="196"/>
    </row>
    <row r="307" ht="15.75" customHeight="1">
      <c r="C307" s="492"/>
      <c r="AB307" s="196"/>
      <c r="AC307" s="196"/>
      <c r="AD307" s="196"/>
      <c r="AE307" s="196"/>
    </row>
    <row r="308" ht="15.75" customHeight="1">
      <c r="C308" s="492"/>
      <c r="AB308" s="196"/>
      <c r="AC308" s="196"/>
      <c r="AD308" s="196"/>
      <c r="AE308" s="196"/>
    </row>
    <row r="309" ht="15.75" customHeight="1">
      <c r="C309" s="492"/>
      <c r="AB309" s="196"/>
      <c r="AC309" s="196"/>
      <c r="AD309" s="196"/>
      <c r="AE309" s="196"/>
    </row>
    <row r="310" ht="15.75" customHeight="1">
      <c r="C310" s="492"/>
      <c r="AB310" s="196"/>
      <c r="AC310" s="196"/>
      <c r="AD310" s="196"/>
      <c r="AE310" s="196"/>
    </row>
    <row r="311" ht="15.75" customHeight="1">
      <c r="C311" s="492"/>
      <c r="AB311" s="196"/>
      <c r="AC311" s="196"/>
      <c r="AD311" s="196"/>
      <c r="AE311" s="196"/>
    </row>
    <row r="312" ht="15.75" customHeight="1">
      <c r="C312" s="492"/>
      <c r="AB312" s="196"/>
      <c r="AC312" s="196"/>
      <c r="AD312" s="196"/>
      <c r="AE312" s="196"/>
    </row>
    <row r="313" ht="15.75" customHeight="1">
      <c r="C313" s="492"/>
      <c r="AB313" s="196"/>
      <c r="AC313" s="196"/>
      <c r="AD313" s="196"/>
      <c r="AE313" s="196"/>
    </row>
    <row r="314" ht="15.75" customHeight="1">
      <c r="C314" s="492"/>
      <c r="AB314" s="196"/>
      <c r="AC314" s="196"/>
      <c r="AD314" s="196"/>
      <c r="AE314" s="196"/>
    </row>
    <row r="315" ht="15.75" customHeight="1">
      <c r="C315" s="492"/>
      <c r="AB315" s="196"/>
      <c r="AC315" s="196"/>
      <c r="AD315" s="196"/>
      <c r="AE315" s="196"/>
    </row>
    <row r="316" ht="15.75" customHeight="1">
      <c r="C316" s="492"/>
      <c r="AB316" s="196"/>
      <c r="AC316" s="196"/>
      <c r="AD316" s="196"/>
      <c r="AE316" s="196"/>
    </row>
    <row r="317" ht="15.75" customHeight="1">
      <c r="C317" s="492"/>
      <c r="AB317" s="196"/>
      <c r="AC317" s="196"/>
      <c r="AD317" s="196"/>
      <c r="AE317" s="196"/>
    </row>
    <row r="318" ht="15.75" customHeight="1">
      <c r="C318" s="492"/>
      <c r="AB318" s="196"/>
      <c r="AC318" s="196"/>
      <c r="AD318" s="196"/>
      <c r="AE318" s="196"/>
    </row>
    <row r="319" ht="15.75" customHeight="1">
      <c r="C319" s="492"/>
      <c r="AB319" s="196"/>
      <c r="AC319" s="196"/>
      <c r="AD319" s="196"/>
      <c r="AE319" s="196"/>
    </row>
    <row r="320" ht="15.75" customHeight="1">
      <c r="C320" s="492"/>
      <c r="AB320" s="196"/>
      <c r="AC320" s="196"/>
      <c r="AD320" s="196"/>
      <c r="AE320" s="196"/>
    </row>
    <row r="321" ht="15.75" customHeight="1">
      <c r="C321" s="492"/>
      <c r="AB321" s="196"/>
      <c r="AC321" s="196"/>
      <c r="AD321" s="196"/>
      <c r="AE321" s="196"/>
    </row>
    <row r="322" ht="15.75" customHeight="1">
      <c r="C322" s="492"/>
      <c r="AB322" s="196"/>
      <c r="AC322" s="196"/>
      <c r="AD322" s="196"/>
      <c r="AE322" s="196"/>
    </row>
    <row r="323" ht="15.75" customHeight="1">
      <c r="C323" s="492"/>
      <c r="AB323" s="196"/>
      <c r="AC323" s="196"/>
      <c r="AD323" s="196"/>
      <c r="AE323" s="196"/>
    </row>
    <row r="324" ht="15.75" customHeight="1">
      <c r="C324" s="492"/>
      <c r="AB324" s="196"/>
      <c r="AC324" s="196"/>
      <c r="AD324" s="196"/>
      <c r="AE324" s="196"/>
    </row>
    <row r="325" ht="15.75" customHeight="1">
      <c r="C325" s="492"/>
      <c r="AB325" s="196"/>
      <c r="AC325" s="196"/>
      <c r="AD325" s="196"/>
      <c r="AE325" s="196"/>
    </row>
    <row r="326" ht="15.75" customHeight="1">
      <c r="C326" s="492"/>
      <c r="AB326" s="196"/>
      <c r="AC326" s="196"/>
      <c r="AD326" s="196"/>
      <c r="AE326" s="196"/>
    </row>
    <row r="327" ht="15.75" customHeight="1">
      <c r="C327" s="492"/>
      <c r="AB327" s="196"/>
      <c r="AC327" s="196"/>
      <c r="AD327" s="196"/>
      <c r="AE327" s="196"/>
    </row>
    <row r="328" ht="15.75" customHeight="1">
      <c r="C328" s="492"/>
      <c r="AB328" s="196"/>
      <c r="AC328" s="196"/>
      <c r="AD328" s="196"/>
      <c r="AE328" s="196"/>
    </row>
    <row r="329" ht="15.75" customHeight="1">
      <c r="C329" s="492"/>
      <c r="AB329" s="196"/>
      <c r="AC329" s="196"/>
      <c r="AD329" s="196"/>
      <c r="AE329" s="196"/>
    </row>
    <row r="330" ht="15.75" customHeight="1">
      <c r="C330" s="492"/>
      <c r="AB330" s="196"/>
      <c r="AC330" s="196"/>
      <c r="AD330" s="196"/>
      <c r="AE330" s="196"/>
    </row>
    <row r="331" ht="15.75" customHeight="1">
      <c r="C331" s="492"/>
      <c r="AB331" s="196"/>
      <c r="AC331" s="196"/>
      <c r="AD331" s="196"/>
      <c r="AE331" s="196"/>
    </row>
    <row r="332" ht="15.75" customHeight="1">
      <c r="C332" s="492"/>
      <c r="AB332" s="196"/>
      <c r="AC332" s="196"/>
      <c r="AD332" s="196"/>
      <c r="AE332" s="196"/>
    </row>
    <row r="333" ht="15.75" customHeight="1">
      <c r="C333" s="492"/>
      <c r="AB333" s="196"/>
      <c r="AC333" s="196"/>
      <c r="AD333" s="196"/>
      <c r="AE333" s="196"/>
    </row>
    <row r="334" ht="15.75" customHeight="1">
      <c r="C334" s="492"/>
      <c r="AB334" s="196"/>
      <c r="AC334" s="196"/>
      <c r="AD334" s="196"/>
      <c r="AE334" s="196"/>
    </row>
    <row r="335" ht="15.75" customHeight="1">
      <c r="C335" s="492"/>
      <c r="AB335" s="196"/>
      <c r="AC335" s="196"/>
      <c r="AD335" s="196"/>
      <c r="AE335" s="196"/>
    </row>
    <row r="336" ht="15.75" customHeight="1">
      <c r="C336" s="492"/>
      <c r="AB336" s="196"/>
      <c r="AC336" s="196"/>
      <c r="AD336" s="196"/>
      <c r="AE336" s="196"/>
    </row>
    <row r="337" ht="15.75" customHeight="1">
      <c r="C337" s="492"/>
      <c r="AB337" s="196"/>
      <c r="AC337" s="196"/>
      <c r="AD337" s="196"/>
      <c r="AE337" s="196"/>
    </row>
    <row r="338" ht="15.75" customHeight="1">
      <c r="C338" s="492"/>
      <c r="AB338" s="196"/>
      <c r="AC338" s="196"/>
      <c r="AD338" s="196"/>
      <c r="AE338" s="196"/>
    </row>
    <row r="339" ht="15.75" customHeight="1">
      <c r="C339" s="492"/>
      <c r="AB339" s="196"/>
      <c r="AC339" s="196"/>
      <c r="AD339" s="196"/>
      <c r="AE339" s="196"/>
    </row>
    <row r="340" ht="15.75" customHeight="1">
      <c r="C340" s="492"/>
      <c r="AB340" s="196"/>
      <c r="AC340" s="196"/>
      <c r="AD340" s="196"/>
      <c r="AE340" s="196"/>
    </row>
    <row r="341" ht="15.75" customHeight="1">
      <c r="C341" s="492"/>
      <c r="AB341" s="196"/>
      <c r="AC341" s="196"/>
      <c r="AD341" s="196"/>
      <c r="AE341" s="196"/>
    </row>
    <row r="342" ht="15.75" customHeight="1">
      <c r="C342" s="492"/>
      <c r="AB342" s="196"/>
      <c r="AC342" s="196"/>
      <c r="AD342" s="196"/>
      <c r="AE342" s="196"/>
    </row>
    <row r="343" ht="15.75" customHeight="1">
      <c r="C343" s="492"/>
      <c r="AB343" s="196"/>
      <c r="AC343" s="196"/>
      <c r="AD343" s="196"/>
      <c r="AE343" s="196"/>
    </row>
    <row r="344" ht="15.75" customHeight="1">
      <c r="C344" s="492"/>
      <c r="AB344" s="196"/>
      <c r="AC344" s="196"/>
      <c r="AD344" s="196"/>
      <c r="AE344" s="196"/>
    </row>
    <row r="345" ht="15.75" customHeight="1">
      <c r="C345" s="492"/>
      <c r="AB345" s="196"/>
      <c r="AC345" s="196"/>
      <c r="AD345" s="196"/>
      <c r="AE345" s="196"/>
    </row>
    <row r="346" ht="15.75" customHeight="1">
      <c r="C346" s="492"/>
      <c r="AB346" s="196"/>
      <c r="AC346" s="196"/>
      <c r="AD346" s="196"/>
      <c r="AE346" s="196"/>
    </row>
    <row r="347" ht="15.75" customHeight="1">
      <c r="C347" s="492"/>
      <c r="AB347" s="196"/>
      <c r="AC347" s="196"/>
      <c r="AD347" s="196"/>
      <c r="AE347" s="196"/>
    </row>
    <row r="348" ht="15.75" customHeight="1">
      <c r="C348" s="492"/>
      <c r="AB348" s="196"/>
      <c r="AC348" s="196"/>
      <c r="AD348" s="196"/>
      <c r="AE348" s="196"/>
    </row>
    <row r="349" ht="15.75" customHeight="1">
      <c r="C349" s="492"/>
      <c r="AB349" s="196"/>
      <c r="AC349" s="196"/>
      <c r="AD349" s="196"/>
      <c r="AE349" s="196"/>
    </row>
    <row r="350" ht="15.75" customHeight="1">
      <c r="C350" s="492"/>
      <c r="AB350" s="196"/>
      <c r="AC350" s="196"/>
      <c r="AD350" s="196"/>
      <c r="AE350" s="196"/>
    </row>
    <row r="351" ht="15.75" customHeight="1">
      <c r="C351" s="492"/>
      <c r="AB351" s="196"/>
      <c r="AC351" s="196"/>
      <c r="AD351" s="196"/>
      <c r="AE351" s="196"/>
    </row>
    <row r="352" ht="15.75" customHeight="1">
      <c r="C352" s="492"/>
      <c r="AB352" s="196"/>
      <c r="AC352" s="196"/>
      <c r="AD352" s="196"/>
      <c r="AE352" s="196"/>
    </row>
    <row r="353" ht="15.75" customHeight="1">
      <c r="C353" s="492"/>
      <c r="AB353" s="196"/>
      <c r="AC353" s="196"/>
      <c r="AD353" s="196"/>
      <c r="AE353" s="196"/>
    </row>
    <row r="354" ht="15.75" customHeight="1">
      <c r="C354" s="492"/>
      <c r="AB354" s="196"/>
      <c r="AC354" s="196"/>
      <c r="AD354" s="196"/>
      <c r="AE354" s="196"/>
    </row>
    <row r="355" ht="15.75" customHeight="1">
      <c r="C355" s="492"/>
      <c r="AB355" s="196"/>
      <c r="AC355" s="196"/>
      <c r="AD355" s="196"/>
      <c r="AE355" s="196"/>
    </row>
    <row r="356" ht="15.75" customHeight="1">
      <c r="C356" s="492"/>
      <c r="AB356" s="196"/>
      <c r="AC356" s="196"/>
      <c r="AD356" s="196"/>
      <c r="AE356" s="196"/>
    </row>
    <row r="357" ht="15.75" customHeight="1">
      <c r="C357" s="492"/>
      <c r="AB357" s="196"/>
      <c r="AC357" s="196"/>
      <c r="AD357" s="196"/>
      <c r="AE357" s="196"/>
    </row>
    <row r="358" ht="15.75" customHeight="1">
      <c r="C358" s="492"/>
      <c r="AB358" s="196"/>
      <c r="AC358" s="196"/>
      <c r="AD358" s="196"/>
      <c r="AE358" s="196"/>
    </row>
    <row r="359" ht="15.75" customHeight="1">
      <c r="C359" s="492"/>
      <c r="AB359" s="196"/>
      <c r="AC359" s="196"/>
      <c r="AD359" s="196"/>
      <c r="AE359" s="196"/>
    </row>
    <row r="360" ht="15.75" customHeight="1">
      <c r="C360" s="492"/>
      <c r="AB360" s="196"/>
      <c r="AC360" s="196"/>
      <c r="AD360" s="196"/>
      <c r="AE360" s="196"/>
    </row>
    <row r="361" ht="15.75" customHeight="1">
      <c r="C361" s="492"/>
      <c r="AB361" s="196"/>
      <c r="AC361" s="196"/>
      <c r="AD361" s="196"/>
      <c r="AE361" s="196"/>
    </row>
    <row r="362" ht="15.75" customHeight="1">
      <c r="C362" s="492"/>
      <c r="AB362" s="196"/>
      <c r="AC362" s="196"/>
      <c r="AD362" s="196"/>
      <c r="AE362" s="196"/>
    </row>
    <row r="363" ht="15.75" customHeight="1">
      <c r="C363" s="492"/>
      <c r="AB363" s="196"/>
      <c r="AC363" s="196"/>
      <c r="AD363" s="196"/>
      <c r="AE363" s="196"/>
    </row>
    <row r="364" ht="15.75" customHeight="1">
      <c r="C364" s="492"/>
      <c r="AB364" s="196"/>
      <c r="AC364" s="196"/>
      <c r="AD364" s="196"/>
      <c r="AE364" s="196"/>
    </row>
    <row r="365" ht="15.75" customHeight="1">
      <c r="C365" s="492"/>
      <c r="AB365" s="196"/>
      <c r="AC365" s="196"/>
      <c r="AD365" s="196"/>
      <c r="AE365" s="196"/>
    </row>
    <row r="366" ht="15.75" customHeight="1">
      <c r="C366" s="492"/>
      <c r="AB366" s="196"/>
      <c r="AC366" s="196"/>
      <c r="AD366" s="196"/>
      <c r="AE366" s="196"/>
    </row>
    <row r="367" ht="15.75" customHeight="1">
      <c r="C367" s="492"/>
      <c r="AB367" s="196"/>
      <c r="AC367" s="196"/>
      <c r="AD367" s="196"/>
      <c r="AE367" s="196"/>
    </row>
    <row r="368" ht="15.75" customHeight="1">
      <c r="C368" s="492"/>
      <c r="AB368" s="196"/>
      <c r="AC368" s="196"/>
      <c r="AD368" s="196"/>
      <c r="AE368" s="196"/>
    </row>
    <row r="369" ht="15.75" customHeight="1">
      <c r="C369" s="492"/>
      <c r="AB369" s="196"/>
      <c r="AC369" s="196"/>
      <c r="AD369" s="196"/>
      <c r="AE369" s="196"/>
    </row>
    <row r="370" ht="15.75" customHeight="1">
      <c r="C370" s="492"/>
      <c r="AB370" s="196"/>
      <c r="AC370" s="196"/>
      <c r="AD370" s="196"/>
      <c r="AE370" s="196"/>
    </row>
    <row r="371" ht="15.75" customHeight="1">
      <c r="C371" s="492"/>
      <c r="AB371" s="196"/>
      <c r="AC371" s="196"/>
      <c r="AD371" s="196"/>
      <c r="AE371" s="196"/>
    </row>
    <row r="372" ht="15.75" customHeight="1">
      <c r="C372" s="492"/>
      <c r="AB372" s="196"/>
      <c r="AC372" s="196"/>
      <c r="AD372" s="196"/>
      <c r="AE372" s="196"/>
    </row>
    <row r="373" ht="15.75" customHeight="1">
      <c r="C373" s="492"/>
      <c r="AB373" s="196"/>
      <c r="AC373" s="196"/>
      <c r="AD373" s="196"/>
      <c r="AE373" s="196"/>
    </row>
    <row r="374" ht="15.75" customHeight="1">
      <c r="C374" s="492"/>
      <c r="AB374" s="196"/>
      <c r="AC374" s="196"/>
      <c r="AD374" s="196"/>
      <c r="AE374" s="196"/>
    </row>
    <row r="375" ht="15.75" customHeight="1">
      <c r="C375" s="492"/>
      <c r="AB375" s="196"/>
      <c r="AC375" s="196"/>
      <c r="AD375" s="196"/>
      <c r="AE375" s="196"/>
    </row>
    <row r="376" ht="15.75" customHeight="1">
      <c r="C376" s="492"/>
      <c r="AB376" s="196"/>
      <c r="AC376" s="196"/>
      <c r="AD376" s="196"/>
      <c r="AE376" s="196"/>
    </row>
    <row r="377" ht="15.75" customHeight="1">
      <c r="C377" s="492"/>
      <c r="AB377" s="196"/>
      <c r="AC377" s="196"/>
      <c r="AD377" s="196"/>
      <c r="AE377" s="196"/>
    </row>
    <row r="378" ht="15.75" customHeight="1">
      <c r="C378" s="492"/>
      <c r="AB378" s="196"/>
      <c r="AC378" s="196"/>
      <c r="AD378" s="196"/>
      <c r="AE378" s="196"/>
    </row>
    <row r="379" ht="15.75" customHeight="1">
      <c r="C379" s="492"/>
      <c r="AB379" s="196"/>
      <c r="AC379" s="196"/>
      <c r="AD379" s="196"/>
      <c r="AE379" s="196"/>
    </row>
    <row r="380" ht="15.75" customHeight="1">
      <c r="C380" s="492"/>
      <c r="AB380" s="196"/>
      <c r="AC380" s="196"/>
      <c r="AD380" s="196"/>
      <c r="AE380" s="196"/>
    </row>
    <row r="381" ht="15.75" customHeight="1">
      <c r="C381" s="492"/>
      <c r="AB381" s="196"/>
      <c r="AC381" s="196"/>
      <c r="AD381" s="196"/>
      <c r="AE381" s="196"/>
    </row>
    <row r="382" ht="15.75" customHeight="1">
      <c r="C382" s="492"/>
      <c r="AB382" s="196"/>
      <c r="AC382" s="196"/>
      <c r="AD382" s="196"/>
      <c r="AE382" s="196"/>
    </row>
    <row r="383" ht="15.75" customHeight="1">
      <c r="C383" s="492"/>
      <c r="AB383" s="196"/>
      <c r="AC383" s="196"/>
      <c r="AD383" s="196"/>
      <c r="AE383" s="196"/>
    </row>
    <row r="384" ht="15.75" customHeight="1">
      <c r="C384" s="492"/>
      <c r="AB384" s="196"/>
      <c r="AC384" s="196"/>
      <c r="AD384" s="196"/>
      <c r="AE384" s="196"/>
    </row>
    <row r="385" ht="15.75" customHeight="1">
      <c r="C385" s="492"/>
      <c r="AB385" s="196"/>
      <c r="AC385" s="196"/>
      <c r="AD385" s="196"/>
      <c r="AE385" s="196"/>
    </row>
    <row r="386" ht="15.75" customHeight="1">
      <c r="C386" s="492"/>
      <c r="AB386" s="196"/>
      <c r="AC386" s="196"/>
      <c r="AD386" s="196"/>
      <c r="AE386" s="196"/>
    </row>
    <row r="387" ht="15.75" customHeight="1">
      <c r="C387" s="492"/>
      <c r="AB387" s="196"/>
      <c r="AC387" s="196"/>
      <c r="AD387" s="196"/>
      <c r="AE387" s="196"/>
    </row>
    <row r="388" ht="15.75" customHeight="1">
      <c r="C388" s="492"/>
      <c r="AB388" s="196"/>
      <c r="AC388" s="196"/>
      <c r="AD388" s="196"/>
      <c r="AE388" s="196"/>
    </row>
    <row r="389" ht="15.75" customHeight="1">
      <c r="C389" s="492"/>
      <c r="AB389" s="196"/>
      <c r="AC389" s="196"/>
      <c r="AD389" s="196"/>
      <c r="AE389" s="196"/>
    </row>
    <row r="390" ht="15.75" customHeight="1">
      <c r="C390" s="492"/>
      <c r="AB390" s="196"/>
      <c r="AC390" s="196"/>
      <c r="AD390" s="196"/>
      <c r="AE390" s="196"/>
    </row>
    <row r="391" ht="15.75" customHeight="1">
      <c r="C391" s="492"/>
      <c r="AB391" s="196"/>
      <c r="AC391" s="196"/>
      <c r="AD391" s="196"/>
      <c r="AE391" s="196"/>
    </row>
    <row r="392" ht="15.75" customHeight="1">
      <c r="C392" s="492"/>
      <c r="AB392" s="196"/>
      <c r="AC392" s="196"/>
      <c r="AD392" s="196"/>
      <c r="AE392" s="196"/>
    </row>
    <row r="393" ht="15.75" customHeight="1">
      <c r="C393" s="492"/>
      <c r="AB393" s="196"/>
      <c r="AC393" s="196"/>
      <c r="AD393" s="196"/>
      <c r="AE393" s="196"/>
    </row>
    <row r="394" ht="15.75" customHeight="1">
      <c r="C394" s="492"/>
      <c r="AB394" s="196"/>
      <c r="AC394" s="196"/>
      <c r="AD394" s="196"/>
      <c r="AE394" s="196"/>
    </row>
    <row r="395" ht="15.75" customHeight="1">
      <c r="C395" s="492"/>
      <c r="AB395" s="196"/>
      <c r="AC395" s="196"/>
      <c r="AD395" s="196"/>
      <c r="AE395" s="196"/>
    </row>
    <row r="396" ht="15.75" customHeight="1">
      <c r="C396" s="492"/>
      <c r="AB396" s="196"/>
      <c r="AC396" s="196"/>
      <c r="AD396" s="196"/>
      <c r="AE396" s="196"/>
    </row>
    <row r="397" ht="15.75" customHeight="1">
      <c r="C397" s="492"/>
      <c r="AB397" s="196"/>
      <c r="AC397" s="196"/>
      <c r="AD397" s="196"/>
      <c r="AE397" s="196"/>
    </row>
    <row r="398" ht="15.75" customHeight="1">
      <c r="C398" s="492"/>
      <c r="AB398" s="196"/>
      <c r="AC398" s="196"/>
      <c r="AD398" s="196"/>
      <c r="AE398" s="196"/>
    </row>
    <row r="399" ht="15.75" customHeight="1">
      <c r="C399" s="492"/>
      <c r="AB399" s="196"/>
      <c r="AC399" s="196"/>
      <c r="AD399" s="196"/>
      <c r="AE399" s="196"/>
    </row>
    <row r="400" ht="15.75" customHeight="1">
      <c r="C400" s="492"/>
      <c r="AB400" s="196"/>
      <c r="AC400" s="196"/>
      <c r="AD400" s="196"/>
      <c r="AE400" s="196"/>
    </row>
    <row r="401" ht="15.75" customHeight="1">
      <c r="C401" s="492"/>
      <c r="AB401" s="196"/>
      <c r="AC401" s="196"/>
      <c r="AD401" s="196"/>
      <c r="AE401" s="196"/>
    </row>
    <row r="402" ht="15.75" customHeight="1">
      <c r="C402" s="492"/>
      <c r="AB402" s="196"/>
      <c r="AC402" s="196"/>
      <c r="AD402" s="196"/>
      <c r="AE402" s="196"/>
    </row>
    <row r="403" ht="15.75" customHeight="1">
      <c r="C403" s="492"/>
      <c r="AB403" s="196"/>
      <c r="AC403" s="196"/>
      <c r="AD403" s="196"/>
      <c r="AE403" s="196"/>
    </row>
    <row r="404" ht="15.75" customHeight="1">
      <c r="C404" s="492"/>
      <c r="AB404" s="196"/>
      <c r="AC404" s="196"/>
      <c r="AD404" s="196"/>
      <c r="AE404" s="196"/>
    </row>
    <row r="405" ht="15.75" customHeight="1">
      <c r="C405" s="492"/>
      <c r="AB405" s="196"/>
      <c r="AC405" s="196"/>
      <c r="AD405" s="196"/>
      <c r="AE405" s="196"/>
    </row>
    <row r="406" ht="15.75" customHeight="1">
      <c r="C406" s="492"/>
      <c r="AB406" s="196"/>
      <c r="AC406" s="196"/>
      <c r="AD406" s="196"/>
      <c r="AE406" s="196"/>
    </row>
    <row r="407" ht="15.75" customHeight="1">
      <c r="C407" s="492"/>
      <c r="AB407" s="196"/>
      <c r="AC407" s="196"/>
      <c r="AD407" s="196"/>
      <c r="AE407" s="196"/>
    </row>
    <row r="408" ht="15.75" customHeight="1">
      <c r="C408" s="492"/>
      <c r="AB408" s="196"/>
      <c r="AC408" s="196"/>
      <c r="AD408" s="196"/>
      <c r="AE408" s="196"/>
    </row>
    <row r="409" ht="15.75" customHeight="1">
      <c r="C409" s="492"/>
      <c r="AB409" s="196"/>
      <c r="AC409" s="196"/>
      <c r="AD409" s="196"/>
      <c r="AE409" s="196"/>
    </row>
    <row r="410" ht="15.75" customHeight="1">
      <c r="C410" s="492"/>
      <c r="AB410" s="196"/>
      <c r="AC410" s="196"/>
      <c r="AD410" s="196"/>
      <c r="AE410" s="196"/>
    </row>
    <row r="411" ht="15.75" customHeight="1">
      <c r="C411" s="492"/>
      <c r="AB411" s="196"/>
      <c r="AC411" s="196"/>
      <c r="AD411" s="196"/>
      <c r="AE411" s="196"/>
    </row>
    <row r="412" ht="15.75" customHeight="1">
      <c r="C412" s="492"/>
      <c r="AB412" s="196"/>
      <c r="AC412" s="196"/>
      <c r="AD412" s="196"/>
      <c r="AE412" s="196"/>
    </row>
    <row r="413" ht="15.75" customHeight="1">
      <c r="C413" s="492"/>
      <c r="AB413" s="196"/>
      <c r="AC413" s="196"/>
      <c r="AD413" s="196"/>
      <c r="AE413" s="196"/>
    </row>
    <row r="414" ht="15.75" customHeight="1">
      <c r="C414" s="492"/>
      <c r="AB414" s="196"/>
      <c r="AC414" s="196"/>
      <c r="AD414" s="196"/>
      <c r="AE414" s="196"/>
    </row>
    <row r="415" ht="15.75" customHeight="1">
      <c r="C415" s="492"/>
      <c r="AB415" s="196"/>
      <c r="AC415" s="196"/>
      <c r="AD415" s="196"/>
      <c r="AE415" s="196"/>
    </row>
    <row r="416" ht="15.75" customHeight="1">
      <c r="C416" s="492"/>
      <c r="AB416" s="196"/>
      <c r="AC416" s="196"/>
      <c r="AD416" s="196"/>
      <c r="AE416" s="196"/>
    </row>
    <row r="417" ht="15.75" customHeight="1">
      <c r="C417" s="492"/>
      <c r="AB417" s="196"/>
      <c r="AC417" s="196"/>
      <c r="AD417" s="196"/>
      <c r="AE417" s="196"/>
    </row>
    <row r="418" ht="15.75" customHeight="1">
      <c r="C418" s="492"/>
      <c r="AB418" s="196"/>
      <c r="AC418" s="196"/>
      <c r="AD418" s="196"/>
      <c r="AE418" s="196"/>
    </row>
    <row r="419" ht="15.75" customHeight="1">
      <c r="C419" s="492"/>
      <c r="AB419" s="196"/>
      <c r="AC419" s="196"/>
      <c r="AD419" s="196"/>
      <c r="AE419" s="196"/>
    </row>
    <row r="420" ht="15.75" customHeight="1">
      <c r="C420" s="492"/>
      <c r="AB420" s="196"/>
      <c r="AC420" s="196"/>
      <c r="AD420" s="196"/>
      <c r="AE420" s="196"/>
    </row>
    <row r="421" ht="15.75" customHeight="1">
      <c r="C421" s="492"/>
      <c r="AB421" s="196"/>
      <c r="AC421" s="196"/>
      <c r="AD421" s="196"/>
      <c r="AE421" s="196"/>
    </row>
    <row r="422" ht="15.75" customHeight="1">
      <c r="C422" s="492"/>
      <c r="AB422" s="196"/>
      <c r="AC422" s="196"/>
      <c r="AD422" s="196"/>
      <c r="AE422" s="196"/>
    </row>
    <row r="423" ht="15.75" customHeight="1">
      <c r="C423" s="492"/>
      <c r="AB423" s="196"/>
      <c r="AC423" s="196"/>
      <c r="AD423" s="196"/>
      <c r="AE423" s="196"/>
    </row>
    <row r="424" ht="15.75" customHeight="1">
      <c r="C424" s="492"/>
      <c r="AB424" s="196"/>
      <c r="AC424" s="196"/>
      <c r="AD424" s="196"/>
      <c r="AE424" s="196"/>
    </row>
    <row r="425" ht="15.75" customHeight="1">
      <c r="C425" s="492"/>
      <c r="AB425" s="196"/>
      <c r="AC425" s="196"/>
      <c r="AD425" s="196"/>
      <c r="AE425" s="196"/>
    </row>
    <row r="426" ht="15.75" customHeight="1">
      <c r="C426" s="492"/>
      <c r="AB426" s="196"/>
      <c r="AC426" s="196"/>
      <c r="AD426" s="196"/>
      <c r="AE426" s="196"/>
    </row>
    <row r="427" ht="15.75" customHeight="1">
      <c r="C427" s="492"/>
      <c r="AB427" s="196"/>
      <c r="AC427" s="196"/>
      <c r="AD427" s="196"/>
      <c r="AE427" s="196"/>
    </row>
    <row r="428" ht="15.75" customHeight="1">
      <c r="C428" s="492"/>
      <c r="AB428" s="196"/>
      <c r="AC428" s="196"/>
      <c r="AD428" s="196"/>
      <c r="AE428" s="196"/>
    </row>
    <row r="429" ht="15.75" customHeight="1">
      <c r="C429" s="492"/>
      <c r="AB429" s="196"/>
      <c r="AC429" s="196"/>
      <c r="AD429" s="196"/>
      <c r="AE429" s="196"/>
    </row>
    <row r="430" ht="15.75" customHeight="1">
      <c r="C430" s="492"/>
      <c r="AB430" s="196"/>
      <c r="AC430" s="196"/>
      <c r="AD430" s="196"/>
      <c r="AE430" s="196"/>
    </row>
    <row r="431" ht="15.75" customHeight="1">
      <c r="C431" s="492"/>
      <c r="AB431" s="196"/>
      <c r="AC431" s="196"/>
      <c r="AD431" s="196"/>
      <c r="AE431" s="196"/>
    </row>
    <row r="432" ht="15.75" customHeight="1">
      <c r="C432" s="492"/>
      <c r="AB432" s="196"/>
      <c r="AC432" s="196"/>
      <c r="AD432" s="196"/>
      <c r="AE432" s="196"/>
    </row>
    <row r="433" ht="15.75" customHeight="1">
      <c r="C433" s="492"/>
      <c r="AB433" s="196"/>
      <c r="AC433" s="196"/>
      <c r="AD433" s="196"/>
      <c r="AE433" s="196"/>
    </row>
    <row r="434" ht="15.75" customHeight="1">
      <c r="C434" s="492"/>
      <c r="AB434" s="196"/>
      <c r="AC434" s="196"/>
      <c r="AD434" s="196"/>
      <c r="AE434" s="196"/>
    </row>
    <row r="435" ht="15.75" customHeight="1">
      <c r="C435" s="492"/>
      <c r="AB435" s="196"/>
      <c r="AC435" s="196"/>
      <c r="AD435" s="196"/>
      <c r="AE435" s="196"/>
    </row>
    <row r="436" ht="15.75" customHeight="1">
      <c r="C436" s="492"/>
      <c r="AB436" s="196"/>
      <c r="AC436" s="196"/>
      <c r="AD436" s="196"/>
      <c r="AE436" s="196"/>
    </row>
    <row r="437" ht="15.75" customHeight="1">
      <c r="C437" s="492"/>
      <c r="AB437" s="196"/>
      <c r="AC437" s="196"/>
      <c r="AD437" s="196"/>
      <c r="AE437" s="196"/>
    </row>
    <row r="438" ht="15.75" customHeight="1">
      <c r="C438" s="492"/>
      <c r="AB438" s="196"/>
      <c r="AC438" s="196"/>
      <c r="AD438" s="196"/>
      <c r="AE438" s="196"/>
    </row>
    <row r="439" ht="15.75" customHeight="1">
      <c r="C439" s="492"/>
      <c r="AB439" s="196"/>
      <c r="AC439" s="196"/>
      <c r="AD439" s="196"/>
      <c r="AE439" s="196"/>
    </row>
    <row r="440" ht="15.75" customHeight="1">
      <c r="C440" s="492"/>
      <c r="AB440" s="196"/>
      <c r="AC440" s="196"/>
      <c r="AD440" s="196"/>
      <c r="AE440" s="196"/>
    </row>
    <row r="441" ht="15.75" customHeight="1">
      <c r="C441" s="492"/>
      <c r="AB441" s="196"/>
      <c r="AC441" s="196"/>
      <c r="AD441" s="196"/>
      <c r="AE441" s="196"/>
    </row>
    <row r="442" ht="15.75" customHeight="1">
      <c r="C442" s="492"/>
      <c r="AB442" s="196"/>
      <c r="AC442" s="196"/>
      <c r="AD442" s="196"/>
      <c r="AE442" s="196"/>
    </row>
    <row r="443" ht="15.75" customHeight="1">
      <c r="C443" s="492"/>
      <c r="AB443" s="196"/>
      <c r="AC443" s="196"/>
      <c r="AD443" s="196"/>
      <c r="AE443" s="196"/>
    </row>
    <row r="444" ht="15.75" customHeight="1">
      <c r="C444" s="492"/>
      <c r="AB444" s="196"/>
      <c r="AC444" s="196"/>
      <c r="AD444" s="196"/>
      <c r="AE444" s="196"/>
    </row>
    <row r="445" ht="15.75" customHeight="1">
      <c r="C445" s="492"/>
      <c r="AB445" s="196"/>
      <c r="AC445" s="196"/>
      <c r="AD445" s="196"/>
      <c r="AE445" s="196"/>
    </row>
    <row r="446" ht="15.75" customHeight="1">
      <c r="C446" s="492"/>
      <c r="AB446" s="196"/>
      <c r="AC446" s="196"/>
      <c r="AD446" s="196"/>
      <c r="AE446" s="196"/>
    </row>
    <row r="447" ht="15.75" customHeight="1">
      <c r="C447" s="492"/>
      <c r="AB447" s="196"/>
      <c r="AC447" s="196"/>
      <c r="AD447" s="196"/>
      <c r="AE447" s="196"/>
    </row>
    <row r="448" ht="15.75" customHeight="1">
      <c r="C448" s="492"/>
      <c r="AB448" s="196"/>
      <c r="AC448" s="196"/>
      <c r="AD448" s="196"/>
      <c r="AE448" s="196"/>
    </row>
    <row r="449" ht="15.75" customHeight="1">
      <c r="C449" s="492"/>
      <c r="AB449" s="196"/>
      <c r="AC449" s="196"/>
      <c r="AD449" s="196"/>
      <c r="AE449" s="196"/>
    </row>
    <row r="450" ht="15.75" customHeight="1">
      <c r="C450" s="492"/>
      <c r="AB450" s="196"/>
      <c r="AC450" s="196"/>
      <c r="AD450" s="196"/>
      <c r="AE450" s="196"/>
    </row>
    <row r="451" ht="15.75" customHeight="1">
      <c r="C451" s="492"/>
      <c r="AB451" s="196"/>
      <c r="AC451" s="196"/>
      <c r="AD451" s="196"/>
      <c r="AE451" s="196"/>
    </row>
    <row r="452" ht="15.75" customHeight="1">
      <c r="C452" s="492"/>
      <c r="AB452" s="196"/>
      <c r="AC452" s="196"/>
      <c r="AD452" s="196"/>
      <c r="AE452" s="196"/>
    </row>
    <row r="453" ht="15.75" customHeight="1">
      <c r="C453" s="492"/>
      <c r="AB453" s="196"/>
      <c r="AC453" s="196"/>
      <c r="AD453" s="196"/>
      <c r="AE453" s="196"/>
    </row>
    <row r="454" ht="15.75" customHeight="1">
      <c r="C454" s="492"/>
      <c r="AB454" s="196"/>
      <c r="AC454" s="196"/>
      <c r="AD454" s="196"/>
      <c r="AE454" s="196"/>
    </row>
    <row r="455" ht="15.75" customHeight="1">
      <c r="C455" s="492"/>
      <c r="AB455" s="196"/>
      <c r="AC455" s="196"/>
      <c r="AD455" s="196"/>
      <c r="AE455" s="196"/>
    </row>
    <row r="456" ht="15.75" customHeight="1">
      <c r="C456" s="492"/>
      <c r="AB456" s="196"/>
      <c r="AC456" s="196"/>
      <c r="AD456" s="196"/>
      <c r="AE456" s="196"/>
    </row>
    <row r="457" ht="15.75" customHeight="1">
      <c r="C457" s="492"/>
      <c r="AB457" s="196"/>
      <c r="AC457" s="196"/>
      <c r="AD457" s="196"/>
      <c r="AE457" s="196"/>
    </row>
    <row r="458" ht="15.75" customHeight="1">
      <c r="C458" s="492"/>
      <c r="AB458" s="196"/>
      <c r="AC458" s="196"/>
      <c r="AD458" s="196"/>
      <c r="AE458" s="196"/>
    </row>
    <row r="459" ht="15.75" customHeight="1">
      <c r="C459" s="492"/>
      <c r="AB459" s="196"/>
      <c r="AC459" s="196"/>
      <c r="AD459" s="196"/>
      <c r="AE459" s="196"/>
    </row>
    <row r="460" ht="15.75" customHeight="1">
      <c r="C460" s="492"/>
      <c r="AB460" s="196"/>
      <c r="AC460" s="196"/>
      <c r="AD460" s="196"/>
      <c r="AE460" s="196"/>
    </row>
    <row r="461" ht="15.75" customHeight="1">
      <c r="C461" s="492"/>
      <c r="AB461" s="196"/>
      <c r="AC461" s="196"/>
      <c r="AD461" s="196"/>
      <c r="AE461" s="196"/>
    </row>
    <row r="462" ht="15.75" customHeight="1">
      <c r="C462" s="492"/>
      <c r="AB462" s="196"/>
      <c r="AC462" s="196"/>
      <c r="AD462" s="196"/>
      <c r="AE462" s="196"/>
    </row>
    <row r="463" ht="15.75" customHeight="1">
      <c r="C463" s="492"/>
      <c r="AB463" s="196"/>
      <c r="AC463" s="196"/>
      <c r="AD463" s="196"/>
      <c r="AE463" s="196"/>
    </row>
    <row r="464" ht="15.75" customHeight="1">
      <c r="C464" s="492"/>
      <c r="AB464" s="196"/>
      <c r="AC464" s="196"/>
      <c r="AD464" s="196"/>
      <c r="AE464" s="196"/>
    </row>
    <row r="465" ht="15.75" customHeight="1">
      <c r="C465" s="492"/>
      <c r="AB465" s="196"/>
      <c r="AC465" s="196"/>
      <c r="AD465" s="196"/>
      <c r="AE465" s="196"/>
    </row>
    <row r="466" ht="15.75" customHeight="1">
      <c r="C466" s="492"/>
      <c r="AB466" s="196"/>
      <c r="AC466" s="196"/>
      <c r="AD466" s="196"/>
      <c r="AE466" s="196"/>
    </row>
    <row r="467" ht="15.75" customHeight="1">
      <c r="C467" s="492"/>
      <c r="AB467" s="196"/>
      <c r="AC467" s="196"/>
      <c r="AD467" s="196"/>
      <c r="AE467" s="196"/>
    </row>
    <row r="468" ht="15.75" customHeight="1">
      <c r="C468" s="492"/>
      <c r="AB468" s="196"/>
      <c r="AC468" s="196"/>
      <c r="AD468" s="196"/>
      <c r="AE468" s="196"/>
    </row>
    <row r="469" ht="15.75" customHeight="1">
      <c r="C469" s="492"/>
      <c r="AB469" s="196"/>
      <c r="AC469" s="196"/>
      <c r="AD469" s="196"/>
      <c r="AE469" s="196"/>
    </row>
    <row r="470" ht="15.75" customHeight="1">
      <c r="C470" s="492"/>
      <c r="AB470" s="196"/>
      <c r="AC470" s="196"/>
      <c r="AD470" s="196"/>
      <c r="AE470" s="196"/>
    </row>
    <row r="471" ht="15.75" customHeight="1">
      <c r="C471" s="492"/>
      <c r="AB471" s="196"/>
      <c r="AC471" s="196"/>
      <c r="AD471" s="196"/>
      <c r="AE471" s="196"/>
    </row>
    <row r="472" ht="15.75" customHeight="1">
      <c r="C472" s="492"/>
      <c r="AB472" s="196"/>
      <c r="AC472" s="196"/>
      <c r="AD472" s="196"/>
      <c r="AE472" s="196"/>
    </row>
    <row r="473" ht="15.75" customHeight="1">
      <c r="C473" s="492"/>
      <c r="AB473" s="196"/>
      <c r="AC473" s="196"/>
      <c r="AD473" s="196"/>
      <c r="AE473" s="196"/>
    </row>
    <row r="474" ht="15.75" customHeight="1">
      <c r="C474" s="492"/>
      <c r="AB474" s="196"/>
      <c r="AC474" s="196"/>
      <c r="AD474" s="196"/>
      <c r="AE474" s="196"/>
    </row>
    <row r="475" ht="15.75" customHeight="1">
      <c r="C475" s="492"/>
      <c r="AB475" s="196"/>
      <c r="AC475" s="196"/>
      <c r="AD475" s="196"/>
      <c r="AE475" s="196"/>
    </row>
    <row r="476" ht="15.75" customHeight="1">
      <c r="C476" s="492"/>
      <c r="AB476" s="196"/>
      <c r="AC476" s="196"/>
      <c r="AD476" s="196"/>
      <c r="AE476" s="196"/>
    </row>
    <row r="477" ht="15.75" customHeight="1">
      <c r="C477" s="492"/>
      <c r="AB477" s="196"/>
      <c r="AC477" s="196"/>
      <c r="AD477" s="196"/>
      <c r="AE477" s="196"/>
    </row>
    <row r="478" ht="15.75" customHeight="1">
      <c r="C478" s="492"/>
      <c r="AB478" s="196"/>
      <c r="AC478" s="196"/>
      <c r="AD478" s="196"/>
      <c r="AE478" s="196"/>
    </row>
    <row r="479" ht="15.75" customHeight="1">
      <c r="C479" s="492"/>
      <c r="AB479" s="196"/>
      <c r="AC479" s="196"/>
      <c r="AD479" s="196"/>
      <c r="AE479" s="196"/>
    </row>
    <row r="480" ht="15.75" customHeight="1">
      <c r="C480" s="492"/>
      <c r="AB480" s="196"/>
      <c r="AC480" s="196"/>
      <c r="AD480" s="196"/>
      <c r="AE480" s="196"/>
    </row>
    <row r="481" ht="15.75" customHeight="1">
      <c r="C481" s="492"/>
      <c r="AB481" s="196"/>
      <c r="AC481" s="196"/>
      <c r="AD481" s="196"/>
      <c r="AE481" s="196"/>
    </row>
    <row r="482" ht="15.75" customHeight="1">
      <c r="C482" s="492"/>
      <c r="AB482" s="196"/>
      <c r="AC482" s="196"/>
      <c r="AD482" s="196"/>
      <c r="AE482" s="196"/>
    </row>
    <row r="483" ht="15.75" customHeight="1">
      <c r="C483" s="492"/>
      <c r="AB483" s="196"/>
      <c r="AC483" s="196"/>
      <c r="AD483" s="196"/>
      <c r="AE483" s="196"/>
    </row>
    <row r="484" ht="15.75" customHeight="1">
      <c r="C484" s="492"/>
      <c r="AB484" s="196"/>
      <c r="AC484" s="196"/>
      <c r="AD484" s="196"/>
      <c r="AE484" s="196"/>
    </row>
    <row r="485" ht="15.75" customHeight="1">
      <c r="C485" s="492"/>
      <c r="AB485" s="196"/>
      <c r="AC485" s="196"/>
      <c r="AD485" s="196"/>
      <c r="AE485" s="196"/>
    </row>
    <row r="486" ht="15.75" customHeight="1">
      <c r="C486" s="492"/>
      <c r="AB486" s="196"/>
      <c r="AC486" s="196"/>
      <c r="AD486" s="196"/>
      <c r="AE486" s="196"/>
    </row>
    <row r="487" ht="15.75" customHeight="1">
      <c r="C487" s="492"/>
      <c r="AB487" s="196"/>
      <c r="AC487" s="196"/>
      <c r="AD487" s="196"/>
      <c r="AE487" s="196"/>
    </row>
    <row r="488" ht="15.75" customHeight="1">
      <c r="C488" s="492"/>
      <c r="AB488" s="196"/>
      <c r="AC488" s="196"/>
      <c r="AD488" s="196"/>
      <c r="AE488" s="196"/>
    </row>
    <row r="489" ht="15.75" customHeight="1">
      <c r="C489" s="492"/>
      <c r="AB489" s="196"/>
      <c r="AC489" s="196"/>
      <c r="AD489" s="196"/>
      <c r="AE489" s="196"/>
    </row>
    <row r="490" ht="15.75" customHeight="1">
      <c r="C490" s="492"/>
      <c r="AB490" s="196"/>
      <c r="AC490" s="196"/>
      <c r="AD490" s="196"/>
      <c r="AE490" s="196"/>
    </row>
    <row r="491" ht="15.75" customHeight="1">
      <c r="C491" s="492"/>
      <c r="AB491" s="196"/>
      <c r="AC491" s="196"/>
      <c r="AD491" s="196"/>
      <c r="AE491" s="196"/>
    </row>
    <row r="492" ht="15.75" customHeight="1">
      <c r="C492" s="492"/>
      <c r="AB492" s="196"/>
      <c r="AC492" s="196"/>
      <c r="AD492" s="196"/>
      <c r="AE492" s="196"/>
    </row>
    <row r="493" ht="15.75" customHeight="1">
      <c r="C493" s="492"/>
      <c r="AB493" s="196"/>
      <c r="AC493" s="196"/>
      <c r="AD493" s="196"/>
      <c r="AE493" s="196"/>
    </row>
    <row r="494" ht="15.75" customHeight="1">
      <c r="C494" s="492"/>
      <c r="AB494" s="196"/>
      <c r="AC494" s="196"/>
      <c r="AD494" s="196"/>
      <c r="AE494" s="196"/>
    </row>
    <row r="495" ht="15.75" customHeight="1">
      <c r="C495" s="492"/>
      <c r="AB495" s="196"/>
      <c r="AC495" s="196"/>
      <c r="AD495" s="196"/>
      <c r="AE495" s="196"/>
    </row>
    <row r="496" ht="15.75" customHeight="1">
      <c r="C496" s="492"/>
      <c r="AB496" s="196"/>
      <c r="AC496" s="196"/>
      <c r="AD496" s="196"/>
      <c r="AE496" s="196"/>
    </row>
    <row r="497" ht="15.75" customHeight="1">
      <c r="C497" s="492"/>
      <c r="AB497" s="196"/>
      <c r="AC497" s="196"/>
      <c r="AD497" s="196"/>
      <c r="AE497" s="196"/>
    </row>
    <row r="498" ht="15.75" customHeight="1">
      <c r="C498" s="492"/>
      <c r="AB498" s="196"/>
      <c r="AC498" s="196"/>
      <c r="AD498" s="196"/>
      <c r="AE498" s="196"/>
    </row>
    <row r="499" ht="15.75" customHeight="1">
      <c r="C499" s="492"/>
      <c r="AB499" s="196"/>
      <c r="AC499" s="196"/>
      <c r="AD499" s="196"/>
      <c r="AE499" s="196"/>
    </row>
    <row r="500" ht="15.75" customHeight="1">
      <c r="C500" s="492"/>
      <c r="AB500" s="196"/>
      <c r="AC500" s="196"/>
      <c r="AD500" s="196"/>
      <c r="AE500" s="196"/>
    </row>
    <row r="501" ht="15.75" customHeight="1">
      <c r="C501" s="492"/>
      <c r="AB501" s="196"/>
      <c r="AC501" s="196"/>
      <c r="AD501" s="196"/>
      <c r="AE501" s="196"/>
    </row>
    <row r="502" ht="15.75" customHeight="1">
      <c r="C502" s="492"/>
      <c r="AB502" s="196"/>
      <c r="AC502" s="196"/>
      <c r="AD502" s="196"/>
      <c r="AE502" s="196"/>
    </row>
    <row r="503" ht="15.75" customHeight="1">
      <c r="C503" s="492"/>
      <c r="AB503" s="196"/>
      <c r="AC503" s="196"/>
      <c r="AD503" s="196"/>
      <c r="AE503" s="196"/>
    </row>
    <row r="504" ht="15.75" customHeight="1">
      <c r="C504" s="492"/>
      <c r="AB504" s="196"/>
      <c r="AC504" s="196"/>
      <c r="AD504" s="196"/>
      <c r="AE504" s="196"/>
    </row>
    <row r="505" ht="15.75" customHeight="1">
      <c r="C505" s="492"/>
      <c r="AB505" s="196"/>
      <c r="AC505" s="196"/>
      <c r="AD505" s="196"/>
      <c r="AE505" s="196"/>
    </row>
    <row r="506" ht="15.75" customHeight="1">
      <c r="C506" s="492"/>
      <c r="AB506" s="196"/>
      <c r="AC506" s="196"/>
      <c r="AD506" s="196"/>
      <c r="AE506" s="196"/>
    </row>
    <row r="507" ht="15.75" customHeight="1">
      <c r="C507" s="492"/>
      <c r="AB507" s="196"/>
      <c r="AC507" s="196"/>
      <c r="AD507" s="196"/>
      <c r="AE507" s="196"/>
    </row>
    <row r="508" ht="15.75" customHeight="1">
      <c r="C508" s="492"/>
      <c r="AB508" s="196"/>
      <c r="AC508" s="196"/>
      <c r="AD508" s="196"/>
      <c r="AE508" s="196"/>
    </row>
    <row r="509" ht="15.75" customHeight="1">
      <c r="C509" s="492"/>
      <c r="AB509" s="196"/>
      <c r="AC509" s="196"/>
      <c r="AD509" s="196"/>
      <c r="AE509" s="196"/>
    </row>
    <row r="510" ht="15.75" customHeight="1">
      <c r="C510" s="492"/>
      <c r="AB510" s="196"/>
      <c r="AC510" s="196"/>
      <c r="AD510" s="196"/>
      <c r="AE510" s="196"/>
    </row>
    <row r="511" ht="15.75" customHeight="1">
      <c r="C511" s="492"/>
      <c r="AB511" s="196"/>
      <c r="AC511" s="196"/>
      <c r="AD511" s="196"/>
      <c r="AE511" s="196"/>
    </row>
    <row r="512" ht="15.75" customHeight="1">
      <c r="C512" s="492"/>
      <c r="AB512" s="196"/>
      <c r="AC512" s="196"/>
      <c r="AD512" s="196"/>
      <c r="AE512" s="196"/>
    </row>
    <row r="513" ht="15.75" customHeight="1">
      <c r="C513" s="492"/>
      <c r="AB513" s="196"/>
      <c r="AC513" s="196"/>
      <c r="AD513" s="196"/>
      <c r="AE513" s="196"/>
    </row>
    <row r="514" ht="15.75" customHeight="1">
      <c r="C514" s="492"/>
      <c r="AB514" s="196"/>
      <c r="AC514" s="196"/>
      <c r="AD514" s="196"/>
      <c r="AE514" s="196"/>
    </row>
    <row r="515" ht="15.75" customHeight="1">
      <c r="C515" s="492"/>
      <c r="AB515" s="196"/>
      <c r="AC515" s="196"/>
      <c r="AD515" s="196"/>
      <c r="AE515" s="196"/>
    </row>
    <row r="516" ht="15.75" customHeight="1">
      <c r="C516" s="492"/>
      <c r="AB516" s="196"/>
      <c r="AC516" s="196"/>
      <c r="AD516" s="196"/>
      <c r="AE516" s="196"/>
    </row>
    <row r="517" ht="15.75" customHeight="1">
      <c r="C517" s="492"/>
      <c r="AB517" s="196"/>
      <c r="AC517" s="196"/>
      <c r="AD517" s="196"/>
      <c r="AE517" s="196"/>
    </row>
    <row r="518" ht="15.75" customHeight="1">
      <c r="C518" s="492"/>
      <c r="AB518" s="196"/>
      <c r="AC518" s="196"/>
      <c r="AD518" s="196"/>
      <c r="AE518" s="196"/>
    </row>
    <row r="519" ht="15.75" customHeight="1">
      <c r="C519" s="492"/>
      <c r="AB519" s="196"/>
      <c r="AC519" s="196"/>
      <c r="AD519" s="196"/>
      <c r="AE519" s="196"/>
    </row>
    <row r="520" ht="15.75" customHeight="1">
      <c r="C520" s="492"/>
      <c r="AB520" s="196"/>
      <c r="AC520" s="196"/>
      <c r="AD520" s="196"/>
      <c r="AE520" s="196"/>
    </row>
    <row r="521" ht="15.75" customHeight="1">
      <c r="C521" s="492"/>
      <c r="AB521" s="196"/>
      <c r="AC521" s="196"/>
      <c r="AD521" s="196"/>
      <c r="AE521" s="196"/>
    </row>
    <row r="522" ht="15.75" customHeight="1">
      <c r="C522" s="492"/>
      <c r="AB522" s="196"/>
      <c r="AC522" s="196"/>
      <c r="AD522" s="196"/>
      <c r="AE522" s="196"/>
    </row>
    <row r="523" ht="15.75" customHeight="1">
      <c r="C523" s="492"/>
      <c r="AB523" s="196"/>
      <c r="AC523" s="196"/>
      <c r="AD523" s="196"/>
      <c r="AE523" s="196"/>
    </row>
    <row r="524" ht="15.75" customHeight="1">
      <c r="C524" s="492"/>
      <c r="AB524" s="196"/>
      <c r="AC524" s="196"/>
      <c r="AD524" s="196"/>
      <c r="AE524" s="196"/>
    </row>
    <row r="525" ht="15.75" customHeight="1">
      <c r="C525" s="492"/>
      <c r="AB525" s="196"/>
      <c r="AC525" s="196"/>
      <c r="AD525" s="196"/>
      <c r="AE525" s="196"/>
    </row>
    <row r="526" ht="15.75" customHeight="1">
      <c r="C526" s="492"/>
      <c r="AB526" s="196"/>
      <c r="AC526" s="196"/>
      <c r="AD526" s="196"/>
      <c r="AE526" s="196"/>
    </row>
    <row r="527" ht="15.75" customHeight="1">
      <c r="C527" s="492"/>
      <c r="AB527" s="196"/>
      <c r="AC527" s="196"/>
      <c r="AD527" s="196"/>
      <c r="AE527" s="196"/>
    </row>
    <row r="528" ht="15.75" customHeight="1">
      <c r="C528" s="492"/>
      <c r="AB528" s="196"/>
      <c r="AC528" s="196"/>
      <c r="AD528" s="196"/>
      <c r="AE528" s="196"/>
    </row>
    <row r="529" ht="15.75" customHeight="1">
      <c r="C529" s="492"/>
      <c r="AB529" s="196"/>
      <c r="AC529" s="196"/>
      <c r="AD529" s="196"/>
      <c r="AE529" s="196"/>
    </row>
    <row r="530" ht="15.75" customHeight="1">
      <c r="C530" s="492"/>
      <c r="AB530" s="196"/>
      <c r="AC530" s="196"/>
      <c r="AD530" s="196"/>
      <c r="AE530" s="196"/>
    </row>
    <row r="531" ht="15.75" customHeight="1">
      <c r="C531" s="492"/>
      <c r="AB531" s="196"/>
      <c r="AC531" s="196"/>
      <c r="AD531" s="196"/>
      <c r="AE531" s="196"/>
    </row>
    <row r="532" ht="15.75" customHeight="1">
      <c r="C532" s="492"/>
      <c r="AB532" s="196"/>
      <c r="AC532" s="196"/>
      <c r="AD532" s="196"/>
      <c r="AE532" s="196"/>
    </row>
    <row r="533" ht="15.75" customHeight="1">
      <c r="C533" s="492"/>
      <c r="AB533" s="196"/>
      <c r="AC533" s="196"/>
      <c r="AD533" s="196"/>
      <c r="AE533" s="196"/>
    </row>
    <row r="534" ht="15.75" customHeight="1">
      <c r="C534" s="492"/>
      <c r="AB534" s="196"/>
      <c r="AC534" s="196"/>
      <c r="AD534" s="196"/>
      <c r="AE534" s="196"/>
    </row>
    <row r="535" ht="15.75" customHeight="1">
      <c r="C535" s="492"/>
      <c r="AB535" s="196"/>
      <c r="AC535" s="196"/>
      <c r="AD535" s="196"/>
      <c r="AE535" s="196"/>
    </row>
    <row r="536" ht="15.75" customHeight="1">
      <c r="C536" s="492"/>
      <c r="AB536" s="196"/>
      <c r="AC536" s="196"/>
      <c r="AD536" s="196"/>
      <c r="AE536" s="196"/>
    </row>
    <row r="537" ht="15.75" customHeight="1">
      <c r="C537" s="492"/>
      <c r="AB537" s="196"/>
      <c r="AC537" s="196"/>
      <c r="AD537" s="196"/>
      <c r="AE537" s="196"/>
    </row>
    <row r="538" ht="15.75" customHeight="1">
      <c r="C538" s="492"/>
      <c r="AB538" s="196"/>
      <c r="AC538" s="196"/>
      <c r="AD538" s="196"/>
      <c r="AE538" s="196"/>
    </row>
    <row r="539" ht="15.75" customHeight="1">
      <c r="C539" s="492"/>
      <c r="AB539" s="196"/>
      <c r="AC539" s="196"/>
      <c r="AD539" s="196"/>
      <c r="AE539" s="196"/>
    </row>
    <row r="540" ht="15.75" customHeight="1">
      <c r="C540" s="492"/>
      <c r="AB540" s="196"/>
      <c r="AC540" s="196"/>
      <c r="AD540" s="196"/>
      <c r="AE540" s="196"/>
    </row>
    <row r="541" ht="15.75" customHeight="1">
      <c r="C541" s="492"/>
      <c r="AB541" s="196"/>
      <c r="AC541" s="196"/>
      <c r="AD541" s="196"/>
      <c r="AE541" s="196"/>
    </row>
    <row r="542" ht="15.75" customHeight="1">
      <c r="C542" s="492"/>
      <c r="AB542" s="196"/>
      <c r="AC542" s="196"/>
      <c r="AD542" s="196"/>
      <c r="AE542" s="196"/>
    </row>
    <row r="543" ht="15.75" customHeight="1">
      <c r="C543" s="492"/>
      <c r="AB543" s="196"/>
      <c r="AC543" s="196"/>
      <c r="AD543" s="196"/>
      <c r="AE543" s="196"/>
    </row>
    <row r="544" ht="15.75" customHeight="1">
      <c r="C544" s="492"/>
      <c r="AB544" s="196"/>
      <c r="AC544" s="196"/>
      <c r="AD544" s="196"/>
      <c r="AE544" s="196"/>
    </row>
    <row r="545" ht="15.75" customHeight="1">
      <c r="C545" s="492"/>
      <c r="AB545" s="196"/>
      <c r="AC545" s="196"/>
      <c r="AD545" s="196"/>
      <c r="AE545" s="196"/>
    </row>
    <row r="546" ht="15.75" customHeight="1">
      <c r="C546" s="492"/>
      <c r="AB546" s="196"/>
      <c r="AC546" s="196"/>
      <c r="AD546" s="196"/>
      <c r="AE546" s="196"/>
    </row>
    <row r="547" ht="15.75" customHeight="1">
      <c r="C547" s="492"/>
      <c r="AB547" s="196"/>
      <c r="AC547" s="196"/>
      <c r="AD547" s="196"/>
      <c r="AE547" s="196"/>
    </row>
    <row r="548" ht="15.75" customHeight="1">
      <c r="C548" s="492"/>
      <c r="AB548" s="196"/>
      <c r="AC548" s="196"/>
      <c r="AD548" s="196"/>
      <c r="AE548" s="196"/>
    </row>
    <row r="549" ht="15.75" customHeight="1">
      <c r="C549" s="492"/>
      <c r="AB549" s="196"/>
      <c r="AC549" s="196"/>
      <c r="AD549" s="196"/>
      <c r="AE549" s="196"/>
    </row>
    <row r="550" ht="15.75" customHeight="1">
      <c r="C550" s="492"/>
      <c r="AB550" s="196"/>
      <c r="AC550" s="196"/>
      <c r="AD550" s="196"/>
      <c r="AE550" s="196"/>
    </row>
    <row r="551" ht="15.75" customHeight="1">
      <c r="C551" s="492"/>
      <c r="AB551" s="196"/>
      <c r="AC551" s="196"/>
      <c r="AD551" s="196"/>
      <c r="AE551" s="196"/>
    </row>
    <row r="552" ht="15.75" customHeight="1">
      <c r="C552" s="492"/>
      <c r="AB552" s="196"/>
      <c r="AC552" s="196"/>
      <c r="AD552" s="196"/>
      <c r="AE552" s="196"/>
    </row>
    <row r="553" ht="15.75" customHeight="1">
      <c r="C553" s="492"/>
      <c r="AB553" s="196"/>
      <c r="AC553" s="196"/>
      <c r="AD553" s="196"/>
      <c r="AE553" s="196"/>
    </row>
    <row r="554" ht="15.75" customHeight="1">
      <c r="C554" s="492"/>
      <c r="AB554" s="196"/>
      <c r="AC554" s="196"/>
      <c r="AD554" s="196"/>
      <c r="AE554" s="196"/>
    </row>
    <row r="555" ht="15.75" customHeight="1">
      <c r="C555" s="492"/>
      <c r="AB555" s="196"/>
      <c r="AC555" s="196"/>
      <c r="AD555" s="196"/>
      <c r="AE555" s="196"/>
    </row>
    <row r="556" ht="15.75" customHeight="1">
      <c r="C556" s="492"/>
      <c r="AB556" s="196"/>
      <c r="AC556" s="196"/>
      <c r="AD556" s="196"/>
      <c r="AE556" s="196"/>
    </row>
    <row r="557" ht="15.75" customHeight="1">
      <c r="C557" s="492"/>
      <c r="AB557" s="196"/>
      <c r="AC557" s="196"/>
      <c r="AD557" s="196"/>
      <c r="AE557" s="196"/>
    </row>
    <row r="558" ht="15.75" customHeight="1">
      <c r="C558" s="492"/>
      <c r="AB558" s="196"/>
      <c r="AC558" s="196"/>
      <c r="AD558" s="196"/>
      <c r="AE558" s="196"/>
    </row>
    <row r="559" ht="15.75" customHeight="1">
      <c r="C559" s="492"/>
      <c r="AB559" s="196"/>
      <c r="AC559" s="196"/>
      <c r="AD559" s="196"/>
      <c r="AE559" s="196"/>
    </row>
    <row r="560" ht="15.75" customHeight="1">
      <c r="C560" s="492"/>
      <c r="AB560" s="196"/>
      <c r="AC560" s="196"/>
      <c r="AD560" s="196"/>
      <c r="AE560" s="196"/>
    </row>
    <row r="561" ht="15.75" customHeight="1">
      <c r="C561" s="492"/>
      <c r="AB561" s="196"/>
      <c r="AC561" s="196"/>
      <c r="AD561" s="196"/>
      <c r="AE561" s="196"/>
    </row>
    <row r="562" ht="15.75" customHeight="1">
      <c r="C562" s="492"/>
      <c r="AB562" s="196"/>
      <c r="AC562" s="196"/>
      <c r="AD562" s="196"/>
      <c r="AE562" s="196"/>
    </row>
    <row r="563" ht="15.75" customHeight="1">
      <c r="C563" s="492"/>
      <c r="AB563" s="196"/>
      <c r="AC563" s="196"/>
      <c r="AD563" s="196"/>
      <c r="AE563" s="196"/>
    </row>
    <row r="564" ht="15.75" customHeight="1">
      <c r="C564" s="492"/>
      <c r="AB564" s="196"/>
      <c r="AC564" s="196"/>
      <c r="AD564" s="196"/>
      <c r="AE564" s="196"/>
    </row>
    <row r="565" ht="15.75" customHeight="1">
      <c r="C565" s="492"/>
      <c r="AB565" s="196"/>
      <c r="AC565" s="196"/>
      <c r="AD565" s="196"/>
      <c r="AE565" s="196"/>
    </row>
    <row r="566" ht="15.75" customHeight="1">
      <c r="C566" s="492"/>
      <c r="AB566" s="196"/>
      <c r="AC566" s="196"/>
      <c r="AD566" s="196"/>
      <c r="AE566" s="196"/>
    </row>
    <row r="567" ht="15.75" customHeight="1">
      <c r="C567" s="492"/>
      <c r="AB567" s="196"/>
      <c r="AC567" s="196"/>
      <c r="AD567" s="196"/>
      <c r="AE567" s="196"/>
    </row>
    <row r="568" ht="15.75" customHeight="1">
      <c r="C568" s="492"/>
      <c r="AB568" s="196"/>
      <c r="AC568" s="196"/>
      <c r="AD568" s="196"/>
      <c r="AE568" s="196"/>
    </row>
    <row r="569" ht="15.75" customHeight="1">
      <c r="C569" s="492"/>
      <c r="AB569" s="196"/>
      <c r="AC569" s="196"/>
      <c r="AD569" s="196"/>
      <c r="AE569" s="196"/>
    </row>
    <row r="570" ht="15.75" customHeight="1">
      <c r="C570" s="492"/>
      <c r="AB570" s="196"/>
      <c r="AC570" s="196"/>
      <c r="AD570" s="196"/>
      <c r="AE570" s="196"/>
    </row>
    <row r="571" ht="15.75" customHeight="1">
      <c r="C571" s="492"/>
      <c r="AB571" s="196"/>
      <c r="AC571" s="196"/>
      <c r="AD571" s="196"/>
      <c r="AE571" s="196"/>
    </row>
    <row r="572" ht="15.75" customHeight="1">
      <c r="C572" s="492"/>
      <c r="AB572" s="196"/>
      <c r="AC572" s="196"/>
      <c r="AD572" s="196"/>
      <c r="AE572" s="196"/>
    </row>
    <row r="573" ht="15.75" customHeight="1">
      <c r="C573" s="492"/>
      <c r="AB573" s="196"/>
      <c r="AC573" s="196"/>
      <c r="AD573" s="196"/>
      <c r="AE573" s="196"/>
    </row>
    <row r="574" ht="15.75" customHeight="1">
      <c r="C574" s="492"/>
      <c r="AB574" s="196"/>
      <c r="AC574" s="196"/>
      <c r="AD574" s="196"/>
      <c r="AE574" s="196"/>
    </row>
    <row r="575" ht="15.75" customHeight="1">
      <c r="C575" s="492"/>
      <c r="AB575" s="196"/>
      <c r="AC575" s="196"/>
      <c r="AD575" s="196"/>
      <c r="AE575" s="196"/>
    </row>
    <row r="576" ht="15.75" customHeight="1">
      <c r="C576" s="492"/>
      <c r="AB576" s="196"/>
      <c r="AC576" s="196"/>
      <c r="AD576" s="196"/>
      <c r="AE576" s="196"/>
    </row>
    <row r="577" ht="15.75" customHeight="1">
      <c r="C577" s="492"/>
      <c r="AB577" s="196"/>
      <c r="AC577" s="196"/>
      <c r="AD577" s="196"/>
      <c r="AE577" s="196"/>
    </row>
    <row r="578" ht="15.75" customHeight="1">
      <c r="C578" s="492"/>
      <c r="AB578" s="196"/>
      <c r="AC578" s="196"/>
      <c r="AD578" s="196"/>
      <c r="AE578" s="196"/>
    </row>
    <row r="579" ht="15.75" customHeight="1">
      <c r="C579" s="492"/>
      <c r="AB579" s="196"/>
      <c r="AC579" s="196"/>
      <c r="AD579" s="196"/>
      <c r="AE579" s="196"/>
    </row>
    <row r="580" ht="15.75" customHeight="1">
      <c r="C580" s="492"/>
      <c r="AB580" s="196"/>
      <c r="AC580" s="196"/>
      <c r="AD580" s="196"/>
      <c r="AE580" s="196"/>
    </row>
    <row r="581" ht="15.75" customHeight="1">
      <c r="C581" s="492"/>
      <c r="AB581" s="196"/>
      <c r="AC581" s="196"/>
      <c r="AD581" s="196"/>
      <c r="AE581" s="196"/>
    </row>
    <row r="582" ht="15.75" customHeight="1">
      <c r="C582" s="492"/>
      <c r="AB582" s="196"/>
      <c r="AC582" s="196"/>
      <c r="AD582" s="196"/>
      <c r="AE582" s="196"/>
    </row>
    <row r="583" ht="15.75" customHeight="1">
      <c r="C583" s="492"/>
      <c r="AB583" s="196"/>
      <c r="AC583" s="196"/>
      <c r="AD583" s="196"/>
      <c r="AE583" s="196"/>
    </row>
    <row r="584" ht="15.75" customHeight="1">
      <c r="C584" s="492"/>
      <c r="AB584" s="196"/>
      <c r="AC584" s="196"/>
      <c r="AD584" s="196"/>
      <c r="AE584" s="196"/>
    </row>
    <row r="585" ht="15.75" customHeight="1">
      <c r="C585" s="492"/>
      <c r="AB585" s="196"/>
      <c r="AC585" s="196"/>
      <c r="AD585" s="196"/>
      <c r="AE585" s="196"/>
    </row>
    <row r="586" ht="15.75" customHeight="1">
      <c r="C586" s="492"/>
      <c r="AB586" s="196"/>
      <c r="AC586" s="196"/>
      <c r="AD586" s="196"/>
      <c r="AE586" s="196"/>
    </row>
    <row r="587" ht="15.75" customHeight="1">
      <c r="C587" s="492"/>
      <c r="AB587" s="196"/>
      <c r="AC587" s="196"/>
      <c r="AD587" s="196"/>
      <c r="AE587" s="196"/>
    </row>
    <row r="588" ht="15.75" customHeight="1">
      <c r="C588" s="492"/>
      <c r="AB588" s="196"/>
      <c r="AC588" s="196"/>
      <c r="AD588" s="196"/>
      <c r="AE588" s="196"/>
    </row>
    <row r="589" ht="15.75" customHeight="1">
      <c r="C589" s="492"/>
      <c r="AB589" s="196"/>
      <c r="AC589" s="196"/>
      <c r="AD589" s="196"/>
      <c r="AE589" s="196"/>
    </row>
    <row r="590" ht="15.75" customHeight="1">
      <c r="C590" s="492"/>
      <c r="AB590" s="196"/>
      <c r="AC590" s="196"/>
      <c r="AD590" s="196"/>
      <c r="AE590" s="196"/>
    </row>
    <row r="591" ht="15.75" customHeight="1">
      <c r="C591" s="492"/>
      <c r="AB591" s="196"/>
      <c r="AC591" s="196"/>
      <c r="AD591" s="196"/>
      <c r="AE591" s="196"/>
    </row>
    <row r="592" ht="15.75" customHeight="1">
      <c r="C592" s="492"/>
      <c r="AB592" s="196"/>
      <c r="AC592" s="196"/>
      <c r="AD592" s="196"/>
      <c r="AE592" s="196"/>
    </row>
    <row r="593" ht="15.75" customHeight="1">
      <c r="C593" s="492"/>
      <c r="AB593" s="196"/>
      <c r="AC593" s="196"/>
      <c r="AD593" s="196"/>
      <c r="AE593" s="196"/>
    </row>
    <row r="594" ht="15.75" customHeight="1">
      <c r="C594" s="492"/>
      <c r="AB594" s="196"/>
      <c r="AC594" s="196"/>
      <c r="AD594" s="196"/>
      <c r="AE594" s="196"/>
    </row>
    <row r="595" ht="15.75" customHeight="1">
      <c r="C595" s="492"/>
      <c r="AB595" s="196"/>
      <c r="AC595" s="196"/>
      <c r="AD595" s="196"/>
      <c r="AE595" s="196"/>
    </row>
    <row r="596" ht="15.75" customHeight="1">
      <c r="C596" s="492"/>
      <c r="AB596" s="196"/>
      <c r="AC596" s="196"/>
      <c r="AD596" s="196"/>
      <c r="AE596" s="196"/>
    </row>
    <row r="597" ht="15.75" customHeight="1">
      <c r="C597" s="492"/>
      <c r="AB597" s="196"/>
      <c r="AC597" s="196"/>
      <c r="AD597" s="196"/>
      <c r="AE597" s="196"/>
    </row>
    <row r="598" ht="15.75" customHeight="1">
      <c r="C598" s="492"/>
      <c r="AB598" s="196"/>
      <c r="AC598" s="196"/>
      <c r="AD598" s="196"/>
      <c r="AE598" s="196"/>
    </row>
    <row r="599" ht="15.75" customHeight="1">
      <c r="C599" s="492"/>
      <c r="AB599" s="196"/>
      <c r="AC599" s="196"/>
      <c r="AD599" s="196"/>
      <c r="AE599" s="196"/>
    </row>
    <row r="600" ht="15.75" customHeight="1">
      <c r="C600" s="492"/>
      <c r="AB600" s="196"/>
      <c r="AC600" s="196"/>
      <c r="AD600" s="196"/>
      <c r="AE600" s="196"/>
    </row>
    <row r="601" ht="15.75" customHeight="1">
      <c r="C601" s="492"/>
      <c r="AB601" s="196"/>
      <c r="AC601" s="196"/>
      <c r="AD601" s="196"/>
      <c r="AE601" s="196"/>
    </row>
    <row r="602" ht="15.75" customHeight="1">
      <c r="C602" s="492"/>
      <c r="AB602" s="196"/>
      <c r="AC602" s="196"/>
      <c r="AD602" s="196"/>
      <c r="AE602" s="196"/>
    </row>
    <row r="603" ht="15.75" customHeight="1">
      <c r="C603" s="492"/>
      <c r="AB603" s="196"/>
      <c r="AC603" s="196"/>
      <c r="AD603" s="196"/>
      <c r="AE603" s="196"/>
    </row>
    <row r="604" ht="15.75" customHeight="1">
      <c r="C604" s="492"/>
      <c r="AB604" s="196"/>
      <c r="AC604" s="196"/>
      <c r="AD604" s="196"/>
      <c r="AE604" s="196"/>
    </row>
    <row r="605" ht="15.75" customHeight="1">
      <c r="C605" s="492"/>
      <c r="AB605" s="196"/>
      <c r="AC605" s="196"/>
      <c r="AD605" s="196"/>
      <c r="AE605" s="196"/>
    </row>
    <row r="606" ht="15.75" customHeight="1">
      <c r="C606" s="492"/>
      <c r="AB606" s="196"/>
      <c r="AC606" s="196"/>
      <c r="AD606" s="196"/>
      <c r="AE606" s="196"/>
    </row>
    <row r="607" ht="15.75" customHeight="1">
      <c r="C607" s="492"/>
      <c r="AB607" s="196"/>
      <c r="AC607" s="196"/>
      <c r="AD607" s="196"/>
      <c r="AE607" s="196"/>
    </row>
    <row r="608" ht="15.75" customHeight="1">
      <c r="C608" s="492"/>
      <c r="AB608" s="196"/>
      <c r="AC608" s="196"/>
      <c r="AD608" s="196"/>
      <c r="AE608" s="196"/>
    </row>
    <row r="609" ht="15.75" customHeight="1">
      <c r="C609" s="492"/>
      <c r="AB609" s="196"/>
      <c r="AC609" s="196"/>
      <c r="AD609" s="196"/>
      <c r="AE609" s="196"/>
    </row>
    <row r="610" ht="15.75" customHeight="1">
      <c r="C610" s="492"/>
      <c r="AB610" s="196"/>
      <c r="AC610" s="196"/>
      <c r="AD610" s="196"/>
      <c r="AE610" s="196"/>
    </row>
    <row r="611" ht="15.75" customHeight="1">
      <c r="C611" s="492"/>
      <c r="AB611" s="196"/>
      <c r="AC611" s="196"/>
      <c r="AD611" s="196"/>
      <c r="AE611" s="196"/>
    </row>
    <row r="612" ht="15.75" customHeight="1">
      <c r="C612" s="492"/>
      <c r="AB612" s="196"/>
      <c r="AC612" s="196"/>
      <c r="AD612" s="196"/>
      <c r="AE612" s="196"/>
    </row>
    <row r="613" ht="15.75" customHeight="1">
      <c r="C613" s="492"/>
      <c r="AB613" s="196"/>
      <c r="AC613" s="196"/>
      <c r="AD613" s="196"/>
      <c r="AE613" s="196"/>
    </row>
    <row r="614" ht="15.75" customHeight="1">
      <c r="C614" s="492"/>
      <c r="AB614" s="196"/>
      <c r="AC614" s="196"/>
      <c r="AD614" s="196"/>
      <c r="AE614" s="196"/>
    </row>
    <row r="615" ht="15.75" customHeight="1">
      <c r="C615" s="492"/>
      <c r="AB615" s="196"/>
      <c r="AC615" s="196"/>
      <c r="AD615" s="196"/>
      <c r="AE615" s="196"/>
    </row>
    <row r="616" ht="15.75" customHeight="1">
      <c r="C616" s="492"/>
      <c r="AB616" s="196"/>
      <c r="AC616" s="196"/>
      <c r="AD616" s="196"/>
      <c r="AE616" s="196"/>
    </row>
    <row r="617" ht="15.75" customHeight="1">
      <c r="C617" s="492"/>
      <c r="AB617" s="196"/>
      <c r="AC617" s="196"/>
      <c r="AD617" s="196"/>
      <c r="AE617" s="196"/>
    </row>
    <row r="618" ht="15.75" customHeight="1">
      <c r="C618" s="492"/>
      <c r="AB618" s="196"/>
      <c r="AC618" s="196"/>
      <c r="AD618" s="196"/>
      <c r="AE618" s="196"/>
    </row>
    <row r="619" ht="15.75" customHeight="1">
      <c r="C619" s="492"/>
      <c r="AB619" s="196"/>
      <c r="AC619" s="196"/>
      <c r="AD619" s="196"/>
      <c r="AE619" s="196"/>
    </row>
    <row r="620" ht="15.75" customHeight="1">
      <c r="C620" s="492"/>
      <c r="AB620" s="196"/>
      <c r="AC620" s="196"/>
      <c r="AD620" s="196"/>
      <c r="AE620" s="196"/>
    </row>
    <row r="621" ht="15.75" customHeight="1">
      <c r="C621" s="492"/>
      <c r="AB621" s="196"/>
      <c r="AC621" s="196"/>
      <c r="AD621" s="196"/>
      <c r="AE621" s="196"/>
    </row>
    <row r="622" ht="15.75" customHeight="1">
      <c r="C622" s="492"/>
      <c r="AB622" s="196"/>
      <c r="AC622" s="196"/>
      <c r="AD622" s="196"/>
      <c r="AE622" s="196"/>
    </row>
    <row r="623" ht="15.75" customHeight="1">
      <c r="C623" s="492"/>
      <c r="AB623" s="196"/>
      <c r="AC623" s="196"/>
      <c r="AD623" s="196"/>
      <c r="AE623" s="196"/>
    </row>
    <row r="624" ht="15.75" customHeight="1">
      <c r="C624" s="492"/>
      <c r="AB624" s="196"/>
      <c r="AC624" s="196"/>
      <c r="AD624" s="196"/>
      <c r="AE624" s="196"/>
    </row>
    <row r="625" ht="15.75" customHeight="1">
      <c r="C625" s="492"/>
      <c r="AB625" s="196"/>
      <c r="AC625" s="196"/>
      <c r="AD625" s="196"/>
      <c r="AE625" s="196"/>
    </row>
    <row r="626" ht="15.75" customHeight="1">
      <c r="C626" s="492"/>
      <c r="AB626" s="196"/>
      <c r="AC626" s="196"/>
      <c r="AD626" s="196"/>
      <c r="AE626" s="196"/>
    </row>
    <row r="627" ht="15.75" customHeight="1">
      <c r="C627" s="492"/>
      <c r="AB627" s="196"/>
      <c r="AC627" s="196"/>
      <c r="AD627" s="196"/>
      <c r="AE627" s="196"/>
    </row>
    <row r="628" ht="15.75" customHeight="1">
      <c r="C628" s="492"/>
      <c r="AB628" s="196"/>
      <c r="AC628" s="196"/>
      <c r="AD628" s="196"/>
      <c r="AE628" s="196"/>
    </row>
    <row r="629" ht="15.75" customHeight="1">
      <c r="C629" s="492"/>
      <c r="AB629" s="196"/>
      <c r="AC629" s="196"/>
      <c r="AD629" s="196"/>
      <c r="AE629" s="196"/>
    </row>
    <row r="630" ht="15.75" customHeight="1">
      <c r="C630" s="492"/>
      <c r="AB630" s="196"/>
      <c r="AC630" s="196"/>
      <c r="AD630" s="196"/>
      <c r="AE630" s="196"/>
    </row>
    <row r="631" ht="15.75" customHeight="1">
      <c r="C631" s="492"/>
      <c r="AB631" s="196"/>
      <c r="AC631" s="196"/>
      <c r="AD631" s="196"/>
      <c r="AE631" s="196"/>
    </row>
    <row r="632" ht="15.75" customHeight="1">
      <c r="C632" s="492"/>
      <c r="AB632" s="196"/>
      <c r="AC632" s="196"/>
      <c r="AD632" s="196"/>
      <c r="AE632" s="196"/>
    </row>
    <row r="633" ht="15.75" customHeight="1">
      <c r="C633" s="492"/>
      <c r="AB633" s="196"/>
      <c r="AC633" s="196"/>
      <c r="AD633" s="196"/>
      <c r="AE633" s="196"/>
    </row>
    <row r="634" ht="15.75" customHeight="1">
      <c r="C634" s="492"/>
      <c r="AB634" s="196"/>
      <c r="AC634" s="196"/>
      <c r="AD634" s="196"/>
      <c r="AE634" s="196"/>
    </row>
    <row r="635" ht="15.75" customHeight="1">
      <c r="C635" s="492"/>
      <c r="AB635" s="196"/>
      <c r="AC635" s="196"/>
      <c r="AD635" s="196"/>
      <c r="AE635" s="196"/>
    </row>
    <row r="636" ht="15.75" customHeight="1">
      <c r="C636" s="492"/>
      <c r="AB636" s="196"/>
      <c r="AC636" s="196"/>
      <c r="AD636" s="196"/>
      <c r="AE636" s="196"/>
    </row>
    <row r="637" ht="15.75" customHeight="1">
      <c r="C637" s="492"/>
      <c r="AB637" s="196"/>
      <c r="AC637" s="196"/>
      <c r="AD637" s="196"/>
      <c r="AE637" s="196"/>
    </row>
    <row r="638" ht="15.75" customHeight="1">
      <c r="C638" s="492"/>
      <c r="AB638" s="196"/>
      <c r="AC638" s="196"/>
      <c r="AD638" s="196"/>
      <c r="AE638" s="196"/>
    </row>
    <row r="639" ht="15.75" customHeight="1">
      <c r="C639" s="492"/>
      <c r="AB639" s="196"/>
      <c r="AC639" s="196"/>
      <c r="AD639" s="196"/>
      <c r="AE639" s="196"/>
    </row>
    <row r="640" ht="15.75" customHeight="1">
      <c r="C640" s="492"/>
      <c r="AB640" s="196"/>
      <c r="AC640" s="196"/>
      <c r="AD640" s="196"/>
      <c r="AE640" s="196"/>
    </row>
    <row r="641" ht="15.75" customHeight="1">
      <c r="C641" s="492"/>
      <c r="AB641" s="196"/>
      <c r="AC641" s="196"/>
      <c r="AD641" s="196"/>
      <c r="AE641" s="196"/>
    </row>
    <row r="642" ht="15.75" customHeight="1">
      <c r="C642" s="492"/>
      <c r="AB642" s="196"/>
      <c r="AC642" s="196"/>
      <c r="AD642" s="196"/>
      <c r="AE642" s="196"/>
    </row>
    <row r="643" ht="15.75" customHeight="1">
      <c r="C643" s="492"/>
      <c r="AB643" s="196"/>
      <c r="AC643" s="196"/>
      <c r="AD643" s="196"/>
      <c r="AE643" s="196"/>
    </row>
    <row r="644" ht="15.75" customHeight="1">
      <c r="C644" s="492"/>
      <c r="AB644" s="196"/>
      <c r="AC644" s="196"/>
      <c r="AD644" s="196"/>
      <c r="AE644" s="196"/>
    </row>
    <row r="645" ht="15.75" customHeight="1">
      <c r="C645" s="492"/>
      <c r="AB645" s="196"/>
      <c r="AC645" s="196"/>
      <c r="AD645" s="196"/>
      <c r="AE645" s="196"/>
    </row>
    <row r="646" ht="15.75" customHeight="1">
      <c r="C646" s="492"/>
      <c r="AB646" s="196"/>
      <c r="AC646" s="196"/>
      <c r="AD646" s="196"/>
      <c r="AE646" s="196"/>
    </row>
    <row r="647" ht="15.75" customHeight="1">
      <c r="C647" s="492"/>
      <c r="AB647" s="196"/>
      <c r="AC647" s="196"/>
      <c r="AD647" s="196"/>
      <c r="AE647" s="196"/>
    </row>
    <row r="648" ht="15.75" customHeight="1">
      <c r="C648" s="492"/>
      <c r="AB648" s="196"/>
      <c r="AC648" s="196"/>
      <c r="AD648" s="196"/>
      <c r="AE648" s="196"/>
    </row>
    <row r="649" ht="15.75" customHeight="1">
      <c r="C649" s="492"/>
      <c r="AB649" s="196"/>
      <c r="AC649" s="196"/>
      <c r="AD649" s="196"/>
      <c r="AE649" s="196"/>
    </row>
    <row r="650" ht="15.75" customHeight="1">
      <c r="C650" s="492"/>
      <c r="AB650" s="196"/>
      <c r="AC650" s="196"/>
      <c r="AD650" s="196"/>
      <c r="AE650" s="196"/>
    </row>
    <row r="651" ht="15.75" customHeight="1">
      <c r="C651" s="492"/>
      <c r="AB651" s="196"/>
      <c r="AC651" s="196"/>
      <c r="AD651" s="196"/>
      <c r="AE651" s="196"/>
    </row>
    <row r="652" ht="15.75" customHeight="1">
      <c r="C652" s="492"/>
      <c r="AB652" s="196"/>
      <c r="AC652" s="196"/>
      <c r="AD652" s="196"/>
      <c r="AE652" s="196"/>
    </row>
    <row r="653" ht="15.75" customHeight="1">
      <c r="C653" s="492"/>
      <c r="AB653" s="196"/>
      <c r="AC653" s="196"/>
      <c r="AD653" s="196"/>
      <c r="AE653" s="196"/>
    </row>
    <row r="654" ht="15.75" customHeight="1">
      <c r="C654" s="492"/>
      <c r="AB654" s="196"/>
      <c r="AC654" s="196"/>
      <c r="AD654" s="196"/>
      <c r="AE654" s="196"/>
    </row>
    <row r="655" ht="15.75" customHeight="1">
      <c r="C655" s="492"/>
      <c r="AB655" s="196"/>
      <c r="AC655" s="196"/>
      <c r="AD655" s="196"/>
      <c r="AE655" s="196"/>
    </row>
    <row r="656" ht="15.75" customHeight="1">
      <c r="C656" s="492"/>
      <c r="AB656" s="196"/>
      <c r="AC656" s="196"/>
      <c r="AD656" s="196"/>
      <c r="AE656" s="196"/>
    </row>
    <row r="657" ht="15.75" customHeight="1">
      <c r="C657" s="492"/>
      <c r="AB657" s="196"/>
      <c r="AC657" s="196"/>
      <c r="AD657" s="196"/>
      <c r="AE657" s="196"/>
    </row>
    <row r="658" ht="15.75" customHeight="1">
      <c r="C658" s="492"/>
      <c r="AB658" s="196"/>
      <c r="AC658" s="196"/>
      <c r="AD658" s="196"/>
      <c r="AE658" s="196"/>
    </row>
    <row r="659" ht="15.75" customHeight="1">
      <c r="C659" s="492"/>
      <c r="AB659" s="196"/>
      <c r="AC659" s="196"/>
      <c r="AD659" s="196"/>
      <c r="AE659" s="196"/>
    </row>
    <row r="660" ht="15.75" customHeight="1">
      <c r="C660" s="492"/>
      <c r="AB660" s="196"/>
      <c r="AC660" s="196"/>
      <c r="AD660" s="196"/>
      <c r="AE660" s="196"/>
    </row>
    <row r="661" ht="15.75" customHeight="1">
      <c r="C661" s="492"/>
      <c r="AB661" s="196"/>
      <c r="AC661" s="196"/>
      <c r="AD661" s="196"/>
      <c r="AE661" s="196"/>
    </row>
    <row r="662" ht="15.75" customHeight="1">
      <c r="C662" s="492"/>
      <c r="AB662" s="196"/>
      <c r="AC662" s="196"/>
      <c r="AD662" s="196"/>
      <c r="AE662" s="196"/>
    </row>
    <row r="663" ht="15.75" customHeight="1">
      <c r="C663" s="492"/>
      <c r="AB663" s="196"/>
      <c r="AC663" s="196"/>
      <c r="AD663" s="196"/>
      <c r="AE663" s="196"/>
    </row>
    <row r="664" ht="15.75" customHeight="1">
      <c r="C664" s="492"/>
      <c r="AB664" s="196"/>
      <c r="AC664" s="196"/>
      <c r="AD664" s="196"/>
      <c r="AE664" s="196"/>
    </row>
    <row r="665" ht="15.75" customHeight="1">
      <c r="C665" s="492"/>
      <c r="AB665" s="196"/>
      <c r="AC665" s="196"/>
      <c r="AD665" s="196"/>
      <c r="AE665" s="196"/>
    </row>
    <row r="666" ht="15.75" customHeight="1">
      <c r="C666" s="492"/>
      <c r="AB666" s="196"/>
      <c r="AC666" s="196"/>
      <c r="AD666" s="196"/>
      <c r="AE666" s="196"/>
    </row>
    <row r="667" ht="15.75" customHeight="1">
      <c r="C667" s="492"/>
      <c r="AB667" s="196"/>
      <c r="AC667" s="196"/>
      <c r="AD667" s="196"/>
      <c r="AE667" s="196"/>
    </row>
    <row r="668" ht="15.75" customHeight="1">
      <c r="C668" s="492"/>
      <c r="AB668" s="196"/>
      <c r="AC668" s="196"/>
      <c r="AD668" s="196"/>
      <c r="AE668" s="196"/>
    </row>
    <row r="669" ht="15.75" customHeight="1">
      <c r="C669" s="492"/>
      <c r="AB669" s="196"/>
      <c r="AC669" s="196"/>
      <c r="AD669" s="196"/>
      <c r="AE669" s="196"/>
    </row>
    <row r="670" ht="15.75" customHeight="1">
      <c r="C670" s="492"/>
      <c r="AB670" s="196"/>
      <c r="AC670" s="196"/>
      <c r="AD670" s="196"/>
      <c r="AE670" s="196"/>
    </row>
    <row r="671" ht="15.75" customHeight="1">
      <c r="C671" s="492"/>
      <c r="AB671" s="196"/>
      <c r="AC671" s="196"/>
      <c r="AD671" s="196"/>
      <c r="AE671" s="196"/>
    </row>
    <row r="672" ht="15.75" customHeight="1">
      <c r="C672" s="492"/>
      <c r="AB672" s="196"/>
      <c r="AC672" s="196"/>
      <c r="AD672" s="196"/>
      <c r="AE672" s="196"/>
    </row>
    <row r="673" ht="15.75" customHeight="1">
      <c r="C673" s="492"/>
      <c r="AB673" s="196"/>
      <c r="AC673" s="196"/>
      <c r="AD673" s="196"/>
      <c r="AE673" s="196"/>
    </row>
    <row r="674" ht="15.75" customHeight="1">
      <c r="C674" s="492"/>
      <c r="AB674" s="196"/>
      <c r="AC674" s="196"/>
      <c r="AD674" s="196"/>
      <c r="AE674" s="196"/>
    </row>
    <row r="675" ht="15.75" customHeight="1">
      <c r="C675" s="492"/>
      <c r="AB675" s="196"/>
      <c r="AC675" s="196"/>
      <c r="AD675" s="196"/>
      <c r="AE675" s="196"/>
    </row>
    <row r="676" ht="15.75" customHeight="1">
      <c r="C676" s="492"/>
      <c r="AB676" s="196"/>
      <c r="AC676" s="196"/>
      <c r="AD676" s="196"/>
      <c r="AE676" s="196"/>
    </row>
    <row r="677" ht="15.75" customHeight="1">
      <c r="C677" s="492"/>
      <c r="AB677" s="196"/>
      <c r="AC677" s="196"/>
      <c r="AD677" s="196"/>
      <c r="AE677" s="196"/>
    </row>
    <row r="678" ht="15.75" customHeight="1">
      <c r="C678" s="492"/>
      <c r="AB678" s="196"/>
      <c r="AC678" s="196"/>
      <c r="AD678" s="196"/>
      <c r="AE678" s="196"/>
    </row>
    <row r="679" ht="15.75" customHeight="1">
      <c r="C679" s="492"/>
      <c r="AB679" s="196"/>
      <c r="AC679" s="196"/>
      <c r="AD679" s="196"/>
      <c r="AE679" s="196"/>
    </row>
    <row r="680" ht="15.75" customHeight="1">
      <c r="C680" s="492"/>
      <c r="AB680" s="196"/>
      <c r="AC680" s="196"/>
      <c r="AD680" s="196"/>
      <c r="AE680" s="196"/>
    </row>
    <row r="681" ht="15.75" customHeight="1">
      <c r="C681" s="492"/>
      <c r="AB681" s="196"/>
      <c r="AC681" s="196"/>
      <c r="AD681" s="196"/>
      <c r="AE681" s="196"/>
    </row>
    <row r="682" ht="15.75" customHeight="1">
      <c r="C682" s="492"/>
      <c r="AB682" s="196"/>
      <c r="AC682" s="196"/>
      <c r="AD682" s="196"/>
      <c r="AE682" s="196"/>
    </row>
    <row r="683" ht="15.75" customHeight="1">
      <c r="C683" s="492"/>
      <c r="AB683" s="196"/>
      <c r="AC683" s="196"/>
      <c r="AD683" s="196"/>
      <c r="AE683" s="196"/>
    </row>
    <row r="684" ht="15.75" customHeight="1">
      <c r="C684" s="492"/>
      <c r="AB684" s="196"/>
      <c r="AC684" s="196"/>
      <c r="AD684" s="196"/>
      <c r="AE684" s="196"/>
    </row>
    <row r="685" ht="15.75" customHeight="1">
      <c r="C685" s="492"/>
      <c r="AB685" s="196"/>
      <c r="AC685" s="196"/>
      <c r="AD685" s="196"/>
      <c r="AE685" s="196"/>
    </row>
    <row r="686" ht="15.75" customHeight="1">
      <c r="C686" s="492"/>
      <c r="AB686" s="196"/>
      <c r="AC686" s="196"/>
      <c r="AD686" s="196"/>
      <c r="AE686" s="196"/>
    </row>
    <row r="687" ht="15.75" customHeight="1">
      <c r="C687" s="492"/>
      <c r="AB687" s="196"/>
      <c r="AC687" s="196"/>
      <c r="AD687" s="196"/>
      <c r="AE687" s="196"/>
    </row>
    <row r="688" ht="15.75" customHeight="1">
      <c r="C688" s="492"/>
      <c r="AB688" s="196"/>
      <c r="AC688" s="196"/>
      <c r="AD688" s="196"/>
      <c r="AE688" s="196"/>
    </row>
    <row r="689" ht="15.75" customHeight="1">
      <c r="C689" s="492"/>
      <c r="AB689" s="196"/>
      <c r="AC689" s="196"/>
      <c r="AD689" s="196"/>
      <c r="AE689" s="196"/>
    </row>
    <row r="690" ht="15.75" customHeight="1">
      <c r="C690" s="492"/>
      <c r="AB690" s="196"/>
      <c r="AC690" s="196"/>
      <c r="AD690" s="196"/>
      <c r="AE690" s="196"/>
    </row>
    <row r="691" ht="15.75" customHeight="1">
      <c r="C691" s="492"/>
      <c r="AB691" s="196"/>
      <c r="AC691" s="196"/>
      <c r="AD691" s="196"/>
      <c r="AE691" s="196"/>
    </row>
    <row r="692" ht="15.75" customHeight="1">
      <c r="C692" s="492"/>
      <c r="AB692" s="196"/>
      <c r="AC692" s="196"/>
      <c r="AD692" s="196"/>
      <c r="AE692" s="196"/>
    </row>
    <row r="693" ht="15.75" customHeight="1">
      <c r="C693" s="492"/>
      <c r="AB693" s="196"/>
      <c r="AC693" s="196"/>
      <c r="AD693" s="196"/>
      <c r="AE693" s="196"/>
    </row>
    <row r="694" ht="15.75" customHeight="1">
      <c r="C694" s="492"/>
      <c r="AB694" s="196"/>
      <c r="AC694" s="196"/>
      <c r="AD694" s="196"/>
      <c r="AE694" s="196"/>
    </row>
    <row r="695" ht="15.75" customHeight="1">
      <c r="C695" s="492"/>
      <c r="AB695" s="196"/>
      <c r="AC695" s="196"/>
      <c r="AD695" s="196"/>
      <c r="AE695" s="196"/>
    </row>
    <row r="696" ht="15.75" customHeight="1">
      <c r="C696" s="492"/>
      <c r="AB696" s="196"/>
      <c r="AC696" s="196"/>
      <c r="AD696" s="196"/>
      <c r="AE696" s="196"/>
    </row>
    <row r="697" ht="15.75" customHeight="1">
      <c r="C697" s="492"/>
      <c r="AB697" s="196"/>
      <c r="AC697" s="196"/>
      <c r="AD697" s="196"/>
      <c r="AE697" s="196"/>
    </row>
    <row r="698" ht="15.75" customHeight="1">
      <c r="C698" s="492"/>
      <c r="AB698" s="196"/>
      <c r="AC698" s="196"/>
      <c r="AD698" s="196"/>
      <c r="AE698" s="196"/>
    </row>
    <row r="699" ht="15.75" customHeight="1">
      <c r="C699" s="492"/>
      <c r="AB699" s="196"/>
      <c r="AC699" s="196"/>
      <c r="AD699" s="196"/>
      <c r="AE699" s="196"/>
    </row>
    <row r="700" ht="15.75" customHeight="1">
      <c r="C700" s="492"/>
      <c r="AB700" s="196"/>
      <c r="AC700" s="196"/>
      <c r="AD700" s="196"/>
      <c r="AE700" s="196"/>
    </row>
    <row r="701" ht="15.75" customHeight="1">
      <c r="C701" s="492"/>
      <c r="AB701" s="196"/>
      <c r="AC701" s="196"/>
      <c r="AD701" s="196"/>
      <c r="AE701" s="196"/>
    </row>
    <row r="702" ht="15.75" customHeight="1">
      <c r="C702" s="492"/>
      <c r="AB702" s="196"/>
      <c r="AC702" s="196"/>
      <c r="AD702" s="196"/>
      <c r="AE702" s="196"/>
    </row>
    <row r="703" ht="15.75" customHeight="1">
      <c r="C703" s="492"/>
      <c r="AB703" s="196"/>
      <c r="AC703" s="196"/>
      <c r="AD703" s="196"/>
      <c r="AE703" s="196"/>
    </row>
    <row r="704" ht="15.75" customHeight="1">
      <c r="C704" s="492"/>
      <c r="AB704" s="196"/>
      <c r="AC704" s="196"/>
      <c r="AD704" s="196"/>
      <c r="AE704" s="196"/>
    </row>
    <row r="705" ht="15.75" customHeight="1">
      <c r="C705" s="492"/>
      <c r="AB705" s="196"/>
      <c r="AC705" s="196"/>
      <c r="AD705" s="196"/>
      <c r="AE705" s="196"/>
    </row>
    <row r="706" ht="15.75" customHeight="1">
      <c r="C706" s="492"/>
      <c r="AB706" s="196"/>
      <c r="AC706" s="196"/>
      <c r="AD706" s="196"/>
      <c r="AE706" s="196"/>
    </row>
    <row r="707" ht="15.75" customHeight="1">
      <c r="C707" s="492"/>
      <c r="AB707" s="196"/>
      <c r="AC707" s="196"/>
      <c r="AD707" s="196"/>
      <c r="AE707" s="196"/>
    </row>
    <row r="708" ht="15.75" customHeight="1">
      <c r="C708" s="492"/>
      <c r="AB708" s="196"/>
      <c r="AC708" s="196"/>
      <c r="AD708" s="196"/>
      <c r="AE708" s="196"/>
    </row>
    <row r="709" ht="15.75" customHeight="1">
      <c r="C709" s="492"/>
      <c r="AB709" s="196"/>
      <c r="AC709" s="196"/>
      <c r="AD709" s="196"/>
      <c r="AE709" s="196"/>
    </row>
    <row r="710" ht="15.75" customHeight="1">
      <c r="C710" s="492"/>
      <c r="AB710" s="196"/>
      <c r="AC710" s="196"/>
      <c r="AD710" s="196"/>
      <c r="AE710" s="196"/>
    </row>
    <row r="711" ht="15.75" customHeight="1">
      <c r="C711" s="492"/>
      <c r="AB711" s="196"/>
      <c r="AC711" s="196"/>
      <c r="AD711" s="196"/>
      <c r="AE711" s="196"/>
    </row>
    <row r="712" ht="15.75" customHeight="1">
      <c r="C712" s="492"/>
      <c r="AB712" s="196"/>
      <c r="AC712" s="196"/>
      <c r="AD712" s="196"/>
      <c r="AE712" s="196"/>
    </row>
    <row r="713" ht="15.75" customHeight="1">
      <c r="C713" s="492"/>
      <c r="AB713" s="196"/>
      <c r="AC713" s="196"/>
      <c r="AD713" s="196"/>
      <c r="AE713" s="196"/>
    </row>
    <row r="714" ht="15.75" customHeight="1">
      <c r="C714" s="492"/>
      <c r="AB714" s="196"/>
      <c r="AC714" s="196"/>
      <c r="AD714" s="196"/>
      <c r="AE714" s="196"/>
    </row>
    <row r="715" ht="15.75" customHeight="1">
      <c r="C715" s="492"/>
      <c r="AB715" s="196"/>
      <c r="AC715" s="196"/>
      <c r="AD715" s="196"/>
      <c r="AE715" s="196"/>
    </row>
    <row r="716" ht="15.75" customHeight="1">
      <c r="C716" s="492"/>
      <c r="AB716" s="196"/>
      <c r="AC716" s="196"/>
      <c r="AD716" s="196"/>
      <c r="AE716" s="196"/>
    </row>
    <row r="717" ht="15.75" customHeight="1">
      <c r="C717" s="492"/>
      <c r="AB717" s="196"/>
      <c r="AC717" s="196"/>
      <c r="AD717" s="196"/>
      <c r="AE717" s="196"/>
    </row>
    <row r="718" ht="15.75" customHeight="1">
      <c r="C718" s="492"/>
      <c r="AB718" s="196"/>
      <c r="AC718" s="196"/>
      <c r="AD718" s="196"/>
      <c r="AE718" s="196"/>
    </row>
    <row r="719" ht="15.75" customHeight="1">
      <c r="C719" s="492"/>
      <c r="AB719" s="196"/>
      <c r="AC719" s="196"/>
      <c r="AD719" s="196"/>
      <c r="AE719" s="196"/>
    </row>
    <row r="720" ht="15.75" customHeight="1">
      <c r="C720" s="492"/>
      <c r="AB720" s="196"/>
      <c r="AC720" s="196"/>
      <c r="AD720" s="196"/>
      <c r="AE720" s="196"/>
    </row>
    <row r="721" ht="15.75" customHeight="1">
      <c r="C721" s="492"/>
      <c r="AB721" s="196"/>
      <c r="AC721" s="196"/>
      <c r="AD721" s="196"/>
      <c r="AE721" s="196"/>
    </row>
    <row r="722" ht="15.75" customHeight="1">
      <c r="C722" s="492"/>
      <c r="AB722" s="196"/>
      <c r="AC722" s="196"/>
      <c r="AD722" s="196"/>
      <c r="AE722" s="196"/>
    </row>
    <row r="723" ht="15.75" customHeight="1">
      <c r="C723" s="492"/>
      <c r="AB723" s="196"/>
      <c r="AC723" s="196"/>
      <c r="AD723" s="196"/>
      <c r="AE723" s="196"/>
    </row>
    <row r="724" ht="15.75" customHeight="1">
      <c r="C724" s="492"/>
      <c r="AB724" s="196"/>
      <c r="AC724" s="196"/>
      <c r="AD724" s="196"/>
      <c r="AE724" s="196"/>
    </row>
    <row r="725" ht="15.75" customHeight="1">
      <c r="C725" s="492"/>
      <c r="AB725" s="196"/>
      <c r="AC725" s="196"/>
      <c r="AD725" s="196"/>
      <c r="AE725" s="196"/>
    </row>
    <row r="726" ht="15.75" customHeight="1">
      <c r="C726" s="492"/>
      <c r="AB726" s="196"/>
      <c r="AC726" s="196"/>
      <c r="AD726" s="196"/>
      <c r="AE726" s="196"/>
    </row>
    <row r="727" ht="15.75" customHeight="1">
      <c r="C727" s="492"/>
      <c r="AB727" s="196"/>
      <c r="AC727" s="196"/>
      <c r="AD727" s="196"/>
      <c r="AE727" s="196"/>
    </row>
    <row r="728" ht="15.75" customHeight="1">
      <c r="C728" s="492"/>
      <c r="AB728" s="196"/>
      <c r="AC728" s="196"/>
      <c r="AD728" s="196"/>
      <c r="AE728" s="196"/>
    </row>
    <row r="729" ht="15.75" customHeight="1">
      <c r="C729" s="492"/>
      <c r="AB729" s="196"/>
      <c r="AC729" s="196"/>
      <c r="AD729" s="196"/>
      <c r="AE729" s="196"/>
    </row>
    <row r="730" ht="15.75" customHeight="1">
      <c r="C730" s="492"/>
      <c r="AB730" s="196"/>
      <c r="AC730" s="196"/>
      <c r="AD730" s="196"/>
      <c r="AE730" s="196"/>
    </row>
    <row r="731" ht="15.75" customHeight="1">
      <c r="C731" s="492"/>
      <c r="AB731" s="196"/>
      <c r="AC731" s="196"/>
      <c r="AD731" s="196"/>
      <c r="AE731" s="196"/>
    </row>
    <row r="732" ht="15.75" customHeight="1">
      <c r="C732" s="492"/>
      <c r="AB732" s="196"/>
      <c r="AC732" s="196"/>
      <c r="AD732" s="196"/>
      <c r="AE732" s="196"/>
    </row>
    <row r="733" ht="15.75" customHeight="1">
      <c r="C733" s="492"/>
      <c r="AB733" s="196"/>
      <c r="AC733" s="196"/>
      <c r="AD733" s="196"/>
      <c r="AE733" s="196"/>
    </row>
    <row r="734" ht="15.75" customHeight="1">
      <c r="C734" s="492"/>
      <c r="AB734" s="196"/>
      <c r="AC734" s="196"/>
      <c r="AD734" s="196"/>
      <c r="AE734" s="196"/>
    </row>
    <row r="735" ht="15.75" customHeight="1">
      <c r="C735" s="492"/>
      <c r="AB735" s="196"/>
      <c r="AC735" s="196"/>
      <c r="AD735" s="196"/>
      <c r="AE735" s="196"/>
    </row>
    <row r="736" ht="15.75" customHeight="1">
      <c r="C736" s="492"/>
      <c r="AB736" s="196"/>
      <c r="AC736" s="196"/>
      <c r="AD736" s="196"/>
      <c r="AE736" s="196"/>
    </row>
    <row r="737" ht="15.75" customHeight="1">
      <c r="C737" s="492"/>
      <c r="AB737" s="196"/>
      <c r="AC737" s="196"/>
      <c r="AD737" s="196"/>
      <c r="AE737" s="196"/>
    </row>
    <row r="738" ht="15.75" customHeight="1">
      <c r="C738" s="492"/>
      <c r="AB738" s="196"/>
      <c r="AC738" s="196"/>
      <c r="AD738" s="196"/>
      <c r="AE738" s="196"/>
    </row>
    <row r="739" ht="15.75" customHeight="1">
      <c r="C739" s="492"/>
      <c r="AB739" s="196"/>
      <c r="AC739" s="196"/>
      <c r="AD739" s="196"/>
      <c r="AE739" s="196"/>
    </row>
    <row r="740" ht="15.75" customHeight="1">
      <c r="C740" s="492"/>
      <c r="AB740" s="196"/>
      <c r="AC740" s="196"/>
      <c r="AD740" s="196"/>
      <c r="AE740" s="196"/>
    </row>
    <row r="741" ht="15.75" customHeight="1">
      <c r="C741" s="492"/>
      <c r="AB741" s="196"/>
      <c r="AC741" s="196"/>
      <c r="AD741" s="196"/>
      <c r="AE741" s="196"/>
    </row>
    <row r="742" ht="15.75" customHeight="1">
      <c r="C742" s="492"/>
      <c r="AB742" s="196"/>
      <c r="AC742" s="196"/>
      <c r="AD742" s="196"/>
      <c r="AE742" s="196"/>
    </row>
    <row r="743" ht="15.75" customHeight="1">
      <c r="C743" s="492"/>
      <c r="AB743" s="196"/>
      <c r="AC743" s="196"/>
      <c r="AD743" s="196"/>
      <c r="AE743" s="196"/>
    </row>
    <row r="744" ht="15.75" customHeight="1">
      <c r="C744" s="492"/>
      <c r="AB744" s="196"/>
      <c r="AC744" s="196"/>
      <c r="AD744" s="196"/>
      <c r="AE744" s="196"/>
    </row>
    <row r="745" ht="15.75" customHeight="1">
      <c r="C745" s="492"/>
      <c r="AB745" s="196"/>
      <c r="AC745" s="196"/>
      <c r="AD745" s="196"/>
      <c r="AE745" s="196"/>
    </row>
    <row r="746" ht="15.75" customHeight="1">
      <c r="C746" s="492"/>
      <c r="AB746" s="196"/>
      <c r="AC746" s="196"/>
      <c r="AD746" s="196"/>
      <c r="AE746" s="196"/>
    </row>
    <row r="747" ht="15.75" customHeight="1">
      <c r="C747" s="492"/>
      <c r="AB747" s="196"/>
      <c r="AC747" s="196"/>
      <c r="AD747" s="196"/>
      <c r="AE747" s="196"/>
    </row>
    <row r="748" ht="15.75" customHeight="1">
      <c r="C748" s="492"/>
      <c r="AB748" s="196"/>
      <c r="AC748" s="196"/>
      <c r="AD748" s="196"/>
      <c r="AE748" s="196"/>
    </row>
    <row r="749" ht="15.75" customHeight="1">
      <c r="C749" s="492"/>
      <c r="AB749" s="196"/>
      <c r="AC749" s="196"/>
      <c r="AD749" s="196"/>
      <c r="AE749" s="196"/>
    </row>
    <row r="750" ht="15.75" customHeight="1">
      <c r="C750" s="492"/>
      <c r="AB750" s="196"/>
      <c r="AC750" s="196"/>
      <c r="AD750" s="196"/>
      <c r="AE750" s="196"/>
    </row>
    <row r="751" ht="15.75" customHeight="1">
      <c r="C751" s="492"/>
      <c r="AB751" s="196"/>
      <c r="AC751" s="196"/>
      <c r="AD751" s="196"/>
      <c r="AE751" s="196"/>
    </row>
    <row r="752" ht="15.75" customHeight="1">
      <c r="C752" s="492"/>
      <c r="AB752" s="196"/>
      <c r="AC752" s="196"/>
      <c r="AD752" s="196"/>
      <c r="AE752" s="196"/>
    </row>
    <row r="753" ht="15.75" customHeight="1">
      <c r="C753" s="492"/>
      <c r="AB753" s="196"/>
      <c r="AC753" s="196"/>
      <c r="AD753" s="196"/>
      <c r="AE753" s="196"/>
    </row>
    <row r="754" ht="15.75" customHeight="1">
      <c r="C754" s="492"/>
      <c r="AB754" s="196"/>
      <c r="AC754" s="196"/>
      <c r="AD754" s="196"/>
      <c r="AE754" s="196"/>
    </row>
    <row r="755" ht="15.75" customHeight="1">
      <c r="C755" s="492"/>
      <c r="AB755" s="196"/>
      <c r="AC755" s="196"/>
      <c r="AD755" s="196"/>
      <c r="AE755" s="196"/>
    </row>
    <row r="756" ht="15.75" customHeight="1">
      <c r="C756" s="492"/>
      <c r="AB756" s="196"/>
      <c r="AC756" s="196"/>
      <c r="AD756" s="196"/>
      <c r="AE756" s="196"/>
    </row>
    <row r="757" ht="15.75" customHeight="1">
      <c r="C757" s="492"/>
      <c r="AB757" s="196"/>
      <c r="AC757" s="196"/>
      <c r="AD757" s="196"/>
      <c r="AE757" s="196"/>
    </row>
    <row r="758" ht="15.75" customHeight="1">
      <c r="C758" s="492"/>
      <c r="AB758" s="196"/>
      <c r="AC758" s="196"/>
      <c r="AD758" s="196"/>
      <c r="AE758" s="196"/>
    </row>
    <row r="759" ht="15.75" customHeight="1">
      <c r="C759" s="492"/>
      <c r="AB759" s="196"/>
      <c r="AC759" s="196"/>
      <c r="AD759" s="196"/>
      <c r="AE759" s="196"/>
    </row>
    <row r="760" ht="15.75" customHeight="1">
      <c r="C760" s="492"/>
      <c r="AB760" s="196"/>
      <c r="AC760" s="196"/>
      <c r="AD760" s="196"/>
      <c r="AE760" s="196"/>
    </row>
    <row r="761" ht="15.75" customHeight="1">
      <c r="C761" s="492"/>
      <c r="AB761" s="196"/>
      <c r="AC761" s="196"/>
      <c r="AD761" s="196"/>
      <c r="AE761" s="196"/>
    </row>
    <row r="762" ht="15.75" customHeight="1">
      <c r="C762" s="492"/>
      <c r="AB762" s="196"/>
      <c r="AC762" s="196"/>
      <c r="AD762" s="196"/>
      <c r="AE762" s="196"/>
    </row>
    <row r="763" ht="15.75" customHeight="1">
      <c r="C763" s="492"/>
      <c r="AB763" s="196"/>
      <c r="AC763" s="196"/>
      <c r="AD763" s="196"/>
      <c r="AE763" s="196"/>
    </row>
    <row r="764" ht="15.75" customHeight="1">
      <c r="C764" s="492"/>
      <c r="AB764" s="196"/>
      <c r="AC764" s="196"/>
      <c r="AD764" s="196"/>
      <c r="AE764" s="196"/>
    </row>
    <row r="765" ht="15.75" customHeight="1">
      <c r="C765" s="492"/>
      <c r="AB765" s="196"/>
      <c r="AC765" s="196"/>
      <c r="AD765" s="196"/>
      <c r="AE765" s="196"/>
    </row>
    <row r="766" ht="15.75" customHeight="1">
      <c r="C766" s="492"/>
      <c r="AB766" s="196"/>
      <c r="AC766" s="196"/>
      <c r="AD766" s="196"/>
      <c r="AE766" s="196"/>
    </row>
    <row r="767" ht="15.75" customHeight="1">
      <c r="C767" s="492"/>
      <c r="AB767" s="196"/>
      <c r="AC767" s="196"/>
      <c r="AD767" s="196"/>
      <c r="AE767" s="196"/>
    </row>
    <row r="768" ht="15.75" customHeight="1">
      <c r="C768" s="492"/>
      <c r="AB768" s="196"/>
      <c r="AC768" s="196"/>
      <c r="AD768" s="196"/>
      <c r="AE768" s="196"/>
    </row>
    <row r="769" ht="15.75" customHeight="1">
      <c r="C769" s="492"/>
      <c r="AB769" s="196"/>
      <c r="AC769" s="196"/>
      <c r="AD769" s="196"/>
      <c r="AE769" s="196"/>
    </row>
    <row r="770" ht="15.75" customHeight="1">
      <c r="C770" s="492"/>
      <c r="AB770" s="196"/>
      <c r="AC770" s="196"/>
      <c r="AD770" s="196"/>
      <c r="AE770" s="196"/>
    </row>
    <row r="771" ht="15.75" customHeight="1">
      <c r="C771" s="492"/>
      <c r="AB771" s="196"/>
      <c r="AC771" s="196"/>
      <c r="AD771" s="196"/>
      <c r="AE771" s="196"/>
    </row>
    <row r="772" ht="15.75" customHeight="1">
      <c r="C772" s="492"/>
      <c r="AB772" s="196"/>
      <c r="AC772" s="196"/>
      <c r="AD772" s="196"/>
      <c r="AE772" s="196"/>
    </row>
    <row r="773" ht="15.75" customHeight="1">
      <c r="C773" s="492"/>
      <c r="AB773" s="196"/>
      <c r="AC773" s="196"/>
      <c r="AD773" s="196"/>
      <c r="AE773" s="196"/>
    </row>
    <row r="774" ht="15.75" customHeight="1">
      <c r="C774" s="492"/>
      <c r="AB774" s="196"/>
      <c r="AC774" s="196"/>
      <c r="AD774" s="196"/>
      <c r="AE774" s="196"/>
    </row>
    <row r="775" ht="15.75" customHeight="1">
      <c r="C775" s="492"/>
      <c r="AB775" s="196"/>
      <c r="AC775" s="196"/>
      <c r="AD775" s="196"/>
      <c r="AE775" s="196"/>
    </row>
    <row r="776" ht="15.75" customHeight="1">
      <c r="C776" s="492"/>
      <c r="AB776" s="196"/>
      <c r="AC776" s="196"/>
      <c r="AD776" s="196"/>
      <c r="AE776" s="196"/>
    </row>
    <row r="777" ht="15.75" customHeight="1">
      <c r="C777" s="492"/>
      <c r="AB777" s="196"/>
      <c r="AC777" s="196"/>
      <c r="AD777" s="196"/>
      <c r="AE777" s="196"/>
    </row>
    <row r="778" ht="15.75" customHeight="1">
      <c r="C778" s="492"/>
      <c r="AB778" s="196"/>
      <c r="AC778" s="196"/>
      <c r="AD778" s="196"/>
      <c r="AE778" s="196"/>
    </row>
    <row r="779" ht="15.75" customHeight="1">
      <c r="C779" s="492"/>
      <c r="AB779" s="196"/>
      <c r="AC779" s="196"/>
      <c r="AD779" s="196"/>
      <c r="AE779" s="196"/>
    </row>
    <row r="780" ht="15.75" customHeight="1">
      <c r="C780" s="492"/>
      <c r="AB780" s="196"/>
      <c r="AC780" s="196"/>
      <c r="AD780" s="196"/>
      <c r="AE780" s="196"/>
    </row>
    <row r="781" ht="15.75" customHeight="1">
      <c r="C781" s="492"/>
      <c r="AB781" s="196"/>
      <c r="AC781" s="196"/>
      <c r="AD781" s="196"/>
      <c r="AE781" s="196"/>
    </row>
    <row r="782" ht="15.75" customHeight="1">
      <c r="C782" s="492"/>
      <c r="AB782" s="196"/>
      <c r="AC782" s="196"/>
      <c r="AD782" s="196"/>
      <c r="AE782" s="196"/>
    </row>
    <row r="783" ht="15.75" customHeight="1">
      <c r="C783" s="492"/>
      <c r="AB783" s="196"/>
      <c r="AC783" s="196"/>
      <c r="AD783" s="196"/>
      <c r="AE783" s="196"/>
    </row>
    <row r="784" ht="15.75" customHeight="1">
      <c r="C784" s="492"/>
      <c r="AB784" s="196"/>
      <c r="AC784" s="196"/>
      <c r="AD784" s="196"/>
      <c r="AE784" s="196"/>
    </row>
    <row r="785" ht="15.75" customHeight="1">
      <c r="C785" s="492"/>
      <c r="AB785" s="196"/>
      <c r="AC785" s="196"/>
      <c r="AD785" s="196"/>
      <c r="AE785" s="196"/>
    </row>
    <row r="786" ht="15.75" customHeight="1">
      <c r="C786" s="492"/>
      <c r="AB786" s="196"/>
      <c r="AC786" s="196"/>
      <c r="AD786" s="196"/>
      <c r="AE786" s="196"/>
    </row>
    <row r="787" ht="15.75" customHeight="1">
      <c r="C787" s="492"/>
      <c r="AB787" s="196"/>
      <c r="AC787" s="196"/>
      <c r="AD787" s="196"/>
      <c r="AE787" s="196"/>
    </row>
    <row r="788" ht="15.75" customHeight="1">
      <c r="C788" s="492"/>
      <c r="AB788" s="196"/>
      <c r="AC788" s="196"/>
      <c r="AD788" s="196"/>
      <c r="AE788" s="196"/>
    </row>
    <row r="789" ht="15.75" customHeight="1">
      <c r="C789" s="492"/>
      <c r="AB789" s="196"/>
      <c r="AC789" s="196"/>
      <c r="AD789" s="196"/>
      <c r="AE789" s="196"/>
    </row>
    <row r="790" ht="15.75" customHeight="1">
      <c r="C790" s="492"/>
      <c r="AB790" s="196"/>
      <c r="AC790" s="196"/>
      <c r="AD790" s="196"/>
      <c r="AE790" s="196"/>
    </row>
    <row r="791" ht="15.75" customHeight="1">
      <c r="C791" s="492"/>
      <c r="AB791" s="196"/>
      <c r="AC791" s="196"/>
      <c r="AD791" s="196"/>
      <c r="AE791" s="196"/>
    </row>
    <row r="792" ht="15.75" customHeight="1">
      <c r="C792" s="492"/>
      <c r="AB792" s="196"/>
      <c r="AC792" s="196"/>
      <c r="AD792" s="196"/>
      <c r="AE792" s="196"/>
    </row>
    <row r="793" ht="15.75" customHeight="1">
      <c r="C793" s="492"/>
      <c r="AB793" s="196"/>
      <c r="AC793" s="196"/>
      <c r="AD793" s="196"/>
      <c r="AE793" s="196"/>
    </row>
    <row r="794" ht="15.75" customHeight="1">
      <c r="C794" s="492"/>
      <c r="AB794" s="196"/>
      <c r="AC794" s="196"/>
      <c r="AD794" s="196"/>
      <c r="AE794" s="196"/>
    </row>
    <row r="795" ht="15.75" customHeight="1">
      <c r="C795" s="492"/>
      <c r="AB795" s="196"/>
      <c r="AC795" s="196"/>
      <c r="AD795" s="196"/>
      <c r="AE795" s="196"/>
    </row>
    <row r="796" ht="15.75" customHeight="1">
      <c r="C796" s="492"/>
      <c r="AB796" s="196"/>
      <c r="AC796" s="196"/>
      <c r="AD796" s="196"/>
      <c r="AE796" s="196"/>
    </row>
    <row r="797" ht="15.75" customHeight="1">
      <c r="C797" s="492"/>
      <c r="AB797" s="196"/>
      <c r="AC797" s="196"/>
      <c r="AD797" s="196"/>
      <c r="AE797" s="196"/>
    </row>
    <row r="798" ht="15.75" customHeight="1">
      <c r="C798" s="492"/>
      <c r="AB798" s="196"/>
      <c r="AC798" s="196"/>
      <c r="AD798" s="196"/>
      <c r="AE798" s="196"/>
    </row>
    <row r="799" ht="15.75" customHeight="1">
      <c r="C799" s="492"/>
      <c r="AB799" s="196"/>
      <c r="AC799" s="196"/>
      <c r="AD799" s="196"/>
      <c r="AE799" s="196"/>
    </row>
    <row r="800" ht="15.75" customHeight="1">
      <c r="C800" s="492"/>
      <c r="AB800" s="196"/>
      <c r="AC800" s="196"/>
      <c r="AD800" s="196"/>
      <c r="AE800" s="196"/>
    </row>
    <row r="801" ht="15.75" customHeight="1">
      <c r="C801" s="492"/>
      <c r="AB801" s="196"/>
      <c r="AC801" s="196"/>
      <c r="AD801" s="196"/>
      <c r="AE801" s="196"/>
    </row>
    <row r="802" ht="15.75" customHeight="1">
      <c r="C802" s="492"/>
      <c r="AB802" s="196"/>
      <c r="AC802" s="196"/>
      <c r="AD802" s="196"/>
      <c r="AE802" s="196"/>
    </row>
    <row r="803" ht="15.75" customHeight="1">
      <c r="C803" s="492"/>
      <c r="AB803" s="196"/>
      <c r="AC803" s="196"/>
      <c r="AD803" s="196"/>
      <c r="AE803" s="196"/>
    </row>
    <row r="804" ht="15.75" customHeight="1">
      <c r="C804" s="492"/>
      <c r="AB804" s="196"/>
      <c r="AC804" s="196"/>
      <c r="AD804" s="196"/>
      <c r="AE804" s="196"/>
    </row>
    <row r="805" ht="15.75" customHeight="1">
      <c r="C805" s="492"/>
      <c r="AB805" s="196"/>
      <c r="AC805" s="196"/>
      <c r="AD805" s="196"/>
      <c r="AE805" s="196"/>
    </row>
    <row r="806" ht="15.75" customHeight="1">
      <c r="C806" s="492"/>
      <c r="AB806" s="196"/>
      <c r="AC806" s="196"/>
      <c r="AD806" s="196"/>
      <c r="AE806" s="196"/>
    </row>
    <row r="807" ht="15.75" customHeight="1">
      <c r="C807" s="492"/>
      <c r="AB807" s="196"/>
      <c r="AC807" s="196"/>
      <c r="AD807" s="196"/>
      <c r="AE807" s="196"/>
    </row>
    <row r="808" ht="15.75" customHeight="1">
      <c r="C808" s="492"/>
      <c r="AB808" s="196"/>
      <c r="AC808" s="196"/>
      <c r="AD808" s="196"/>
      <c r="AE808" s="196"/>
    </row>
    <row r="809" ht="15.75" customHeight="1">
      <c r="C809" s="492"/>
      <c r="AB809" s="196"/>
      <c r="AC809" s="196"/>
      <c r="AD809" s="196"/>
      <c r="AE809" s="196"/>
    </row>
    <row r="810" ht="15.75" customHeight="1">
      <c r="C810" s="492"/>
      <c r="AB810" s="196"/>
      <c r="AC810" s="196"/>
      <c r="AD810" s="196"/>
      <c r="AE810" s="196"/>
    </row>
    <row r="811" ht="15.75" customHeight="1">
      <c r="C811" s="492"/>
      <c r="AB811" s="196"/>
      <c r="AC811" s="196"/>
      <c r="AD811" s="196"/>
      <c r="AE811" s="196"/>
    </row>
    <row r="812" ht="15.75" customHeight="1">
      <c r="C812" s="492"/>
      <c r="AB812" s="196"/>
      <c r="AC812" s="196"/>
      <c r="AD812" s="196"/>
      <c r="AE812" s="196"/>
    </row>
    <row r="813" ht="15.75" customHeight="1">
      <c r="C813" s="492"/>
      <c r="AB813" s="196"/>
      <c r="AC813" s="196"/>
      <c r="AD813" s="196"/>
      <c r="AE813" s="196"/>
    </row>
    <row r="814" ht="15.75" customHeight="1">
      <c r="C814" s="492"/>
      <c r="AB814" s="196"/>
      <c r="AC814" s="196"/>
      <c r="AD814" s="196"/>
      <c r="AE814" s="196"/>
    </row>
    <row r="815" ht="15.75" customHeight="1">
      <c r="C815" s="492"/>
      <c r="AB815" s="196"/>
      <c r="AC815" s="196"/>
      <c r="AD815" s="196"/>
      <c r="AE815" s="196"/>
    </row>
    <row r="816" ht="15.75" customHeight="1">
      <c r="C816" s="492"/>
      <c r="AB816" s="196"/>
      <c r="AC816" s="196"/>
      <c r="AD816" s="196"/>
      <c r="AE816" s="196"/>
    </row>
    <row r="817" ht="15.75" customHeight="1">
      <c r="C817" s="492"/>
      <c r="AB817" s="196"/>
      <c r="AC817" s="196"/>
      <c r="AD817" s="196"/>
      <c r="AE817" s="196"/>
    </row>
    <row r="818" ht="15.75" customHeight="1">
      <c r="C818" s="492"/>
      <c r="AB818" s="196"/>
      <c r="AC818" s="196"/>
      <c r="AD818" s="196"/>
      <c r="AE818" s="196"/>
    </row>
    <row r="819" ht="15.75" customHeight="1">
      <c r="C819" s="492"/>
      <c r="AB819" s="196"/>
      <c r="AC819" s="196"/>
      <c r="AD819" s="196"/>
      <c r="AE819" s="196"/>
    </row>
    <row r="820" ht="15.75" customHeight="1">
      <c r="C820" s="492"/>
      <c r="AB820" s="196"/>
      <c r="AC820" s="196"/>
      <c r="AD820" s="196"/>
      <c r="AE820" s="196"/>
    </row>
    <row r="821" ht="15.75" customHeight="1">
      <c r="C821" s="492"/>
      <c r="AB821" s="196"/>
      <c r="AC821" s="196"/>
      <c r="AD821" s="196"/>
      <c r="AE821" s="196"/>
    </row>
    <row r="822" ht="15.75" customHeight="1">
      <c r="C822" s="492"/>
      <c r="AB822" s="196"/>
      <c r="AC822" s="196"/>
      <c r="AD822" s="196"/>
      <c r="AE822" s="196"/>
    </row>
    <row r="823" ht="15.75" customHeight="1">
      <c r="C823" s="492"/>
      <c r="AB823" s="196"/>
      <c r="AC823" s="196"/>
      <c r="AD823" s="196"/>
      <c r="AE823" s="196"/>
    </row>
    <row r="824" ht="15.75" customHeight="1">
      <c r="C824" s="492"/>
      <c r="AB824" s="196"/>
      <c r="AC824" s="196"/>
      <c r="AD824" s="196"/>
      <c r="AE824" s="196"/>
    </row>
    <row r="825" ht="15.75" customHeight="1">
      <c r="C825" s="492"/>
      <c r="AB825" s="196"/>
      <c r="AC825" s="196"/>
      <c r="AD825" s="196"/>
      <c r="AE825" s="196"/>
    </row>
    <row r="826" ht="15.75" customHeight="1">
      <c r="C826" s="492"/>
      <c r="AB826" s="196"/>
      <c r="AC826" s="196"/>
      <c r="AD826" s="196"/>
      <c r="AE826" s="196"/>
    </row>
    <row r="827" ht="15.75" customHeight="1">
      <c r="C827" s="492"/>
      <c r="AB827" s="196"/>
      <c r="AC827" s="196"/>
      <c r="AD827" s="196"/>
      <c r="AE827" s="196"/>
    </row>
    <row r="828" ht="15.75" customHeight="1">
      <c r="C828" s="492"/>
      <c r="AB828" s="196"/>
      <c r="AC828" s="196"/>
      <c r="AD828" s="196"/>
      <c r="AE828" s="196"/>
    </row>
    <row r="829" ht="15.75" customHeight="1">
      <c r="C829" s="492"/>
      <c r="AB829" s="196"/>
      <c r="AC829" s="196"/>
      <c r="AD829" s="196"/>
      <c r="AE829" s="196"/>
    </row>
    <row r="830" ht="15.75" customHeight="1">
      <c r="C830" s="492"/>
      <c r="AB830" s="196"/>
      <c r="AC830" s="196"/>
      <c r="AD830" s="196"/>
      <c r="AE830" s="196"/>
    </row>
    <row r="831" ht="15.75" customHeight="1">
      <c r="C831" s="492"/>
      <c r="AB831" s="196"/>
      <c r="AC831" s="196"/>
      <c r="AD831" s="196"/>
      <c r="AE831" s="196"/>
    </row>
    <row r="832" ht="15.75" customHeight="1">
      <c r="C832" s="492"/>
      <c r="AB832" s="196"/>
      <c r="AC832" s="196"/>
      <c r="AD832" s="196"/>
      <c r="AE832" s="196"/>
    </row>
    <row r="833" ht="15.75" customHeight="1">
      <c r="C833" s="492"/>
      <c r="AB833" s="196"/>
      <c r="AC833" s="196"/>
      <c r="AD833" s="196"/>
      <c r="AE833" s="196"/>
    </row>
    <row r="834" ht="15.75" customHeight="1">
      <c r="C834" s="492"/>
      <c r="AB834" s="196"/>
      <c r="AC834" s="196"/>
      <c r="AD834" s="196"/>
      <c r="AE834" s="196"/>
    </row>
    <row r="835" ht="15.75" customHeight="1">
      <c r="C835" s="492"/>
      <c r="AB835" s="196"/>
      <c r="AC835" s="196"/>
      <c r="AD835" s="196"/>
      <c r="AE835" s="196"/>
    </row>
    <row r="836" ht="15.75" customHeight="1">
      <c r="C836" s="492"/>
      <c r="AB836" s="196"/>
      <c r="AC836" s="196"/>
      <c r="AD836" s="196"/>
      <c r="AE836" s="196"/>
    </row>
    <row r="837" ht="15.75" customHeight="1">
      <c r="C837" s="492"/>
      <c r="AB837" s="196"/>
      <c r="AC837" s="196"/>
      <c r="AD837" s="196"/>
      <c r="AE837" s="196"/>
    </row>
    <row r="838" ht="15.75" customHeight="1">
      <c r="C838" s="492"/>
      <c r="AB838" s="196"/>
      <c r="AC838" s="196"/>
      <c r="AD838" s="196"/>
      <c r="AE838" s="196"/>
    </row>
    <row r="839" ht="15.75" customHeight="1">
      <c r="C839" s="492"/>
      <c r="AB839" s="196"/>
      <c r="AC839" s="196"/>
      <c r="AD839" s="196"/>
      <c r="AE839" s="196"/>
    </row>
    <row r="840" ht="15.75" customHeight="1">
      <c r="C840" s="492"/>
      <c r="AB840" s="196"/>
      <c r="AC840" s="196"/>
      <c r="AD840" s="196"/>
      <c r="AE840" s="196"/>
    </row>
    <row r="841" ht="15.75" customHeight="1">
      <c r="C841" s="492"/>
      <c r="AB841" s="196"/>
      <c r="AC841" s="196"/>
      <c r="AD841" s="196"/>
      <c r="AE841" s="196"/>
    </row>
    <row r="842" ht="15.75" customHeight="1">
      <c r="C842" s="492"/>
      <c r="AB842" s="196"/>
      <c r="AC842" s="196"/>
      <c r="AD842" s="196"/>
      <c r="AE842" s="196"/>
    </row>
    <row r="843" ht="15.75" customHeight="1">
      <c r="C843" s="492"/>
      <c r="AB843" s="196"/>
      <c r="AC843" s="196"/>
      <c r="AD843" s="196"/>
      <c r="AE843" s="196"/>
    </row>
    <row r="844" ht="15.75" customHeight="1">
      <c r="C844" s="492"/>
      <c r="AB844" s="196"/>
      <c r="AC844" s="196"/>
      <c r="AD844" s="196"/>
      <c r="AE844" s="196"/>
    </row>
    <row r="845" ht="15.75" customHeight="1">
      <c r="C845" s="492"/>
      <c r="AB845" s="196"/>
      <c r="AC845" s="196"/>
      <c r="AD845" s="196"/>
      <c r="AE845" s="196"/>
    </row>
    <row r="846" ht="15.75" customHeight="1">
      <c r="C846" s="492"/>
      <c r="AB846" s="196"/>
      <c r="AC846" s="196"/>
      <c r="AD846" s="196"/>
      <c r="AE846" s="196"/>
    </row>
    <row r="847" ht="15.75" customHeight="1">
      <c r="C847" s="492"/>
      <c r="AB847" s="196"/>
      <c r="AC847" s="196"/>
      <c r="AD847" s="196"/>
      <c r="AE847" s="196"/>
    </row>
    <row r="848" ht="15.75" customHeight="1">
      <c r="C848" s="492"/>
      <c r="AB848" s="196"/>
      <c r="AC848" s="196"/>
      <c r="AD848" s="196"/>
      <c r="AE848" s="196"/>
    </row>
    <row r="849" ht="15.75" customHeight="1">
      <c r="C849" s="492"/>
      <c r="AB849" s="196"/>
      <c r="AC849" s="196"/>
      <c r="AD849" s="196"/>
      <c r="AE849" s="196"/>
    </row>
    <row r="850" ht="15.75" customHeight="1">
      <c r="C850" s="492"/>
      <c r="AB850" s="196"/>
      <c r="AC850" s="196"/>
      <c r="AD850" s="196"/>
      <c r="AE850" s="196"/>
    </row>
    <row r="851" ht="15.75" customHeight="1">
      <c r="C851" s="492"/>
      <c r="AB851" s="196"/>
      <c r="AC851" s="196"/>
      <c r="AD851" s="196"/>
      <c r="AE851" s="196"/>
    </row>
    <row r="852" ht="15.75" customHeight="1">
      <c r="C852" s="492"/>
      <c r="AB852" s="196"/>
      <c r="AC852" s="196"/>
      <c r="AD852" s="196"/>
      <c r="AE852" s="196"/>
    </row>
    <row r="853" ht="15.75" customHeight="1">
      <c r="C853" s="492"/>
      <c r="AB853" s="196"/>
      <c r="AC853" s="196"/>
      <c r="AD853" s="196"/>
      <c r="AE853" s="196"/>
    </row>
    <row r="854" ht="15.75" customHeight="1">
      <c r="C854" s="492"/>
      <c r="AB854" s="196"/>
      <c r="AC854" s="196"/>
      <c r="AD854" s="196"/>
      <c r="AE854" s="196"/>
    </row>
    <row r="855" ht="15.75" customHeight="1">
      <c r="C855" s="492"/>
      <c r="AB855" s="196"/>
      <c r="AC855" s="196"/>
      <c r="AD855" s="196"/>
      <c r="AE855" s="196"/>
    </row>
    <row r="856" ht="15.75" customHeight="1">
      <c r="C856" s="492"/>
      <c r="AB856" s="196"/>
      <c r="AC856" s="196"/>
      <c r="AD856" s="196"/>
      <c r="AE856" s="196"/>
    </row>
    <row r="857" ht="15.75" customHeight="1">
      <c r="C857" s="492"/>
      <c r="AB857" s="196"/>
      <c r="AC857" s="196"/>
      <c r="AD857" s="196"/>
      <c r="AE857" s="196"/>
    </row>
    <row r="858" ht="15.75" customHeight="1">
      <c r="C858" s="492"/>
      <c r="AB858" s="196"/>
      <c r="AC858" s="196"/>
      <c r="AD858" s="196"/>
      <c r="AE858" s="196"/>
    </row>
    <row r="859" ht="15.75" customHeight="1">
      <c r="C859" s="492"/>
      <c r="AB859" s="196"/>
      <c r="AC859" s="196"/>
      <c r="AD859" s="196"/>
      <c r="AE859" s="196"/>
    </row>
    <row r="860" ht="15.75" customHeight="1">
      <c r="C860" s="492"/>
      <c r="AB860" s="196"/>
      <c r="AC860" s="196"/>
      <c r="AD860" s="196"/>
      <c r="AE860" s="196"/>
    </row>
    <row r="861" ht="15.75" customHeight="1">
      <c r="C861" s="492"/>
      <c r="AB861" s="196"/>
      <c r="AC861" s="196"/>
      <c r="AD861" s="196"/>
      <c r="AE861" s="196"/>
    </row>
    <row r="862" ht="15.75" customHeight="1">
      <c r="C862" s="492"/>
      <c r="AB862" s="196"/>
      <c r="AC862" s="196"/>
      <c r="AD862" s="196"/>
      <c r="AE862" s="196"/>
    </row>
    <row r="863" ht="15.75" customHeight="1">
      <c r="C863" s="492"/>
      <c r="AB863" s="196"/>
      <c r="AC863" s="196"/>
      <c r="AD863" s="196"/>
      <c r="AE863" s="196"/>
    </row>
    <row r="864" ht="15.75" customHeight="1">
      <c r="C864" s="492"/>
      <c r="AB864" s="196"/>
      <c r="AC864" s="196"/>
      <c r="AD864" s="196"/>
      <c r="AE864" s="196"/>
    </row>
    <row r="865" ht="15.75" customHeight="1">
      <c r="C865" s="492"/>
      <c r="AB865" s="196"/>
      <c r="AC865" s="196"/>
      <c r="AD865" s="196"/>
      <c r="AE865" s="196"/>
    </row>
    <row r="866" ht="15.75" customHeight="1">
      <c r="C866" s="492"/>
      <c r="AB866" s="196"/>
      <c r="AC866" s="196"/>
      <c r="AD866" s="196"/>
      <c r="AE866" s="196"/>
    </row>
    <row r="867" ht="15.75" customHeight="1">
      <c r="C867" s="492"/>
      <c r="AB867" s="196"/>
      <c r="AC867" s="196"/>
      <c r="AD867" s="196"/>
      <c r="AE867" s="196"/>
    </row>
    <row r="868" ht="15.75" customHeight="1">
      <c r="C868" s="492"/>
      <c r="AB868" s="196"/>
      <c r="AC868" s="196"/>
      <c r="AD868" s="196"/>
      <c r="AE868" s="196"/>
    </row>
    <row r="869" ht="15.75" customHeight="1">
      <c r="C869" s="492"/>
      <c r="AB869" s="196"/>
      <c r="AC869" s="196"/>
      <c r="AD869" s="196"/>
      <c r="AE869" s="196"/>
    </row>
    <row r="870" ht="15.75" customHeight="1">
      <c r="C870" s="492"/>
      <c r="AB870" s="196"/>
      <c r="AC870" s="196"/>
      <c r="AD870" s="196"/>
      <c r="AE870" s="196"/>
    </row>
    <row r="871" ht="15.75" customHeight="1">
      <c r="C871" s="492"/>
      <c r="AB871" s="196"/>
      <c r="AC871" s="196"/>
      <c r="AD871" s="196"/>
      <c r="AE871" s="196"/>
    </row>
    <row r="872" ht="15.75" customHeight="1">
      <c r="C872" s="492"/>
      <c r="AB872" s="196"/>
      <c r="AC872" s="196"/>
      <c r="AD872" s="196"/>
      <c r="AE872" s="196"/>
    </row>
    <row r="873" ht="15.75" customHeight="1">
      <c r="C873" s="492"/>
      <c r="AB873" s="196"/>
      <c r="AC873" s="196"/>
      <c r="AD873" s="196"/>
      <c r="AE873" s="196"/>
    </row>
    <row r="874" ht="15.75" customHeight="1">
      <c r="C874" s="492"/>
      <c r="AB874" s="196"/>
      <c r="AC874" s="196"/>
      <c r="AD874" s="196"/>
      <c r="AE874" s="196"/>
    </row>
    <row r="875" ht="15.75" customHeight="1">
      <c r="C875" s="492"/>
      <c r="AB875" s="196"/>
      <c r="AC875" s="196"/>
      <c r="AD875" s="196"/>
      <c r="AE875" s="196"/>
    </row>
    <row r="876" ht="15.75" customHeight="1">
      <c r="C876" s="492"/>
      <c r="AB876" s="196"/>
      <c r="AC876" s="196"/>
      <c r="AD876" s="196"/>
      <c r="AE876" s="196"/>
    </row>
    <row r="877" ht="15.75" customHeight="1">
      <c r="C877" s="492"/>
      <c r="AB877" s="196"/>
      <c r="AC877" s="196"/>
      <c r="AD877" s="196"/>
      <c r="AE877" s="196"/>
    </row>
    <row r="878" ht="15.75" customHeight="1">
      <c r="C878" s="492"/>
      <c r="AB878" s="196"/>
      <c r="AC878" s="196"/>
      <c r="AD878" s="196"/>
      <c r="AE878" s="196"/>
    </row>
    <row r="879" ht="15.75" customHeight="1">
      <c r="C879" s="492"/>
      <c r="AB879" s="196"/>
      <c r="AC879" s="196"/>
      <c r="AD879" s="196"/>
      <c r="AE879" s="196"/>
    </row>
    <row r="880" ht="15.75" customHeight="1">
      <c r="C880" s="492"/>
      <c r="AB880" s="196"/>
      <c r="AC880" s="196"/>
      <c r="AD880" s="196"/>
      <c r="AE880" s="196"/>
    </row>
    <row r="881" ht="15.75" customHeight="1">
      <c r="C881" s="492"/>
      <c r="AB881" s="196"/>
      <c r="AC881" s="196"/>
      <c r="AD881" s="196"/>
      <c r="AE881" s="196"/>
    </row>
    <row r="882" ht="15.75" customHeight="1">
      <c r="C882" s="492"/>
      <c r="AB882" s="196"/>
      <c r="AC882" s="196"/>
      <c r="AD882" s="196"/>
      <c r="AE882" s="196"/>
    </row>
    <row r="883" ht="15.75" customHeight="1">
      <c r="C883" s="492"/>
      <c r="AB883" s="196"/>
      <c r="AC883" s="196"/>
      <c r="AD883" s="196"/>
      <c r="AE883" s="196"/>
    </row>
    <row r="884" ht="15.75" customHeight="1">
      <c r="C884" s="492"/>
      <c r="AB884" s="196"/>
      <c r="AC884" s="196"/>
      <c r="AD884" s="196"/>
      <c r="AE884" s="196"/>
    </row>
    <row r="885" ht="15.75" customHeight="1">
      <c r="C885" s="492"/>
      <c r="AB885" s="196"/>
      <c r="AC885" s="196"/>
      <c r="AD885" s="196"/>
      <c r="AE885" s="196"/>
    </row>
    <row r="886" ht="15.75" customHeight="1">
      <c r="C886" s="492"/>
      <c r="AB886" s="196"/>
      <c r="AC886" s="196"/>
      <c r="AD886" s="196"/>
      <c r="AE886" s="196"/>
    </row>
    <row r="887" ht="15.75" customHeight="1">
      <c r="C887" s="492"/>
      <c r="AB887" s="196"/>
      <c r="AC887" s="196"/>
      <c r="AD887" s="196"/>
      <c r="AE887" s="196"/>
    </row>
    <row r="888" ht="15.75" customHeight="1">
      <c r="C888" s="492"/>
      <c r="AB888" s="196"/>
      <c r="AC888" s="196"/>
      <c r="AD888" s="196"/>
      <c r="AE888" s="196"/>
    </row>
    <row r="889" ht="15.75" customHeight="1">
      <c r="C889" s="492"/>
      <c r="AB889" s="196"/>
      <c r="AC889" s="196"/>
      <c r="AD889" s="196"/>
      <c r="AE889" s="196"/>
    </row>
    <row r="890" ht="15.75" customHeight="1">
      <c r="C890" s="492"/>
      <c r="AB890" s="196"/>
      <c r="AC890" s="196"/>
      <c r="AD890" s="196"/>
      <c r="AE890" s="196"/>
    </row>
    <row r="891" ht="15.75" customHeight="1">
      <c r="C891" s="492"/>
      <c r="AB891" s="196"/>
      <c r="AC891" s="196"/>
      <c r="AD891" s="196"/>
      <c r="AE891" s="196"/>
    </row>
    <row r="892" ht="15.75" customHeight="1">
      <c r="C892" s="492"/>
      <c r="AB892" s="196"/>
      <c r="AC892" s="196"/>
      <c r="AD892" s="196"/>
      <c r="AE892" s="196"/>
    </row>
    <row r="893" ht="15.75" customHeight="1">
      <c r="C893" s="492"/>
      <c r="AB893" s="196"/>
      <c r="AC893" s="196"/>
      <c r="AD893" s="196"/>
      <c r="AE893" s="196"/>
    </row>
    <row r="894" ht="15.75" customHeight="1">
      <c r="C894" s="492"/>
      <c r="AB894" s="196"/>
      <c r="AC894" s="196"/>
      <c r="AD894" s="196"/>
      <c r="AE894" s="196"/>
    </row>
    <row r="895" ht="15.75" customHeight="1">
      <c r="C895" s="492"/>
      <c r="AB895" s="196"/>
      <c r="AC895" s="196"/>
      <c r="AD895" s="196"/>
      <c r="AE895" s="196"/>
    </row>
    <row r="896" ht="15.75" customHeight="1">
      <c r="C896" s="492"/>
      <c r="AB896" s="196"/>
      <c r="AC896" s="196"/>
      <c r="AD896" s="196"/>
      <c r="AE896" s="196"/>
    </row>
    <row r="897" ht="15.75" customHeight="1">
      <c r="C897" s="492"/>
      <c r="AB897" s="196"/>
      <c r="AC897" s="196"/>
      <c r="AD897" s="196"/>
      <c r="AE897" s="196"/>
    </row>
    <row r="898" ht="15.75" customHeight="1">
      <c r="C898" s="492"/>
      <c r="AB898" s="196"/>
      <c r="AC898" s="196"/>
      <c r="AD898" s="196"/>
      <c r="AE898" s="196"/>
    </row>
    <row r="899" ht="15.75" customHeight="1">
      <c r="C899" s="492"/>
      <c r="AB899" s="196"/>
      <c r="AC899" s="196"/>
      <c r="AD899" s="196"/>
      <c r="AE899" s="196"/>
    </row>
    <row r="900" ht="15.75" customHeight="1">
      <c r="C900" s="492"/>
      <c r="AB900" s="196"/>
      <c r="AC900" s="196"/>
      <c r="AD900" s="196"/>
      <c r="AE900" s="196"/>
    </row>
    <row r="901" ht="15.75" customHeight="1">
      <c r="C901" s="492"/>
      <c r="AB901" s="196"/>
      <c r="AC901" s="196"/>
      <c r="AD901" s="196"/>
      <c r="AE901" s="196"/>
    </row>
    <row r="902" ht="15.75" customHeight="1">
      <c r="C902" s="492"/>
      <c r="AB902" s="196"/>
      <c r="AC902" s="196"/>
      <c r="AD902" s="196"/>
      <c r="AE902" s="196"/>
    </row>
    <row r="903" ht="15.75" customHeight="1">
      <c r="C903" s="492"/>
      <c r="AB903" s="196"/>
      <c r="AC903" s="196"/>
      <c r="AD903" s="196"/>
      <c r="AE903" s="196"/>
    </row>
    <row r="904" ht="15.75" customHeight="1">
      <c r="C904" s="492"/>
      <c r="AB904" s="196"/>
      <c r="AC904" s="196"/>
      <c r="AD904" s="196"/>
      <c r="AE904" s="196"/>
    </row>
    <row r="905" ht="15.75" customHeight="1">
      <c r="C905" s="492"/>
      <c r="AB905" s="196"/>
      <c r="AC905" s="196"/>
      <c r="AD905" s="196"/>
      <c r="AE905" s="196"/>
    </row>
    <row r="906" ht="15.75" customHeight="1">
      <c r="C906" s="492"/>
      <c r="AB906" s="196"/>
      <c r="AC906" s="196"/>
      <c r="AD906" s="196"/>
      <c r="AE906" s="196"/>
    </row>
    <row r="907" ht="15.75" customHeight="1">
      <c r="C907" s="492"/>
      <c r="AB907" s="196"/>
      <c r="AC907" s="196"/>
      <c r="AD907" s="196"/>
      <c r="AE907" s="196"/>
    </row>
    <row r="908" ht="15.75" customHeight="1">
      <c r="C908" s="492"/>
      <c r="AB908" s="196"/>
      <c r="AC908" s="196"/>
      <c r="AD908" s="196"/>
      <c r="AE908" s="196"/>
    </row>
    <row r="909" ht="15.75" customHeight="1">
      <c r="C909" s="492"/>
      <c r="AB909" s="196"/>
      <c r="AC909" s="196"/>
      <c r="AD909" s="196"/>
      <c r="AE909" s="196"/>
    </row>
    <row r="910" ht="15.75" customHeight="1">
      <c r="C910" s="492"/>
      <c r="AB910" s="196"/>
      <c r="AC910" s="196"/>
      <c r="AD910" s="196"/>
      <c r="AE910" s="196"/>
    </row>
    <row r="911" ht="15.75" customHeight="1">
      <c r="C911" s="492"/>
      <c r="AB911" s="196"/>
      <c r="AC911" s="196"/>
      <c r="AD911" s="196"/>
      <c r="AE911" s="196"/>
    </row>
    <row r="912" ht="15.75" customHeight="1">
      <c r="C912" s="492"/>
      <c r="AB912" s="196"/>
      <c r="AC912" s="196"/>
      <c r="AD912" s="196"/>
      <c r="AE912" s="196"/>
    </row>
    <row r="913" ht="15.75" customHeight="1">
      <c r="C913" s="492"/>
      <c r="AB913" s="196"/>
      <c r="AC913" s="196"/>
      <c r="AD913" s="196"/>
      <c r="AE913" s="196"/>
    </row>
    <row r="914" ht="15.75" customHeight="1">
      <c r="C914" s="492"/>
      <c r="AB914" s="196"/>
      <c r="AC914" s="196"/>
      <c r="AD914" s="196"/>
      <c r="AE914" s="196"/>
    </row>
    <row r="915" ht="15.75" customHeight="1">
      <c r="C915" s="492"/>
      <c r="AB915" s="196"/>
      <c r="AC915" s="196"/>
      <c r="AD915" s="196"/>
      <c r="AE915" s="196"/>
    </row>
    <row r="916" ht="15.75" customHeight="1">
      <c r="C916" s="492"/>
      <c r="AB916" s="196"/>
      <c r="AC916" s="196"/>
      <c r="AD916" s="196"/>
      <c r="AE916" s="196"/>
    </row>
    <row r="917" ht="15.75" customHeight="1">
      <c r="C917" s="492"/>
      <c r="AB917" s="196"/>
      <c r="AC917" s="196"/>
      <c r="AD917" s="196"/>
      <c r="AE917" s="196"/>
    </row>
    <row r="918" ht="15.75" customHeight="1">
      <c r="C918" s="492"/>
      <c r="AB918" s="196"/>
      <c r="AC918" s="196"/>
      <c r="AD918" s="196"/>
      <c r="AE918" s="196"/>
    </row>
    <row r="919" ht="15.75" customHeight="1">
      <c r="C919" s="492"/>
      <c r="AB919" s="196"/>
      <c r="AC919" s="196"/>
      <c r="AD919" s="196"/>
      <c r="AE919" s="196"/>
    </row>
    <row r="920" ht="15.75" customHeight="1">
      <c r="C920" s="492"/>
      <c r="AB920" s="196"/>
      <c r="AC920" s="196"/>
      <c r="AD920" s="196"/>
      <c r="AE920" s="196"/>
    </row>
    <row r="921" ht="15.75" customHeight="1">
      <c r="C921" s="492"/>
      <c r="AB921" s="196"/>
      <c r="AC921" s="196"/>
      <c r="AD921" s="196"/>
      <c r="AE921" s="196"/>
    </row>
    <row r="922" ht="15.75" customHeight="1">
      <c r="C922" s="492"/>
      <c r="AB922" s="196"/>
      <c r="AC922" s="196"/>
      <c r="AD922" s="196"/>
      <c r="AE922" s="196"/>
    </row>
    <row r="923" ht="15.75" customHeight="1">
      <c r="C923" s="492"/>
      <c r="AB923" s="196"/>
      <c r="AC923" s="196"/>
      <c r="AD923" s="196"/>
      <c r="AE923" s="196"/>
    </row>
    <row r="924" ht="15.75" customHeight="1">
      <c r="C924" s="492"/>
      <c r="AB924" s="196"/>
      <c r="AC924" s="196"/>
      <c r="AD924" s="196"/>
      <c r="AE924" s="196"/>
    </row>
    <row r="925" ht="15.75" customHeight="1">
      <c r="C925" s="492"/>
      <c r="AB925" s="196"/>
      <c r="AC925" s="196"/>
      <c r="AD925" s="196"/>
      <c r="AE925" s="196"/>
    </row>
    <row r="926" ht="15.75" customHeight="1">
      <c r="C926" s="492"/>
      <c r="AB926" s="196"/>
      <c r="AC926" s="196"/>
      <c r="AD926" s="196"/>
      <c r="AE926" s="196"/>
    </row>
    <row r="927" ht="15.75" customHeight="1">
      <c r="C927" s="492"/>
      <c r="AB927" s="196"/>
      <c r="AC927" s="196"/>
      <c r="AD927" s="196"/>
      <c r="AE927" s="196"/>
    </row>
    <row r="928" ht="15.75" customHeight="1">
      <c r="C928" s="492"/>
      <c r="AB928" s="196"/>
      <c r="AC928" s="196"/>
      <c r="AD928" s="196"/>
      <c r="AE928" s="196"/>
    </row>
    <row r="929" ht="15.75" customHeight="1">
      <c r="C929" s="492"/>
      <c r="AB929" s="196"/>
      <c r="AC929" s="196"/>
      <c r="AD929" s="196"/>
      <c r="AE929" s="196"/>
    </row>
    <row r="930" ht="15.75" customHeight="1">
      <c r="C930" s="492"/>
      <c r="AB930" s="196"/>
      <c r="AC930" s="196"/>
      <c r="AD930" s="196"/>
      <c r="AE930" s="196"/>
    </row>
    <row r="931" ht="15.75" customHeight="1">
      <c r="C931" s="492"/>
      <c r="AB931" s="196"/>
      <c r="AC931" s="196"/>
      <c r="AD931" s="196"/>
      <c r="AE931" s="196"/>
    </row>
    <row r="932" ht="15.75" customHeight="1">
      <c r="C932" s="492"/>
      <c r="AB932" s="196"/>
      <c r="AC932" s="196"/>
      <c r="AD932" s="196"/>
      <c r="AE932" s="196"/>
    </row>
    <row r="933" ht="15.75" customHeight="1">
      <c r="C933" s="492"/>
      <c r="AB933" s="196"/>
      <c r="AC933" s="196"/>
      <c r="AD933" s="196"/>
      <c r="AE933" s="196"/>
    </row>
    <row r="934" ht="15.75" customHeight="1">
      <c r="C934" s="492"/>
      <c r="AB934" s="196"/>
      <c r="AC934" s="196"/>
      <c r="AD934" s="196"/>
      <c r="AE934" s="196"/>
    </row>
    <row r="935" ht="15.75" customHeight="1">
      <c r="C935" s="492"/>
      <c r="AB935" s="196"/>
      <c r="AC935" s="196"/>
      <c r="AD935" s="196"/>
      <c r="AE935" s="196"/>
    </row>
    <row r="936" ht="15.75" customHeight="1">
      <c r="C936" s="492"/>
      <c r="AB936" s="196"/>
      <c r="AC936" s="196"/>
      <c r="AD936" s="196"/>
      <c r="AE936" s="196"/>
    </row>
    <row r="937" ht="15.75" customHeight="1">
      <c r="C937" s="492"/>
      <c r="AB937" s="196"/>
      <c r="AC937" s="196"/>
      <c r="AD937" s="196"/>
      <c r="AE937" s="196"/>
    </row>
    <row r="938" ht="15.75" customHeight="1">
      <c r="C938" s="492"/>
      <c r="AB938" s="196"/>
      <c r="AC938" s="196"/>
      <c r="AD938" s="196"/>
      <c r="AE938" s="196"/>
    </row>
    <row r="939" ht="15.75" customHeight="1">
      <c r="C939" s="492"/>
      <c r="AB939" s="196"/>
      <c r="AC939" s="196"/>
      <c r="AD939" s="196"/>
      <c r="AE939" s="196"/>
    </row>
    <row r="940" ht="15.75" customHeight="1">
      <c r="C940" s="492"/>
      <c r="AB940" s="196"/>
      <c r="AC940" s="196"/>
      <c r="AD940" s="196"/>
      <c r="AE940" s="196"/>
    </row>
    <row r="941" ht="15.75" customHeight="1">
      <c r="C941" s="492"/>
      <c r="AB941" s="196"/>
      <c r="AC941" s="196"/>
      <c r="AD941" s="196"/>
      <c r="AE941" s="196"/>
    </row>
    <row r="942" ht="15.75" customHeight="1">
      <c r="C942" s="492"/>
      <c r="AB942" s="196"/>
      <c r="AC942" s="196"/>
      <c r="AD942" s="196"/>
      <c r="AE942" s="196"/>
    </row>
    <row r="943" ht="15.75" customHeight="1">
      <c r="C943" s="492"/>
      <c r="AB943" s="196"/>
      <c r="AC943" s="196"/>
      <c r="AD943" s="196"/>
      <c r="AE943" s="196"/>
    </row>
    <row r="944" ht="15.75" customHeight="1">
      <c r="C944" s="492"/>
      <c r="AB944" s="196"/>
      <c r="AC944" s="196"/>
      <c r="AD944" s="196"/>
      <c r="AE944" s="196"/>
    </row>
    <row r="945" ht="15.75" customHeight="1">
      <c r="C945" s="492"/>
      <c r="AB945" s="196"/>
      <c r="AC945" s="196"/>
      <c r="AD945" s="196"/>
      <c r="AE945" s="196"/>
    </row>
    <row r="946" ht="15.75" customHeight="1">
      <c r="C946" s="492"/>
      <c r="AB946" s="196"/>
      <c r="AC946" s="196"/>
      <c r="AD946" s="196"/>
      <c r="AE946" s="196"/>
    </row>
    <row r="947" ht="15.75" customHeight="1">
      <c r="C947" s="492"/>
      <c r="AB947" s="196"/>
      <c r="AC947" s="196"/>
      <c r="AD947" s="196"/>
      <c r="AE947" s="196"/>
    </row>
    <row r="948" ht="15.75" customHeight="1">
      <c r="C948" s="492"/>
      <c r="AB948" s="196"/>
      <c r="AC948" s="196"/>
      <c r="AD948" s="196"/>
      <c r="AE948" s="196"/>
    </row>
    <row r="949" ht="15.75" customHeight="1">
      <c r="C949" s="492"/>
      <c r="AB949" s="196"/>
      <c r="AC949" s="196"/>
      <c r="AD949" s="196"/>
      <c r="AE949" s="196"/>
    </row>
    <row r="950" ht="15.75" customHeight="1">
      <c r="C950" s="492"/>
      <c r="AB950" s="196"/>
      <c r="AC950" s="196"/>
      <c r="AD950" s="196"/>
      <c r="AE950" s="196"/>
    </row>
    <row r="951" ht="15.75" customHeight="1">
      <c r="C951" s="492"/>
      <c r="AB951" s="196"/>
      <c r="AC951" s="196"/>
      <c r="AD951" s="196"/>
      <c r="AE951" s="196"/>
    </row>
    <row r="952" ht="15.75" customHeight="1">
      <c r="C952" s="492"/>
      <c r="AB952" s="196"/>
      <c r="AC952" s="196"/>
      <c r="AD952" s="196"/>
      <c r="AE952" s="196"/>
    </row>
    <row r="953" ht="15.75" customHeight="1">
      <c r="C953" s="492"/>
      <c r="AB953" s="196"/>
      <c r="AC953" s="196"/>
      <c r="AD953" s="196"/>
      <c r="AE953" s="196"/>
    </row>
    <row r="954" ht="15.75" customHeight="1">
      <c r="C954" s="492"/>
      <c r="AB954" s="196"/>
      <c r="AC954" s="196"/>
      <c r="AD954" s="196"/>
      <c r="AE954" s="196"/>
    </row>
    <row r="955" ht="15.75" customHeight="1">
      <c r="C955" s="492"/>
      <c r="AB955" s="196"/>
      <c r="AC955" s="196"/>
      <c r="AD955" s="196"/>
      <c r="AE955" s="196"/>
    </row>
    <row r="956" ht="15.75" customHeight="1">
      <c r="C956" s="492"/>
      <c r="AB956" s="196"/>
      <c r="AC956" s="196"/>
      <c r="AD956" s="196"/>
      <c r="AE956" s="196"/>
    </row>
    <row r="957" ht="15.75" customHeight="1">
      <c r="C957" s="492"/>
      <c r="AB957" s="196"/>
      <c r="AC957" s="196"/>
      <c r="AD957" s="196"/>
      <c r="AE957" s="196"/>
    </row>
    <row r="958" ht="15.75" customHeight="1">
      <c r="C958" s="492"/>
      <c r="AB958" s="196"/>
      <c r="AC958" s="196"/>
      <c r="AD958" s="196"/>
      <c r="AE958" s="196"/>
    </row>
    <row r="959" ht="15.75" customHeight="1">
      <c r="C959" s="492"/>
      <c r="AB959" s="196"/>
      <c r="AC959" s="196"/>
      <c r="AD959" s="196"/>
      <c r="AE959" s="196"/>
    </row>
    <row r="960" ht="15.75" customHeight="1">
      <c r="C960" s="492"/>
      <c r="AB960" s="196"/>
      <c r="AC960" s="196"/>
      <c r="AD960" s="196"/>
      <c r="AE960" s="196"/>
    </row>
    <row r="961" ht="15.75" customHeight="1">
      <c r="C961" s="492"/>
      <c r="AB961" s="196"/>
      <c r="AC961" s="196"/>
      <c r="AD961" s="196"/>
      <c r="AE961" s="196"/>
    </row>
    <row r="962" ht="15.75" customHeight="1">
      <c r="C962" s="492"/>
      <c r="AB962" s="196"/>
      <c r="AC962" s="196"/>
      <c r="AD962" s="196"/>
      <c r="AE962" s="196"/>
    </row>
    <row r="963" ht="15.75" customHeight="1">
      <c r="C963" s="492"/>
      <c r="AB963" s="196"/>
      <c r="AC963" s="196"/>
      <c r="AD963" s="196"/>
      <c r="AE963" s="196"/>
    </row>
    <row r="964" ht="15.75" customHeight="1">
      <c r="C964" s="492"/>
      <c r="AB964" s="196"/>
      <c r="AC964" s="196"/>
      <c r="AD964" s="196"/>
      <c r="AE964" s="196"/>
    </row>
    <row r="965" ht="15.75" customHeight="1">
      <c r="C965" s="492"/>
      <c r="AB965" s="196"/>
      <c r="AC965" s="196"/>
      <c r="AD965" s="196"/>
      <c r="AE965" s="196"/>
    </row>
    <row r="966" ht="15.75" customHeight="1">
      <c r="C966" s="492"/>
      <c r="AB966" s="196"/>
      <c r="AC966" s="196"/>
      <c r="AD966" s="196"/>
      <c r="AE966" s="196"/>
    </row>
    <row r="967" ht="15.75" customHeight="1">
      <c r="C967" s="492"/>
      <c r="AB967" s="196"/>
      <c r="AC967" s="196"/>
      <c r="AD967" s="196"/>
      <c r="AE967" s="196"/>
    </row>
    <row r="968" ht="15.75" customHeight="1">
      <c r="C968" s="492"/>
      <c r="AB968" s="196"/>
      <c r="AC968" s="196"/>
      <c r="AD968" s="196"/>
      <c r="AE968" s="196"/>
    </row>
    <row r="969" ht="15.75" customHeight="1">
      <c r="C969" s="492"/>
      <c r="AB969" s="196"/>
      <c r="AC969" s="196"/>
      <c r="AD969" s="196"/>
      <c r="AE969" s="196"/>
    </row>
    <row r="970" ht="15.75" customHeight="1">
      <c r="C970" s="492"/>
      <c r="AB970" s="196"/>
      <c r="AC970" s="196"/>
      <c r="AD970" s="196"/>
      <c r="AE970" s="196"/>
    </row>
    <row r="971" ht="15.75" customHeight="1">
      <c r="C971" s="492"/>
      <c r="AB971" s="196"/>
      <c r="AC971" s="196"/>
      <c r="AD971" s="196"/>
      <c r="AE971" s="196"/>
    </row>
    <row r="972" ht="15.75" customHeight="1">
      <c r="C972" s="492"/>
      <c r="AB972" s="196"/>
      <c r="AC972" s="196"/>
      <c r="AD972" s="196"/>
      <c r="AE972" s="196"/>
    </row>
    <row r="973" ht="15.75" customHeight="1">
      <c r="C973" s="492"/>
      <c r="AB973" s="196"/>
      <c r="AC973" s="196"/>
      <c r="AD973" s="196"/>
      <c r="AE973" s="196"/>
    </row>
    <row r="974" ht="15.75" customHeight="1">
      <c r="C974" s="492"/>
      <c r="AB974" s="196"/>
      <c r="AC974" s="196"/>
      <c r="AD974" s="196"/>
      <c r="AE974" s="196"/>
    </row>
    <row r="975" ht="15.75" customHeight="1">
      <c r="C975" s="492"/>
      <c r="AB975" s="196"/>
      <c r="AC975" s="196"/>
      <c r="AD975" s="196"/>
      <c r="AE975" s="196"/>
    </row>
    <row r="976" ht="15.75" customHeight="1">
      <c r="C976" s="492"/>
      <c r="AB976" s="196"/>
      <c r="AC976" s="196"/>
      <c r="AD976" s="196"/>
      <c r="AE976" s="196"/>
    </row>
    <row r="977" ht="15.75" customHeight="1">
      <c r="C977" s="492"/>
      <c r="AB977" s="196"/>
      <c r="AC977" s="196"/>
      <c r="AD977" s="196"/>
      <c r="AE977" s="196"/>
    </row>
    <row r="978" ht="15.75" customHeight="1">
      <c r="C978" s="492"/>
      <c r="AB978" s="196"/>
      <c r="AC978" s="196"/>
      <c r="AD978" s="196"/>
      <c r="AE978" s="196"/>
    </row>
    <row r="979" ht="15.75" customHeight="1">
      <c r="C979" s="492"/>
      <c r="AB979" s="196"/>
      <c r="AC979" s="196"/>
      <c r="AD979" s="196"/>
      <c r="AE979" s="196"/>
    </row>
    <row r="980" ht="15.75" customHeight="1">
      <c r="C980" s="492"/>
      <c r="AB980" s="196"/>
      <c r="AC980" s="196"/>
      <c r="AD980" s="196"/>
      <c r="AE980" s="196"/>
    </row>
    <row r="981" ht="15.75" customHeight="1">
      <c r="C981" s="492"/>
      <c r="AB981" s="196"/>
      <c r="AC981" s="196"/>
      <c r="AD981" s="196"/>
      <c r="AE981" s="196"/>
    </row>
    <row r="982" ht="15.75" customHeight="1">
      <c r="C982" s="492"/>
      <c r="AB982" s="196"/>
      <c r="AC982" s="196"/>
      <c r="AD982" s="196"/>
      <c r="AE982" s="196"/>
    </row>
    <row r="983" ht="15.75" customHeight="1">
      <c r="C983" s="492"/>
      <c r="AB983" s="196"/>
      <c r="AC983" s="196"/>
      <c r="AD983" s="196"/>
      <c r="AE983" s="196"/>
    </row>
    <row r="984" ht="15.75" customHeight="1">
      <c r="C984" s="492"/>
      <c r="AB984" s="196"/>
      <c r="AC984" s="196"/>
      <c r="AD984" s="196"/>
      <c r="AE984" s="196"/>
    </row>
    <row r="985" ht="15.75" customHeight="1">
      <c r="C985" s="492"/>
      <c r="AB985" s="196"/>
      <c r="AC985" s="196"/>
      <c r="AD985" s="196"/>
      <c r="AE985" s="196"/>
    </row>
    <row r="986" ht="15.75" customHeight="1">
      <c r="C986" s="492"/>
      <c r="AB986" s="196"/>
      <c r="AC986" s="196"/>
      <c r="AD986" s="196"/>
      <c r="AE986" s="196"/>
    </row>
    <row r="987" ht="15.75" customHeight="1">
      <c r="C987" s="492"/>
      <c r="AB987" s="196"/>
      <c r="AC987" s="196"/>
      <c r="AD987" s="196"/>
      <c r="AE987" s="196"/>
    </row>
    <row r="988" ht="15.75" customHeight="1">
      <c r="C988" s="492"/>
      <c r="AB988" s="196"/>
      <c r="AC988" s="196"/>
      <c r="AD988" s="196"/>
      <c r="AE988" s="196"/>
    </row>
    <row r="989" ht="15.75" customHeight="1">
      <c r="C989" s="492"/>
      <c r="AB989" s="196"/>
      <c r="AC989" s="196"/>
      <c r="AD989" s="196"/>
      <c r="AE989" s="196"/>
    </row>
    <row r="990" ht="15.75" customHeight="1">
      <c r="C990" s="492"/>
      <c r="AB990" s="196"/>
      <c r="AC990" s="196"/>
      <c r="AD990" s="196"/>
      <c r="AE990" s="196"/>
    </row>
    <row r="991" ht="15.75" customHeight="1">
      <c r="C991" s="492"/>
      <c r="AB991" s="196"/>
      <c r="AC991" s="196"/>
      <c r="AD991" s="196"/>
      <c r="AE991" s="196"/>
    </row>
    <row r="992" ht="15.75" customHeight="1">
      <c r="C992" s="492"/>
      <c r="AB992" s="196"/>
      <c r="AC992" s="196"/>
      <c r="AD992" s="196"/>
      <c r="AE992" s="196"/>
    </row>
    <row r="993" ht="15.75" customHeight="1">
      <c r="C993" s="492"/>
      <c r="AB993" s="196"/>
      <c r="AC993" s="196"/>
      <c r="AD993" s="196"/>
      <c r="AE993" s="196"/>
    </row>
    <row r="994" ht="15.75" customHeight="1">
      <c r="C994" s="492"/>
      <c r="AB994" s="196"/>
      <c r="AC994" s="196"/>
      <c r="AD994" s="196"/>
      <c r="AE994" s="196"/>
    </row>
    <row r="995" ht="15.75" customHeight="1">
      <c r="C995" s="492"/>
      <c r="AB995" s="196"/>
      <c r="AC995" s="196"/>
      <c r="AD995" s="196"/>
      <c r="AE995" s="196"/>
    </row>
    <row r="996" ht="15.75" customHeight="1">
      <c r="C996" s="492"/>
      <c r="AB996" s="196"/>
      <c r="AC996" s="196"/>
      <c r="AD996" s="196"/>
      <c r="AE996" s="196"/>
    </row>
    <row r="997" ht="15.75" customHeight="1">
      <c r="C997" s="492"/>
      <c r="AB997" s="196"/>
      <c r="AC997" s="196"/>
      <c r="AD997" s="196"/>
      <c r="AE997" s="196"/>
    </row>
    <row r="998" ht="15.75" customHeight="1">
      <c r="C998" s="492"/>
      <c r="AB998" s="196"/>
      <c r="AC998" s="196"/>
      <c r="AD998" s="196"/>
      <c r="AE998" s="196"/>
    </row>
    <row r="999" ht="15.75" customHeight="1">
      <c r="C999" s="492"/>
      <c r="AB999" s="196"/>
      <c r="AC999" s="196"/>
      <c r="AD999" s="196"/>
      <c r="AE999" s="196"/>
    </row>
    <row r="1000" ht="15.75" customHeight="1">
      <c r="C1000" s="492"/>
      <c r="AB1000" s="196"/>
      <c r="AC1000" s="196"/>
      <c r="AD1000" s="196"/>
      <c r="AE1000" s="196"/>
    </row>
    <row r="1001" ht="15.75" customHeight="1">
      <c r="C1001" s="492"/>
      <c r="AB1001" s="196"/>
      <c r="AC1001" s="196"/>
      <c r="AD1001" s="196"/>
      <c r="AE1001" s="196"/>
    </row>
    <row r="1002" ht="15.75" customHeight="1">
      <c r="C1002" s="492"/>
      <c r="AB1002" s="196"/>
      <c r="AC1002" s="196"/>
      <c r="AD1002" s="196"/>
      <c r="AE1002" s="196"/>
    </row>
    <row r="1003" ht="15.75" customHeight="1">
      <c r="C1003" s="492"/>
      <c r="AB1003" s="196"/>
      <c r="AC1003" s="196"/>
      <c r="AD1003" s="196"/>
      <c r="AE1003" s="196"/>
    </row>
    <row r="1004" ht="15.75" customHeight="1">
      <c r="C1004" s="492"/>
      <c r="AB1004" s="196"/>
      <c r="AC1004" s="196"/>
      <c r="AD1004" s="196"/>
      <c r="AE1004" s="196"/>
    </row>
    <row r="1005" ht="15.75" customHeight="1">
      <c r="C1005" s="492"/>
      <c r="AB1005" s="196"/>
      <c r="AC1005" s="196"/>
      <c r="AD1005" s="196"/>
      <c r="AE1005" s="196"/>
    </row>
    <row r="1006" ht="15.75" customHeight="1">
      <c r="C1006" s="492"/>
      <c r="AB1006" s="196"/>
      <c r="AC1006" s="196"/>
      <c r="AD1006" s="196"/>
      <c r="AE1006" s="196"/>
    </row>
    <row r="1007" ht="15.75" customHeight="1">
      <c r="C1007" s="492"/>
      <c r="AB1007" s="196"/>
      <c r="AC1007" s="196"/>
      <c r="AD1007" s="196"/>
      <c r="AE1007" s="196"/>
    </row>
    <row r="1008" ht="15.75" customHeight="1">
      <c r="C1008" s="492"/>
      <c r="AB1008" s="196"/>
      <c r="AC1008" s="196"/>
      <c r="AD1008" s="196"/>
      <c r="AE1008" s="196"/>
    </row>
    <row r="1009" ht="15.75" customHeight="1">
      <c r="C1009" s="492"/>
      <c r="AB1009" s="196"/>
      <c r="AC1009" s="196"/>
      <c r="AD1009" s="196"/>
      <c r="AE1009" s="196"/>
    </row>
    <row r="1010" ht="15.75" customHeight="1">
      <c r="C1010" s="492"/>
      <c r="AB1010" s="196"/>
      <c r="AC1010" s="196"/>
      <c r="AD1010" s="196"/>
      <c r="AE1010" s="196"/>
    </row>
    <row r="1011" ht="15.75" customHeight="1">
      <c r="C1011" s="492"/>
      <c r="AB1011" s="196"/>
      <c r="AC1011" s="196"/>
      <c r="AD1011" s="196"/>
      <c r="AE1011" s="196"/>
    </row>
    <row r="1012" ht="15.75" customHeight="1">
      <c r="C1012" s="492"/>
      <c r="AB1012" s="196"/>
      <c r="AC1012" s="196"/>
      <c r="AD1012" s="196"/>
      <c r="AE1012" s="196"/>
    </row>
    <row r="1013" ht="15.75" customHeight="1">
      <c r="C1013" s="492"/>
      <c r="AB1013" s="196"/>
      <c r="AC1013" s="196"/>
      <c r="AD1013" s="196"/>
      <c r="AE1013" s="196"/>
    </row>
    <row r="1014" ht="15.75" customHeight="1">
      <c r="C1014" s="492"/>
      <c r="AB1014" s="196"/>
      <c r="AC1014" s="196"/>
      <c r="AD1014" s="196"/>
      <c r="AE1014" s="196"/>
    </row>
    <row r="1015" ht="15.75" customHeight="1">
      <c r="C1015" s="492"/>
      <c r="AB1015" s="196"/>
      <c r="AC1015" s="196"/>
      <c r="AD1015" s="196"/>
      <c r="AE1015" s="196"/>
    </row>
    <row r="1016" ht="15.75" customHeight="1">
      <c r="C1016" s="492"/>
      <c r="AB1016" s="196"/>
      <c r="AC1016" s="196"/>
      <c r="AD1016" s="196"/>
      <c r="AE1016" s="196"/>
    </row>
    <row r="1017" ht="15.75" customHeight="1">
      <c r="C1017" s="492"/>
      <c r="AB1017" s="196"/>
      <c r="AC1017" s="196"/>
      <c r="AD1017" s="196"/>
      <c r="AE1017" s="196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</mergeCells>
  <dataValidations>
    <dataValidation type="list" allowBlank="1" sqref="C15:AD15">
      <formula1>"POSITIVO,NEGATIVO,N/E"</formula1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2" width="8.86"/>
    <col customWidth="1" min="23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493"/>
      <c r="EL2" s="493"/>
      <c r="EM2" s="493"/>
      <c r="EN2" s="493"/>
      <c r="EO2" s="493"/>
      <c r="EP2" s="493"/>
      <c r="EQ2" s="493"/>
      <c r="ER2" s="493"/>
      <c r="ES2" s="493"/>
      <c r="ET2" s="493"/>
      <c r="EU2" s="493"/>
      <c r="EV2" s="493"/>
      <c r="EW2" s="493"/>
      <c r="EX2" s="493"/>
      <c r="EY2" s="493"/>
      <c r="EZ2" s="493"/>
      <c r="FA2" s="493"/>
      <c r="FB2" s="493"/>
      <c r="FC2" s="493"/>
      <c r="FD2" s="493"/>
      <c r="FE2" s="493"/>
      <c r="FF2" s="493"/>
      <c r="FG2" s="493"/>
      <c r="FH2" s="493"/>
      <c r="FI2" s="493"/>
      <c r="FJ2" s="493"/>
      <c r="FK2" s="493"/>
      <c r="FL2" s="493"/>
      <c r="FM2" s="493"/>
      <c r="FN2" s="493"/>
      <c r="FO2" s="493"/>
      <c r="FP2" s="493"/>
      <c r="FQ2" s="494" t="s">
        <v>228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494" t="s">
        <v>228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495" t="s">
        <v>228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496" t="s">
        <v>229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493"/>
      <c r="EL3" s="493"/>
      <c r="EM3" s="493"/>
      <c r="EN3" s="493"/>
      <c r="EO3" s="493"/>
      <c r="EP3" s="493"/>
      <c r="EQ3" s="493"/>
      <c r="ER3" s="493"/>
      <c r="ES3" s="493"/>
      <c r="ET3" s="493"/>
      <c r="EU3" s="493"/>
      <c r="EV3" s="493"/>
      <c r="EW3" s="493"/>
      <c r="EX3" s="493"/>
      <c r="EY3" s="493"/>
      <c r="EZ3" s="493"/>
      <c r="FA3" s="493"/>
      <c r="FB3" s="493"/>
      <c r="FC3" s="493"/>
      <c r="FD3" s="493"/>
      <c r="FE3" s="493"/>
      <c r="FF3" s="493"/>
      <c r="FG3" s="493"/>
      <c r="FH3" s="493"/>
      <c r="FI3" s="493"/>
      <c r="FJ3" s="493"/>
      <c r="FK3" s="493"/>
      <c r="FL3" s="493"/>
      <c r="FM3" s="493"/>
      <c r="FN3" s="493"/>
      <c r="FO3" s="493"/>
      <c r="FP3" s="493"/>
      <c r="FQ3" s="296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296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296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497" t="s">
        <v>230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9"/>
      <c r="Z4" s="498" t="s">
        <v>231</v>
      </c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9"/>
      <c r="BE4" s="499" t="s">
        <v>232</v>
      </c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9"/>
      <c r="BT4" s="500" t="s">
        <v>59</v>
      </c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9"/>
      <c r="CH4" s="501" t="s">
        <v>82</v>
      </c>
      <c r="CI4" s="138"/>
      <c r="CJ4" s="138"/>
      <c r="CK4" s="138"/>
      <c r="CL4" s="138"/>
      <c r="CM4" s="138"/>
      <c r="CN4" s="138"/>
      <c r="CO4" s="138"/>
      <c r="CP4" s="139"/>
      <c r="CQ4" s="502" t="s">
        <v>233</v>
      </c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9"/>
      <c r="DE4" s="503" t="s">
        <v>234</v>
      </c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9"/>
      <c r="DS4" s="504" t="s">
        <v>235</v>
      </c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9"/>
      <c r="EK4" s="505" t="s">
        <v>236</v>
      </c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506" t="s">
        <v>106</v>
      </c>
      <c r="FO4" s="138"/>
      <c r="FP4" s="139"/>
      <c r="FQ4" s="503" t="s">
        <v>237</v>
      </c>
      <c r="FR4" s="138"/>
      <c r="FS4" s="138"/>
      <c r="FT4" s="138"/>
      <c r="FU4" s="139"/>
      <c r="FV4" s="497" t="s">
        <v>238</v>
      </c>
      <c r="FW4" s="138"/>
      <c r="FX4" s="138"/>
      <c r="FY4" s="138"/>
      <c r="FZ4" s="139"/>
      <c r="GA4" s="504" t="s">
        <v>239</v>
      </c>
      <c r="GB4" s="138"/>
      <c r="GC4" s="138"/>
      <c r="GD4" s="138"/>
      <c r="GE4" s="139"/>
      <c r="GF4" s="498" t="s">
        <v>240</v>
      </c>
      <c r="GG4" s="138"/>
      <c r="GH4" s="138"/>
      <c r="GI4" s="138"/>
      <c r="GJ4" s="139"/>
      <c r="GK4" s="507" t="s">
        <v>241</v>
      </c>
      <c r="GL4" s="138"/>
      <c r="GM4" s="138"/>
      <c r="GN4" s="138"/>
      <c r="GO4" s="139"/>
      <c r="GP4" s="506" t="s">
        <v>242</v>
      </c>
      <c r="GQ4" s="138"/>
      <c r="GR4" s="138"/>
      <c r="GS4" s="138"/>
      <c r="GT4" s="139"/>
      <c r="GU4" s="508" t="s">
        <v>243</v>
      </c>
      <c r="GV4" s="138"/>
      <c r="GW4" s="138"/>
      <c r="GX4" s="138"/>
      <c r="GY4" s="139"/>
      <c r="GZ4" s="509" t="s">
        <v>244</v>
      </c>
      <c r="HA4" s="138"/>
      <c r="HB4" s="138"/>
      <c r="HC4" s="138"/>
      <c r="HD4" s="139"/>
      <c r="HE4" s="505" t="s">
        <v>245</v>
      </c>
      <c r="HF4" s="138"/>
      <c r="HG4" s="138"/>
      <c r="HH4" s="138"/>
      <c r="HI4" s="139"/>
      <c r="HJ4" s="504" t="s">
        <v>246</v>
      </c>
      <c r="HK4" s="138"/>
      <c r="HL4" s="138"/>
      <c r="HM4" s="138"/>
      <c r="HN4" s="139"/>
      <c r="HO4" s="509" t="s">
        <v>247</v>
      </c>
      <c r="HP4" s="138"/>
      <c r="HQ4" s="138"/>
      <c r="HR4" s="138"/>
      <c r="HS4" s="139"/>
      <c r="HT4" s="506" t="s">
        <v>181</v>
      </c>
      <c r="HU4" s="138"/>
      <c r="HV4" s="138"/>
      <c r="HW4" s="138"/>
      <c r="HX4" s="139"/>
      <c r="HY4" s="510" t="s">
        <v>248</v>
      </c>
      <c r="HZ4" s="138"/>
      <c r="IA4" s="138"/>
      <c r="IB4" s="138"/>
      <c r="IC4" s="139"/>
      <c r="ID4" s="511" t="s">
        <v>249</v>
      </c>
      <c r="IE4" s="138"/>
      <c r="IF4" s="138"/>
      <c r="IG4" s="138"/>
      <c r="IH4" s="139"/>
      <c r="II4" s="501" t="s">
        <v>250</v>
      </c>
      <c r="IJ4" s="138"/>
      <c r="IK4" s="138"/>
      <c r="IL4" s="138"/>
      <c r="IM4" s="139"/>
      <c r="IN4" s="512" t="s">
        <v>251</v>
      </c>
      <c r="IO4" s="138"/>
      <c r="IP4" s="138"/>
      <c r="IQ4" s="138"/>
      <c r="IR4" s="139"/>
      <c r="IS4" s="513" t="s">
        <v>252</v>
      </c>
      <c r="IT4" s="138"/>
      <c r="IU4" s="138"/>
      <c r="IV4" s="138"/>
      <c r="IW4" s="139"/>
      <c r="IX4" s="513" t="s">
        <v>253</v>
      </c>
      <c r="IY4" s="138"/>
      <c r="IZ4" s="138"/>
      <c r="JA4" s="138"/>
      <c r="JB4" s="139"/>
      <c r="JC4" s="497" t="s">
        <v>195</v>
      </c>
      <c r="JD4" s="138"/>
      <c r="JE4" s="138"/>
      <c r="JF4" s="138"/>
      <c r="JG4" s="139"/>
      <c r="JH4" s="510" t="s">
        <v>254</v>
      </c>
      <c r="JI4" s="138"/>
      <c r="JJ4" s="138"/>
      <c r="JK4" s="138"/>
      <c r="JL4" s="139"/>
      <c r="JM4" s="506" t="s">
        <v>255</v>
      </c>
      <c r="JN4" s="138"/>
      <c r="JO4" s="138"/>
      <c r="JP4" s="138"/>
      <c r="JQ4" s="139"/>
      <c r="JR4" s="509" t="s">
        <v>175</v>
      </c>
      <c r="JS4" s="138"/>
      <c r="JT4" s="138"/>
      <c r="JU4" s="138"/>
      <c r="JV4" s="139"/>
      <c r="JW4" s="507" t="s">
        <v>176</v>
      </c>
      <c r="JX4" s="138"/>
      <c r="JY4" s="138"/>
      <c r="JZ4" s="138"/>
      <c r="KA4" s="139"/>
      <c r="KB4" s="505" t="s">
        <v>256</v>
      </c>
      <c r="KC4" s="138"/>
      <c r="KD4" s="138"/>
      <c r="KE4" s="138"/>
      <c r="KF4" s="139"/>
      <c r="KG4" s="511" t="s">
        <v>257</v>
      </c>
      <c r="KH4" s="138"/>
      <c r="KI4" s="138"/>
      <c r="KJ4" s="138"/>
      <c r="KK4" s="139"/>
      <c r="KL4" s="511" t="s">
        <v>142</v>
      </c>
      <c r="KM4" s="138"/>
      <c r="KN4" s="138"/>
      <c r="KO4" s="138"/>
      <c r="KP4" s="139"/>
      <c r="KQ4" s="511" t="s">
        <v>141</v>
      </c>
      <c r="KR4" s="138"/>
      <c r="KS4" s="138"/>
      <c r="KT4" s="138"/>
      <c r="KU4" s="139"/>
      <c r="KV4" s="511" t="s">
        <v>147</v>
      </c>
      <c r="KW4" s="138"/>
      <c r="KX4" s="138"/>
      <c r="KY4" s="138"/>
      <c r="KZ4" s="139"/>
      <c r="LA4" s="511" t="s">
        <v>124</v>
      </c>
      <c r="LB4" s="138"/>
      <c r="LC4" s="138"/>
      <c r="LD4" s="138"/>
      <c r="LE4" s="139"/>
      <c r="LF4" s="511" t="s">
        <v>258</v>
      </c>
      <c r="LG4" s="138"/>
      <c r="LH4" s="138"/>
      <c r="LI4" s="138"/>
      <c r="LJ4" s="139"/>
      <c r="LK4" s="514" t="s">
        <v>259</v>
      </c>
      <c r="LL4" s="138"/>
      <c r="LM4" s="138"/>
      <c r="LN4" s="138"/>
      <c r="LO4" s="139"/>
      <c r="LP4" s="515" t="s">
        <v>260</v>
      </c>
      <c r="LQ4" s="516"/>
    </row>
    <row r="5" ht="42.0" customHeight="1">
      <c r="A5" s="517" t="s">
        <v>261</v>
      </c>
      <c r="B5" s="518" t="s">
        <v>262</v>
      </c>
      <c r="C5" s="518" t="s">
        <v>263</v>
      </c>
      <c r="D5" s="518" t="s">
        <v>264</v>
      </c>
      <c r="E5" s="518" t="s">
        <v>265</v>
      </c>
      <c r="F5" s="518" t="s">
        <v>14</v>
      </c>
      <c r="G5" s="518" t="s">
        <v>266</v>
      </c>
      <c r="H5" s="518" t="s">
        <v>17</v>
      </c>
      <c r="I5" s="518" t="s">
        <v>9</v>
      </c>
      <c r="J5" s="518" t="s">
        <v>267</v>
      </c>
      <c r="K5" s="518" t="s">
        <v>268</v>
      </c>
      <c r="L5" s="518" t="s">
        <v>269</v>
      </c>
      <c r="M5" s="518" t="s">
        <v>270</v>
      </c>
      <c r="N5" s="518" t="s">
        <v>271</v>
      </c>
      <c r="O5" s="518" t="s">
        <v>272</v>
      </c>
      <c r="P5" s="518" t="s">
        <v>99</v>
      </c>
      <c r="Q5" s="518" t="s">
        <v>273</v>
      </c>
      <c r="R5" s="518" t="s">
        <v>274</v>
      </c>
      <c r="S5" s="518" t="s">
        <v>275</v>
      </c>
      <c r="T5" s="518" t="s">
        <v>276</v>
      </c>
      <c r="U5" s="518" t="s">
        <v>277</v>
      </c>
      <c r="V5" s="519" t="s">
        <v>278</v>
      </c>
      <c r="W5" s="518" t="s">
        <v>279</v>
      </c>
      <c r="X5" s="520" t="s">
        <v>18</v>
      </c>
      <c r="Y5" s="521" t="s">
        <v>280</v>
      </c>
      <c r="Z5" s="522" t="s">
        <v>281</v>
      </c>
      <c r="AA5" s="523" t="s">
        <v>282</v>
      </c>
      <c r="AB5" s="523" t="s">
        <v>283</v>
      </c>
      <c r="AC5" s="523" t="s">
        <v>284</v>
      </c>
      <c r="AD5" s="523" t="s">
        <v>285</v>
      </c>
      <c r="AE5" s="523" t="s">
        <v>286</v>
      </c>
      <c r="AF5" s="523" t="s">
        <v>287</v>
      </c>
      <c r="AG5" s="523" t="s">
        <v>288</v>
      </c>
      <c r="AH5" s="523" t="s">
        <v>289</v>
      </c>
      <c r="AI5" s="523" t="s">
        <v>47</v>
      </c>
      <c r="AJ5" s="523" t="s">
        <v>290</v>
      </c>
      <c r="AK5" s="524" t="s">
        <v>291</v>
      </c>
      <c r="AL5" s="524" t="s">
        <v>292</v>
      </c>
      <c r="AM5" s="524" t="s">
        <v>293</v>
      </c>
      <c r="AN5" s="524" t="s">
        <v>294</v>
      </c>
      <c r="AO5" s="524" t="s">
        <v>295</v>
      </c>
      <c r="AP5" s="524" t="s">
        <v>296</v>
      </c>
      <c r="AQ5" s="524" t="s">
        <v>297</v>
      </c>
      <c r="AR5" s="524" t="s">
        <v>298</v>
      </c>
      <c r="AS5" s="524" t="s">
        <v>299</v>
      </c>
      <c r="AT5" s="524" t="s">
        <v>300</v>
      </c>
      <c r="AU5" s="524" t="s">
        <v>301</v>
      </c>
      <c r="AV5" s="524" t="s">
        <v>302</v>
      </c>
      <c r="AW5" s="524" t="s">
        <v>303</v>
      </c>
      <c r="AX5" s="524" t="s">
        <v>304</v>
      </c>
      <c r="AY5" s="524" t="s">
        <v>305</v>
      </c>
      <c r="AZ5" s="523" t="s">
        <v>306</v>
      </c>
      <c r="BA5" s="523" t="s">
        <v>307</v>
      </c>
      <c r="BB5" s="523" t="s">
        <v>308</v>
      </c>
      <c r="BC5" s="523" t="s">
        <v>309</v>
      </c>
      <c r="BD5" s="525" t="s">
        <v>310</v>
      </c>
      <c r="BE5" s="526" t="s">
        <v>311</v>
      </c>
      <c r="BF5" s="527" t="s">
        <v>312</v>
      </c>
      <c r="BG5" s="527" t="s">
        <v>313</v>
      </c>
      <c r="BH5" s="527" t="s">
        <v>314</v>
      </c>
      <c r="BI5" s="528" t="s">
        <v>315</v>
      </c>
      <c r="BJ5" s="527" t="s">
        <v>316</v>
      </c>
      <c r="BK5" s="527" t="s">
        <v>317</v>
      </c>
      <c r="BL5" s="527" t="s">
        <v>48</v>
      </c>
      <c r="BM5" s="527" t="s">
        <v>41</v>
      </c>
      <c r="BN5" s="527" t="s">
        <v>42</v>
      </c>
      <c r="BO5" s="527" t="s">
        <v>318</v>
      </c>
      <c r="BP5" s="528" t="s">
        <v>319</v>
      </c>
      <c r="BQ5" s="527" t="s">
        <v>50</v>
      </c>
      <c r="BR5" s="527" t="s">
        <v>320</v>
      </c>
      <c r="BS5" s="529" t="s">
        <v>321</v>
      </c>
      <c r="BT5" s="530" t="s">
        <v>322</v>
      </c>
      <c r="BU5" s="531" t="s">
        <v>323</v>
      </c>
      <c r="BV5" s="531" t="s">
        <v>324</v>
      </c>
      <c r="BW5" s="531" t="s">
        <v>325</v>
      </c>
      <c r="BX5" s="531" t="s">
        <v>62</v>
      </c>
      <c r="BY5" s="531" t="s">
        <v>66</v>
      </c>
      <c r="BZ5" s="531" t="s">
        <v>326</v>
      </c>
      <c r="CA5" s="531" t="s">
        <v>327</v>
      </c>
      <c r="CB5" s="532" t="s">
        <v>328</v>
      </c>
      <c r="CC5" s="532" t="s">
        <v>329</v>
      </c>
      <c r="CD5" s="532" t="s">
        <v>330</v>
      </c>
      <c r="CE5" s="532" t="s">
        <v>80</v>
      </c>
      <c r="CF5" s="531" t="s">
        <v>331</v>
      </c>
      <c r="CG5" s="533" t="s">
        <v>332</v>
      </c>
      <c r="CH5" s="534" t="s">
        <v>40</v>
      </c>
      <c r="CI5" s="535" t="s">
        <v>333</v>
      </c>
      <c r="CJ5" s="535" t="s">
        <v>334</v>
      </c>
      <c r="CK5" s="535" t="s">
        <v>335</v>
      </c>
      <c r="CL5" s="535" t="s">
        <v>336</v>
      </c>
      <c r="CM5" s="535" t="s">
        <v>337</v>
      </c>
      <c r="CN5" s="535" t="s">
        <v>338</v>
      </c>
      <c r="CO5" s="536" t="s">
        <v>339</v>
      </c>
      <c r="CP5" s="537" t="s">
        <v>340</v>
      </c>
      <c r="CQ5" s="538" t="s">
        <v>28</v>
      </c>
      <c r="CR5" s="539" t="s">
        <v>341</v>
      </c>
      <c r="CS5" s="539" t="s">
        <v>322</v>
      </c>
      <c r="CT5" s="539" t="s">
        <v>342</v>
      </c>
      <c r="CU5" s="539" t="s">
        <v>31</v>
      </c>
      <c r="CV5" s="539" t="s">
        <v>343</v>
      </c>
      <c r="CW5" s="539" t="s">
        <v>344</v>
      </c>
      <c r="CX5" s="539" t="s">
        <v>33</v>
      </c>
      <c r="CY5" s="539" t="s">
        <v>345</v>
      </c>
      <c r="CZ5" s="539" t="s">
        <v>322</v>
      </c>
      <c r="DA5" s="539" t="s">
        <v>342</v>
      </c>
      <c r="DB5" s="539" t="s">
        <v>31</v>
      </c>
      <c r="DC5" s="540" t="s">
        <v>343</v>
      </c>
      <c r="DD5" s="541" t="s">
        <v>346</v>
      </c>
      <c r="DE5" s="542" t="s">
        <v>28</v>
      </c>
      <c r="DF5" s="543" t="s">
        <v>46</v>
      </c>
      <c r="DG5" s="543" t="s">
        <v>322</v>
      </c>
      <c r="DH5" s="543" t="s">
        <v>342</v>
      </c>
      <c r="DI5" s="543" t="s">
        <v>31</v>
      </c>
      <c r="DJ5" s="543" t="s">
        <v>347</v>
      </c>
      <c r="DK5" s="543" t="s">
        <v>344</v>
      </c>
      <c r="DL5" s="543" t="s">
        <v>33</v>
      </c>
      <c r="DM5" s="543" t="s">
        <v>46</v>
      </c>
      <c r="DN5" s="543" t="s">
        <v>322</v>
      </c>
      <c r="DO5" s="543" t="s">
        <v>342</v>
      </c>
      <c r="DP5" s="544" t="s">
        <v>31</v>
      </c>
      <c r="DQ5" s="544" t="s">
        <v>348</v>
      </c>
      <c r="DR5" s="545" t="s">
        <v>346</v>
      </c>
      <c r="DS5" s="546" t="s">
        <v>349</v>
      </c>
      <c r="DT5" s="547" t="s">
        <v>282</v>
      </c>
      <c r="DU5" s="547" t="s">
        <v>284</v>
      </c>
      <c r="DV5" s="547" t="s">
        <v>105</v>
      </c>
      <c r="DW5" s="547" t="s">
        <v>350</v>
      </c>
      <c r="DX5" s="547" t="s">
        <v>211</v>
      </c>
      <c r="DY5" s="548" t="s">
        <v>198</v>
      </c>
      <c r="DZ5" s="547" t="s">
        <v>351</v>
      </c>
      <c r="EA5" s="547" t="s">
        <v>352</v>
      </c>
      <c r="EB5" s="548" t="s">
        <v>353</v>
      </c>
      <c r="EC5" s="548" t="s">
        <v>106</v>
      </c>
      <c r="ED5" s="547" t="s">
        <v>354</v>
      </c>
      <c r="EE5" s="547" t="s">
        <v>104</v>
      </c>
      <c r="EF5" s="547" t="s">
        <v>355</v>
      </c>
      <c r="EG5" s="547" t="s">
        <v>356</v>
      </c>
      <c r="EH5" s="547" t="s">
        <v>357</v>
      </c>
      <c r="EI5" s="547" t="s">
        <v>358</v>
      </c>
      <c r="EJ5" s="549" t="s">
        <v>359</v>
      </c>
      <c r="EK5" s="550" t="s">
        <v>360</v>
      </c>
      <c r="EL5" s="550" t="s">
        <v>128</v>
      </c>
      <c r="EM5" s="550" t="s">
        <v>361</v>
      </c>
      <c r="EN5" s="550" t="s">
        <v>129</v>
      </c>
      <c r="EO5" s="550" t="s">
        <v>215</v>
      </c>
      <c r="EP5" s="550" t="s">
        <v>362</v>
      </c>
      <c r="EQ5" s="550" t="s">
        <v>363</v>
      </c>
      <c r="ER5" s="551" t="s">
        <v>364</v>
      </c>
      <c r="ES5" s="551" t="s">
        <v>365</v>
      </c>
      <c r="ET5" s="551" t="s">
        <v>366</v>
      </c>
      <c r="EU5" s="551" t="s">
        <v>367</v>
      </c>
      <c r="EV5" s="551" t="s">
        <v>368</v>
      </c>
      <c r="EW5" s="551" t="s">
        <v>220</v>
      </c>
      <c r="EX5" s="551" t="s">
        <v>369</v>
      </c>
      <c r="EY5" s="552" t="s">
        <v>370</v>
      </c>
      <c r="EZ5" s="552" t="s">
        <v>136</v>
      </c>
      <c r="FA5" s="552" t="s">
        <v>371</v>
      </c>
      <c r="FB5" s="552" t="s">
        <v>137</v>
      </c>
      <c r="FC5" s="552" t="s">
        <v>372</v>
      </c>
      <c r="FD5" s="552" t="s">
        <v>373</v>
      </c>
      <c r="FE5" s="552" t="s">
        <v>374</v>
      </c>
      <c r="FF5" s="552" t="s">
        <v>375</v>
      </c>
      <c r="FG5" s="553" t="s">
        <v>218</v>
      </c>
      <c r="FH5" s="553" t="s">
        <v>376</v>
      </c>
      <c r="FI5" s="553" t="s">
        <v>377</v>
      </c>
      <c r="FJ5" s="553" t="s">
        <v>133</v>
      </c>
      <c r="FK5" s="554" t="s">
        <v>103</v>
      </c>
      <c r="FL5" s="554" t="s">
        <v>135</v>
      </c>
      <c r="FM5" s="554" t="s">
        <v>378</v>
      </c>
      <c r="FN5" s="555" t="s">
        <v>379</v>
      </c>
      <c r="FO5" s="555" t="s">
        <v>132</v>
      </c>
      <c r="FP5" s="556" t="s">
        <v>131</v>
      </c>
      <c r="FQ5" s="557">
        <v>1.0</v>
      </c>
      <c r="FR5" s="543">
        <v>2.0</v>
      </c>
      <c r="FS5" s="543">
        <v>3.0</v>
      </c>
      <c r="FT5" s="543">
        <v>5.0</v>
      </c>
      <c r="FU5" s="543">
        <v>7.0</v>
      </c>
      <c r="FV5" s="558">
        <v>1.0</v>
      </c>
      <c r="FW5" s="559">
        <v>2.0</v>
      </c>
      <c r="FX5" s="559">
        <v>3.0</v>
      </c>
      <c r="FY5" s="559">
        <v>5.0</v>
      </c>
      <c r="FZ5" s="559">
        <v>7.0</v>
      </c>
      <c r="GA5" s="560">
        <v>1.0</v>
      </c>
      <c r="GB5" s="561">
        <v>2.0</v>
      </c>
      <c r="GC5" s="561">
        <v>3.0</v>
      </c>
      <c r="GD5" s="561">
        <v>5.0</v>
      </c>
      <c r="GE5" s="561">
        <v>7.0</v>
      </c>
      <c r="GF5" s="562">
        <v>1.0</v>
      </c>
      <c r="GG5" s="563">
        <v>2.0</v>
      </c>
      <c r="GH5" s="563">
        <v>3.0</v>
      </c>
      <c r="GI5" s="563">
        <v>5.0</v>
      </c>
      <c r="GJ5" s="563">
        <v>7.0</v>
      </c>
      <c r="GK5" s="564">
        <v>1.0</v>
      </c>
      <c r="GL5" s="565">
        <v>2.0</v>
      </c>
      <c r="GM5" s="565">
        <v>3.0</v>
      </c>
      <c r="GN5" s="565">
        <v>5.0</v>
      </c>
      <c r="GO5" s="565">
        <v>7.0</v>
      </c>
      <c r="GP5" s="566">
        <v>1.0</v>
      </c>
      <c r="GQ5" s="567">
        <v>2.0</v>
      </c>
      <c r="GR5" s="567">
        <v>3.0</v>
      </c>
      <c r="GS5" s="567">
        <v>5.0</v>
      </c>
      <c r="GT5" s="567">
        <v>7.0</v>
      </c>
      <c r="GU5" s="568">
        <v>1.0</v>
      </c>
      <c r="GV5" s="569">
        <v>2.0</v>
      </c>
      <c r="GW5" s="569">
        <v>3.0</v>
      </c>
      <c r="GX5" s="569">
        <v>5.0</v>
      </c>
      <c r="GY5" s="569">
        <v>7.0</v>
      </c>
      <c r="GZ5" s="538">
        <v>1.0</v>
      </c>
      <c r="HA5" s="539">
        <v>2.0</v>
      </c>
      <c r="HB5" s="539">
        <v>3.0</v>
      </c>
      <c r="HC5" s="539">
        <v>5.0</v>
      </c>
      <c r="HD5" s="539">
        <v>7.0</v>
      </c>
      <c r="HE5" s="558">
        <v>1.0</v>
      </c>
      <c r="HF5" s="559">
        <v>2.0</v>
      </c>
      <c r="HG5" s="559">
        <v>3.0</v>
      </c>
      <c r="HH5" s="559">
        <v>5.0</v>
      </c>
      <c r="HI5" s="559">
        <v>7.0</v>
      </c>
      <c r="HJ5" s="564">
        <v>1.0</v>
      </c>
      <c r="HK5" s="565">
        <v>2.0</v>
      </c>
      <c r="HL5" s="565">
        <v>3.0</v>
      </c>
      <c r="HM5" s="565">
        <v>5.0</v>
      </c>
      <c r="HN5" s="565">
        <v>7.0</v>
      </c>
      <c r="HO5" s="570">
        <v>1.0</v>
      </c>
      <c r="HP5" s="539">
        <v>2.0</v>
      </c>
      <c r="HQ5" s="539">
        <v>3.0</v>
      </c>
      <c r="HR5" s="539">
        <v>5.0</v>
      </c>
      <c r="HS5" s="539">
        <v>7.0</v>
      </c>
      <c r="HT5" s="571">
        <v>1.0</v>
      </c>
      <c r="HU5" s="572">
        <v>2.0</v>
      </c>
      <c r="HV5" s="572">
        <v>3.0</v>
      </c>
      <c r="HW5" s="572">
        <v>5.0</v>
      </c>
      <c r="HX5" s="573">
        <v>7.0</v>
      </c>
      <c r="HY5" s="574">
        <v>1.0</v>
      </c>
      <c r="HZ5" s="575">
        <v>2.0</v>
      </c>
      <c r="IA5" s="575">
        <v>3.0</v>
      </c>
      <c r="IB5" s="575">
        <v>5.0</v>
      </c>
      <c r="IC5" s="576">
        <v>7.0</v>
      </c>
      <c r="ID5" s="577">
        <v>1.0</v>
      </c>
      <c r="IE5" s="578">
        <v>2.0</v>
      </c>
      <c r="IF5" s="578">
        <v>3.0</v>
      </c>
      <c r="IG5" s="578">
        <v>5.0</v>
      </c>
      <c r="IH5" s="579">
        <v>7.0</v>
      </c>
      <c r="II5" s="542">
        <v>1.0</v>
      </c>
      <c r="IJ5" s="543">
        <v>2.0</v>
      </c>
      <c r="IK5" s="543">
        <v>3.0</v>
      </c>
      <c r="IL5" s="543">
        <v>5.0</v>
      </c>
      <c r="IM5" s="545">
        <v>7.0</v>
      </c>
      <c r="IN5" s="571">
        <v>1.0</v>
      </c>
      <c r="IO5" s="572">
        <v>2.0</v>
      </c>
      <c r="IP5" s="572">
        <v>3.0</v>
      </c>
      <c r="IQ5" s="572">
        <v>5.0</v>
      </c>
      <c r="IR5" s="572">
        <v>7.0</v>
      </c>
      <c r="IS5" s="571">
        <v>1.0</v>
      </c>
      <c r="IT5" s="572">
        <v>2.0</v>
      </c>
      <c r="IU5" s="572">
        <v>3.0</v>
      </c>
      <c r="IV5" s="572">
        <v>5.0</v>
      </c>
      <c r="IW5" s="572">
        <v>7.0</v>
      </c>
      <c r="IX5" s="571">
        <v>1.0</v>
      </c>
      <c r="IY5" s="572">
        <v>2.0</v>
      </c>
      <c r="IZ5" s="572">
        <v>3.0</v>
      </c>
      <c r="JA5" s="572">
        <v>5.0</v>
      </c>
      <c r="JB5" s="572">
        <v>7.0</v>
      </c>
      <c r="JC5" s="580">
        <v>1.0</v>
      </c>
      <c r="JD5" s="559">
        <v>2.0</v>
      </c>
      <c r="JE5" s="559">
        <v>3.0</v>
      </c>
      <c r="JF5" s="559">
        <v>5.0</v>
      </c>
      <c r="JG5" s="559">
        <v>7.0</v>
      </c>
      <c r="JH5" s="581">
        <v>1.0</v>
      </c>
      <c r="JI5" s="575">
        <v>2.0</v>
      </c>
      <c r="JJ5" s="575">
        <v>3.0</v>
      </c>
      <c r="JK5" s="575">
        <v>5.0</v>
      </c>
      <c r="JL5" s="575">
        <v>7.0</v>
      </c>
      <c r="JM5" s="582">
        <v>1.0</v>
      </c>
      <c r="JN5" s="567">
        <v>2.0</v>
      </c>
      <c r="JO5" s="567">
        <v>3.0</v>
      </c>
      <c r="JP5" s="567">
        <v>5.0</v>
      </c>
      <c r="JQ5" s="567">
        <v>7.0</v>
      </c>
      <c r="JR5" s="583">
        <v>1.0</v>
      </c>
      <c r="JS5" s="584">
        <v>2.0</v>
      </c>
      <c r="JT5" s="584">
        <v>3.0</v>
      </c>
      <c r="JU5" s="584">
        <v>5.0</v>
      </c>
      <c r="JV5" s="584">
        <v>7.0</v>
      </c>
      <c r="JW5" s="585">
        <v>1.0</v>
      </c>
      <c r="JX5" s="565">
        <v>2.0</v>
      </c>
      <c r="JY5" s="565">
        <v>3.0</v>
      </c>
      <c r="JZ5" s="565">
        <v>5.0</v>
      </c>
      <c r="KA5" s="586">
        <v>7.0</v>
      </c>
      <c r="KB5" s="558">
        <v>1.0</v>
      </c>
      <c r="KC5" s="559">
        <v>2.0</v>
      </c>
      <c r="KD5" s="559">
        <v>3.0</v>
      </c>
      <c r="KE5" s="559">
        <v>5.0</v>
      </c>
      <c r="KF5" s="587">
        <v>7.0</v>
      </c>
      <c r="KG5" s="588">
        <v>1.0</v>
      </c>
      <c r="KH5" s="577">
        <v>2.0</v>
      </c>
      <c r="KI5" s="577">
        <v>3.0</v>
      </c>
      <c r="KJ5" s="577">
        <v>5.0</v>
      </c>
      <c r="KK5" s="589">
        <v>7.0</v>
      </c>
      <c r="KL5" s="588">
        <v>1.0</v>
      </c>
      <c r="KM5" s="577">
        <v>2.0</v>
      </c>
      <c r="KN5" s="577">
        <v>3.0</v>
      </c>
      <c r="KO5" s="577">
        <v>5.0</v>
      </c>
      <c r="KP5" s="590">
        <v>7.0</v>
      </c>
      <c r="KQ5" s="577">
        <v>1.0</v>
      </c>
      <c r="KR5" s="577">
        <v>2.0</v>
      </c>
      <c r="KS5" s="577">
        <v>3.0</v>
      </c>
      <c r="KT5" s="577">
        <v>5.0</v>
      </c>
      <c r="KU5" s="579">
        <v>7.0</v>
      </c>
      <c r="KV5" s="588">
        <v>1.0</v>
      </c>
      <c r="KW5" s="578">
        <v>2.0</v>
      </c>
      <c r="KX5" s="578">
        <v>3.0</v>
      </c>
      <c r="KY5" s="578">
        <v>5.0</v>
      </c>
      <c r="KZ5" s="591">
        <v>7.0</v>
      </c>
      <c r="LA5" s="577">
        <v>1.0</v>
      </c>
      <c r="LB5" s="578">
        <v>2.0</v>
      </c>
      <c r="LC5" s="578">
        <v>3.0</v>
      </c>
      <c r="LD5" s="578">
        <v>5.0</v>
      </c>
      <c r="LE5" s="579">
        <v>7.0</v>
      </c>
      <c r="LF5" s="588">
        <v>1.0</v>
      </c>
      <c r="LG5" s="578">
        <v>2.0</v>
      </c>
      <c r="LH5" s="578">
        <v>3.0</v>
      </c>
      <c r="LI5" s="578">
        <v>5.0</v>
      </c>
      <c r="LJ5" s="591">
        <v>7.0</v>
      </c>
      <c r="LK5" s="577">
        <v>1.0</v>
      </c>
      <c r="LL5" s="578">
        <v>2.0</v>
      </c>
      <c r="LM5" s="578">
        <v>3.0</v>
      </c>
      <c r="LN5" s="578">
        <v>5.0</v>
      </c>
      <c r="LO5" s="578">
        <v>7.0</v>
      </c>
      <c r="LP5" s="592"/>
      <c r="LQ5" s="593"/>
    </row>
    <row r="6">
      <c r="A6" s="28">
        <f>+General!D3</f>
        <v>167288</v>
      </c>
      <c r="B6" s="28" t="str">
        <f>+General!B4</f>
        <v>Garcia Atilio Daniel</v>
      </c>
      <c r="C6" s="28">
        <f>+General!B5</f>
        <v>50</v>
      </c>
      <c r="D6" s="28" t="str">
        <f>+General!D5</f>
        <v>Hombre</v>
      </c>
      <c r="E6" s="594">
        <f>+General!B6</f>
        <v>175</v>
      </c>
      <c r="F6" s="28">
        <f>+General!G5</f>
        <v>80</v>
      </c>
      <c r="H6" s="594">
        <f>+General!D6</f>
        <v>70.566</v>
      </c>
      <c r="I6" s="595">
        <f>+General!G4</f>
        <v>44303</v>
      </c>
      <c r="J6" s="596">
        <f>+General!D38</f>
        <v>44336</v>
      </c>
      <c r="K6" s="28" t="str">
        <f>+General!B38</f>
        <v>VIVO</v>
      </c>
      <c r="L6" s="28" t="str">
        <f>+General!J38</f>
        <v>PISO</v>
      </c>
      <c r="M6" s="595">
        <f>+General!G3</f>
        <v>44298</v>
      </c>
      <c r="P6" s="28" t="str">
        <f>+General!B39</f>
        <v>NO</v>
      </c>
      <c r="Q6" s="28">
        <f>+General!I5</f>
        <v>29</v>
      </c>
      <c r="R6" s="28">
        <f>+General!J5</f>
        <v>9.6</v>
      </c>
      <c r="S6" s="28">
        <f>+General!I4</f>
        <v>16</v>
      </c>
      <c r="T6" s="28">
        <f>+General!J4</f>
        <v>23.4</v>
      </c>
      <c r="W6" s="28">
        <f>+General!J6</f>
        <v>0</v>
      </c>
      <c r="X6" s="28" t="str">
        <f>+General!G6</f>
        <v>MÉDICO</v>
      </c>
      <c r="Y6" s="28" t="str">
        <f>+General!B10</f>
        <v>COVID</v>
      </c>
      <c r="Z6" s="28" t="str">
        <f>+General!B7</f>
        <v/>
      </c>
      <c r="AA6" s="28" t="str">
        <f>+General!C7</f>
        <v/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597">
        <f>+General!B22</f>
        <v>44304</v>
      </c>
      <c r="BF6" s="597">
        <f>+General!H22</f>
        <v>44304</v>
      </c>
      <c r="BG6" s="597">
        <f>+General!J22</f>
        <v>44330</v>
      </c>
      <c r="BH6" s="158">
        <f>IFS(OR(BF6="",BG6=""),"N/C",BG6-BF6=0,"1",AND(ISDATE(BF6),ISDATE(BG6)),BG6-BF6)</f>
        <v>26</v>
      </c>
      <c r="BJ6" s="28">
        <f>+General!H43</f>
        <v>17</v>
      </c>
      <c r="BK6" s="28" t="str">
        <f>+General!B25</f>
        <v>NMN</v>
      </c>
      <c r="BL6" s="28" t="str">
        <f>+General!F25</f>
        <v/>
      </c>
      <c r="BM6" s="28" t="str">
        <f>+General!D23</f>
        <v/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2</v>
      </c>
      <c r="BQ6" s="28" t="str">
        <f>+General!B26</f>
        <v/>
      </c>
      <c r="BR6" s="28" t="str">
        <f>+General!D26</f>
        <v/>
      </c>
      <c r="BS6" s="28" t="str">
        <f>+General!F26</f>
        <v/>
      </c>
      <c r="BT6" s="598">
        <f>+General!B29</f>
        <v>44330</v>
      </c>
      <c r="BU6" s="28" t="str">
        <f>+General!H29</f>
        <v>TQT-T</v>
      </c>
      <c r="BV6" s="28" t="str">
        <f>+General!J29</f>
        <v/>
      </c>
      <c r="BW6" s="598" t="str">
        <f>+General!D29</f>
        <v/>
      </c>
      <c r="BX6" s="28" t="str">
        <f>+General!F29</f>
        <v/>
      </c>
      <c r="BY6" s="28" t="str">
        <f>+General!B30</f>
        <v/>
      </c>
      <c r="BZ6" s="28" t="str">
        <f>+General!D30</f>
        <v/>
      </c>
      <c r="CA6" s="28" t="str">
        <f>+General!F30</f>
        <v/>
      </c>
      <c r="CB6" s="28" t="str">
        <f>+General!H30</f>
        <v/>
      </c>
      <c r="CC6" s="28" t="str">
        <f>+General!J30</f>
        <v/>
      </c>
      <c r="CD6" s="28">
        <f>+General!B33</f>
        <v>1</v>
      </c>
      <c r="CE6" s="28" t="str">
        <f>+General!F33</f>
        <v>DESTETE CORTO</v>
      </c>
      <c r="CF6" s="28" t="str">
        <f>+General!D33</f>
        <v>SIMPLE</v>
      </c>
      <c r="CG6" s="28" t="str">
        <f>+General!H38</f>
        <v>NO</v>
      </c>
      <c r="CH6" s="28" t="str">
        <f>+General!B23</f>
        <v/>
      </c>
      <c r="CI6" s="596">
        <f>+General!C35</f>
        <v>44321</v>
      </c>
      <c r="CJ6" s="28" t="str">
        <f>+General!E35</f>
        <v>Percutánea</v>
      </c>
      <c r="CK6" s="28" t="str">
        <f>+General!H35</f>
        <v/>
      </c>
      <c r="CL6" s="28" t="str">
        <f>+General!J35</f>
        <v/>
      </c>
      <c r="CM6" s="28" t="str">
        <f>+General!C36</f>
        <v>NO</v>
      </c>
      <c r="CN6" s="595" t="str">
        <f>+General!E36</f>
        <v/>
      </c>
      <c r="CR6" s="28" t="str">
        <f>+General!B19</f>
        <v/>
      </c>
      <c r="CS6" s="595" t="str">
        <f>+General!D19</f>
        <v/>
      </c>
      <c r="CT6" s="595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595" t="str">
        <f>+General!D20</f>
        <v/>
      </c>
      <c r="DA6" s="595" t="str">
        <f>+General!F20</f>
        <v/>
      </c>
      <c r="DB6" s="28" t="str">
        <f>+General!H20</f>
        <v/>
      </c>
      <c r="DC6" s="599" t="str">
        <f>+General!J20</f>
        <v/>
      </c>
      <c r="DE6" s="18" t="str">
        <f>+General!B32</f>
        <v/>
      </c>
      <c r="DG6" s="598" t="str">
        <f>+General!D32</f>
        <v/>
      </c>
      <c r="DH6" s="598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595" t="str">
        <f>+General!D31</f>
        <v/>
      </c>
      <c r="DO6" s="595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BNM</v>
      </c>
      <c r="DT6" s="28" t="str">
        <f>+General!C40</f>
        <v>SHOCK/SEPSIS</v>
      </c>
      <c r="DU6" s="28" t="str">
        <f>+General!D40</f>
        <v>SDRA</v>
      </c>
      <c r="DV6" s="28" t="str">
        <f>+General!E40</f>
        <v>DELIRIUM</v>
      </c>
      <c r="DW6" s="28" t="str">
        <f>+General!F40</f>
        <v/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VC-CMV</v>
      </c>
    </row>
    <row r="7">
      <c r="Y7" s="28" t="str">
        <f>+General!F10</f>
        <v/>
      </c>
      <c r="BK7" s="28" t="str">
        <f>+General!D25</f>
        <v/>
      </c>
      <c r="DW7" s="28" t="str">
        <f>IF(DW14&gt;0,"BNM","")</f>
        <v>BNM</v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600" t="str">
        <f>HLOOKUP("TEP",$DS$6:$EJ$6,1,0)</f>
        <v>#N/A</v>
      </c>
      <c r="DT8" s="600" t="str">
        <f>HLOOKUP("IAM",$DS$6:$EJ$6,1,0)</f>
        <v>#N/A</v>
      </c>
      <c r="DU8" s="600" t="str">
        <f>HLOOKUP("PCR",$DS$6:$EJ$6,1,0)</f>
        <v>#N/A</v>
      </c>
      <c r="DV8" s="600" t="str">
        <f>HLOOKUP("SDRA",$DS$6:$EJ$6,1,0)</f>
        <v>SDRA</v>
      </c>
      <c r="DW8" s="600" t="str">
        <f>HLOOKUP("BNM",$DS$6:$EJ$6,1,0)</f>
        <v>BNM</v>
      </c>
      <c r="DX8" s="600" t="str">
        <f>HLOOKUP("PRONO",$DS$6:$EJ$6,1,0)</f>
        <v>#N/A</v>
      </c>
      <c r="DY8" s="600" t="str">
        <f>HLOOKUP("DAUCI",$DS$6:$EJ$6,1,0)</f>
        <v>#N/A</v>
      </c>
      <c r="DZ8" s="600" t="str">
        <f>HLOOKUP("BAROTRAUMA",$DS$6:$EJ$6,1,0)</f>
        <v>#N/A</v>
      </c>
      <c r="EA8" s="600" t="str">
        <f>HLOOKUP("FMO",$DS$6:$EJ$6,1,0)</f>
        <v>#N/A</v>
      </c>
      <c r="EB8" s="600" t="str">
        <f>HLOOKUP("EOT NO PROGRAMADA",$DS$6:$EJ$6,1,0)</f>
        <v>#N/A</v>
      </c>
      <c r="EC8" s="600" t="str">
        <f>HLOOKUP("DELIRIUM",$DS$6:$EJ$6,1,0)</f>
        <v>DELIRIUM</v>
      </c>
      <c r="ED8" s="600" t="str">
        <f>HLOOKUP("PAFI&lt;200",$DS$6:$EJ$6,1,0)</f>
        <v>#N/A</v>
      </c>
      <c r="EE8" s="600" t="str">
        <f>HLOOKUP("SHOCK/SEPSIS",$DS$6:$EJ$6,1,0)</f>
        <v>SHOCK/SEPSIS</v>
      </c>
      <c r="EF8" s="600" t="str">
        <f>HLOOKUP("I RENAL",$DS$6:$EJ$6,1,0)</f>
        <v>#N/A</v>
      </c>
      <c r="EG8" s="600" t="str">
        <f>HLOOKUP("NAVM",$DS$6:$EJ$6,1,0)</f>
        <v>#N/A</v>
      </c>
      <c r="EH8" s="600" t="str">
        <f>HLOOKUP("LESIONES FACIALES",$DS$6:$EJ$6,1,0)</f>
        <v>#N/A</v>
      </c>
      <c r="EI8" s="600" t="str">
        <f>HLOOKUP("CAMBIO DE INTERFAZ POR DISCOMFORT",$DS$6:$EJ$6,1,0)</f>
        <v>#N/A</v>
      </c>
    </row>
    <row r="9">
      <c r="A9" s="492"/>
      <c r="B9" s="492"/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2"/>
      <c r="R9" s="492"/>
      <c r="S9" s="492"/>
      <c r="T9" s="492"/>
      <c r="U9" s="492"/>
      <c r="V9" s="492"/>
      <c r="W9" s="492"/>
      <c r="X9" s="492"/>
      <c r="Y9" s="492" t="str">
        <f>+General!F11</f>
        <v/>
      </c>
      <c r="Z9" s="492" t="str">
        <f>HLOOKUP("HTA",Z6:BD6,1,0)</f>
        <v>#N/A</v>
      </c>
      <c r="AA9" s="492" t="str">
        <f>HLOOKUP("IAM",$Z$6:$BD$6,1,0)</f>
        <v>#N/A</v>
      </c>
      <c r="AB9" s="492" t="str">
        <f>HLOOKUP("IC",$Z$6:$BD$6,1,0)</f>
        <v>#N/A</v>
      </c>
      <c r="AC9" s="492" t="str">
        <f>HLOOKUP("PCR",$Z$6:$BD$6,1,0)</f>
        <v>#N/A</v>
      </c>
      <c r="AD9" s="492" t="str">
        <f>HLOOKUP("EPOC",$Z$6:$BD$6,1,0)</f>
        <v>#N/A</v>
      </c>
      <c r="AE9" s="492" t="str">
        <f>HLOOKUP("TBQ",$Z$6:$BD$6,1,0)</f>
        <v>#N/A</v>
      </c>
      <c r="AF9" s="492" t="str">
        <f>HLOOKUP("ExTBQ",$Z$6:$BD$6,1,0)</f>
        <v>#N/A</v>
      </c>
      <c r="AG9" s="492" t="str">
        <f>HLOOKUP("ASMA",$Z$6:$BD$6,1,0)</f>
        <v>#N/A</v>
      </c>
      <c r="AH9" s="492" t="str">
        <f>HLOOKUP("OCD",$Z$6:$BD$6,1,0)</f>
        <v>#N/A</v>
      </c>
      <c r="AI9" s="492" t="str">
        <f>HLOOKUP("NMN",$Z$6:$BD$6,1,0)</f>
        <v>#N/A</v>
      </c>
      <c r="AJ9" s="492" t="str">
        <f>HLOOKUP("VMI PREVIA",$Z$6:$BD$6,1,0)</f>
        <v>#N/A</v>
      </c>
      <c r="AK9" s="492" t="str">
        <f>HLOOKUP("VNI DOMIC",$Z$6:$BD$6,1,0)</f>
        <v>#N/A</v>
      </c>
      <c r="AL9" s="492" t="str">
        <f>HLOOKUP("ACV",$Z$6:$BD$6,1,0)</f>
        <v>#N/A</v>
      </c>
      <c r="AM9" s="492" t="str">
        <f>HLOOKUP("TEC",$Z$6:$BD$6,1,0)</f>
        <v>#N/A</v>
      </c>
      <c r="AN9" s="492" t="str">
        <f>HLOOKUP("ANEURISMA",$Z$6:$BD$6,1,0)</f>
        <v>#N/A</v>
      </c>
      <c r="AO9" s="492" t="str">
        <f>HLOOKUP("ENF NEUROM",$Z$6:$BD$6,1,0)</f>
        <v>#N/A</v>
      </c>
      <c r="AP9" s="492" t="str">
        <f>HLOOKUP("DBT",$Z$6:$BD$6,1,0)</f>
        <v>#N/A</v>
      </c>
      <c r="AQ9" s="492" t="str">
        <f>HLOOKUP("OBESIDAD",$Z$6:$BD$6,1,0)</f>
        <v>#N/A</v>
      </c>
      <c r="AR9" s="492" t="str">
        <f>HLOOKUP("HIPOTIR",$Z$6:$BD$6,1,0)</f>
        <v>#N/A</v>
      </c>
      <c r="AS9" s="492" t="str">
        <f>HLOOKUP("HIPERTIR",$Z$6:$BD$6,1,0)</f>
        <v>#N/A</v>
      </c>
      <c r="AT9" s="492" t="str">
        <f>HLOOKUP("INSUF RENAL",$Z$6:$BD$6,1,0)</f>
        <v>#N/A</v>
      </c>
      <c r="AU9" s="492" t="str">
        <f>HLOOKUP("POP",$Z$6:$BD$6,1,0)</f>
        <v>#N/A</v>
      </c>
      <c r="AV9" s="492" t="str">
        <f>HLOOKUP("TBC",$Z$6:$BD$6,1,0)</f>
        <v>#N/A</v>
      </c>
      <c r="AW9" s="492" t="str">
        <f>HLOOKUP("HIV",$Z$6:$BD$6,1,0)</f>
        <v>#N/A</v>
      </c>
      <c r="AX9" s="492" t="str">
        <f>HLOOKUP("HEPATITIS",$Z$6:$BD$6,1,0)</f>
        <v>#N/A</v>
      </c>
      <c r="AY9" s="492" t="str">
        <f>HLOOKUP("CHAGAS",$Z$6:$BD$6,1,0)</f>
        <v>#N/A</v>
      </c>
      <c r="AZ9" s="492" t="str">
        <f>HLOOKUP("CONSUMO",$Z$6:$BD$6,1,0)</f>
        <v>#N/A</v>
      </c>
      <c r="BA9" s="492" t="str">
        <f>HLOOKUP("REUMATOLOGICOS",$Z$6:$BD$6,1,0)</f>
        <v>#N/A</v>
      </c>
      <c r="BB9" s="492" t="str">
        <f>HLOOKUP("PSIQUIATRICOS",$Z$6:$BD$6,1,0)</f>
        <v>#N/A</v>
      </c>
      <c r="BC9" s="492" t="str">
        <f>HLOOKUP("ONCOLOGICOS",$Z$6:$BD$6,1,0)</f>
        <v>#N/A</v>
      </c>
      <c r="BD9" s="492" t="str">
        <f>HLOOKUP("OTROS",$Z$6:$BD$6,1,0)</f>
        <v>#N/A</v>
      </c>
      <c r="BE9" s="492"/>
      <c r="BF9" s="492"/>
      <c r="BG9" s="492"/>
      <c r="BH9" s="492"/>
      <c r="BI9" s="492"/>
      <c r="BJ9" s="492"/>
      <c r="BK9" s="492"/>
      <c r="BL9" s="492"/>
      <c r="BM9" s="492"/>
      <c r="BN9" s="492"/>
      <c r="BO9" s="492"/>
      <c r="BP9" s="492"/>
      <c r="BQ9" s="492"/>
      <c r="BR9" s="492"/>
      <c r="BS9" s="492"/>
      <c r="BT9" s="492"/>
      <c r="BU9" s="492"/>
      <c r="BV9" s="492"/>
      <c r="BW9" s="492"/>
      <c r="BX9" s="492"/>
      <c r="BY9" s="492"/>
      <c r="BZ9" s="492"/>
      <c r="CA9" s="492"/>
      <c r="CB9" s="492"/>
      <c r="CC9" s="492"/>
      <c r="CD9" s="492"/>
      <c r="CE9" s="492"/>
      <c r="CF9" s="492"/>
      <c r="CG9" s="492"/>
      <c r="CH9" s="492"/>
      <c r="CI9" s="492"/>
      <c r="CJ9" s="492"/>
      <c r="CK9" s="492"/>
      <c r="CL9" s="492"/>
      <c r="CM9" s="492"/>
      <c r="CN9" s="492"/>
      <c r="CO9" s="492"/>
      <c r="CP9" s="492"/>
      <c r="CQ9" s="492"/>
      <c r="CR9" s="492"/>
      <c r="CS9" s="492"/>
      <c r="CT9" s="492"/>
      <c r="CU9" s="492"/>
      <c r="CV9" s="492"/>
      <c r="CW9" s="492"/>
      <c r="CX9" s="492"/>
      <c r="CY9" s="492"/>
      <c r="CZ9" s="492"/>
      <c r="DA9" s="492"/>
      <c r="DB9" s="492"/>
      <c r="DC9" s="492"/>
      <c r="DD9" s="492"/>
      <c r="DE9" s="492"/>
      <c r="DF9" s="492"/>
      <c r="DG9" s="492"/>
      <c r="DH9" s="492"/>
      <c r="DI9" s="492"/>
      <c r="DJ9" s="492"/>
      <c r="DK9" s="492"/>
      <c r="DL9" s="492"/>
      <c r="DM9" s="492"/>
      <c r="DN9" s="492"/>
      <c r="DO9" s="492"/>
      <c r="DP9" s="492"/>
      <c r="DQ9" s="492"/>
      <c r="DR9" s="492"/>
      <c r="DS9" s="600" t="str">
        <f>HLOOKUP("TEP",$DS$7:$EJ$7,1,0)</f>
        <v>#N/A</v>
      </c>
      <c r="DT9" s="600" t="str">
        <f>HLOOKUP("IAM",$DS$7:$EJ$7,1,0)</f>
        <v>#N/A</v>
      </c>
      <c r="DU9" s="600" t="str">
        <f>HLOOKUP("PCR",$DS$7:$EJ$7,1,0)</f>
        <v>#N/A</v>
      </c>
      <c r="DV9" s="600" t="str">
        <f>HLOOKUP("SDRA",$DS$7:$EJ$7,1,0)</f>
        <v>#N/A</v>
      </c>
      <c r="DW9" s="600" t="str">
        <f>HLOOKUP("BNM",$DS$7:$EJ$7,1,0)</f>
        <v>BNM</v>
      </c>
      <c r="DX9" s="600" t="str">
        <f>HLOOKUP("PRONO",$DS$7:$EJ$7,1,0)</f>
        <v>PRONO</v>
      </c>
      <c r="DY9" s="600" t="str">
        <f>HLOOKUP("DAUCI",$DS$7:$EJ$7,1,0)</f>
        <v>#N/A</v>
      </c>
      <c r="DZ9" s="600" t="str">
        <f>HLOOKUP("BAROTRAUMA",$DS$7:$EJ$7,1,0)</f>
        <v>#N/A</v>
      </c>
      <c r="EA9" s="600" t="str">
        <f>HLOOKUP("FMO",$DS$7:$EJ$7,1,0)</f>
        <v>#N/A</v>
      </c>
      <c r="EB9" s="600" t="str">
        <f>HLOOKUP("EOT NO PROGRAMADA",$DS$7:$EJ$7,1,0)</f>
        <v>#N/A</v>
      </c>
      <c r="EC9" s="600" t="str">
        <f>HLOOKUP("DELIRIUM",$DS$7:$EJ$7,1,0)</f>
        <v>#N/A</v>
      </c>
      <c r="ED9" s="600" t="str">
        <f>HLOOKUP("PAFI&lt;200",$DS$7:$EJ$7,1,0)</f>
        <v>PAFI&lt;200</v>
      </c>
      <c r="EE9" s="600" t="str">
        <f>HLOOKUP("SHOCK/SEPSIS",$DS$7:$EJ$7,1,0)</f>
        <v>#N/A</v>
      </c>
      <c r="EF9" s="600" t="str">
        <f>HLOOKUP("I RENAL",$DS$7:$EJ$7,1,0)</f>
        <v>#N/A</v>
      </c>
      <c r="EG9" s="600" t="str">
        <f>HLOOKUP("NAVM",$DS$7:$EJ$7,1,0)</f>
        <v>#N/A</v>
      </c>
      <c r="EH9" s="600" t="str">
        <f>HLOOKUP("LESIONES FACIALES",$DS$7:$EJ$7,1,0)</f>
        <v>#N/A</v>
      </c>
      <c r="EI9" s="600" t="str">
        <f>HLOOKUP("CAMBIO DE INTERFAZ POR DISCOMFORT",$DS$7:$EJ$7,1,0)</f>
        <v>#N/A</v>
      </c>
      <c r="EJ9" s="492"/>
      <c r="EK9" s="492"/>
      <c r="EL9" s="492"/>
      <c r="EM9" s="492"/>
      <c r="EN9" s="492"/>
      <c r="EO9" s="492"/>
      <c r="EP9" s="492"/>
      <c r="EQ9" s="492"/>
      <c r="ER9" s="492"/>
      <c r="ES9" s="492"/>
      <c r="ET9" s="492"/>
      <c r="EU9" s="492"/>
      <c r="EV9" s="492"/>
      <c r="EW9" s="492"/>
      <c r="EX9" s="492"/>
      <c r="EY9" s="492"/>
      <c r="EZ9" s="492"/>
      <c r="FA9" s="492"/>
      <c r="FB9" s="492"/>
      <c r="FC9" s="492"/>
      <c r="FD9" s="492"/>
      <c r="FE9" s="492"/>
      <c r="FF9" s="492"/>
      <c r="FG9" s="492"/>
      <c r="FH9" s="492"/>
      <c r="FI9" s="492"/>
      <c r="FJ9" s="492"/>
      <c r="FK9" s="492"/>
      <c r="FL9" s="492"/>
      <c r="FM9" s="492"/>
      <c r="FN9" s="492"/>
      <c r="FO9" s="492"/>
      <c r="FP9" s="492"/>
      <c r="FQ9" s="492"/>
      <c r="FR9" s="492"/>
      <c r="FS9" s="492"/>
      <c r="FT9" s="492"/>
      <c r="FU9" s="492"/>
      <c r="FV9" s="492"/>
      <c r="FW9" s="492"/>
      <c r="FX9" s="492"/>
      <c r="FY9" s="492"/>
      <c r="FZ9" s="492"/>
      <c r="GA9" s="492"/>
      <c r="GB9" s="492"/>
      <c r="GC9" s="492"/>
      <c r="GD9" s="492"/>
      <c r="GE9" s="492"/>
      <c r="GF9" s="492"/>
      <c r="GG9" s="492"/>
      <c r="GH9" s="492"/>
      <c r="GI9" s="492"/>
      <c r="GJ9" s="492"/>
      <c r="GK9" s="492"/>
      <c r="GL9" s="492"/>
      <c r="GM9" s="492"/>
      <c r="GN9" s="492"/>
      <c r="GO9" s="492"/>
      <c r="GP9" s="492"/>
      <c r="GQ9" s="492"/>
      <c r="GR9" s="492"/>
      <c r="GS9" s="492"/>
      <c r="GT9" s="492"/>
      <c r="GU9" s="492"/>
      <c r="GV9" s="492"/>
      <c r="GW9" s="492"/>
      <c r="GX9" s="492"/>
      <c r="GY9" s="492"/>
      <c r="GZ9" s="492"/>
      <c r="HA9" s="492"/>
      <c r="HB9" s="492"/>
      <c r="HC9" s="492"/>
      <c r="HD9" s="492"/>
      <c r="HE9" s="492"/>
      <c r="HF9" s="492"/>
      <c r="HG9" s="492"/>
      <c r="HH9" s="492"/>
      <c r="HI9" s="492"/>
      <c r="HJ9" s="492"/>
      <c r="HK9" s="492"/>
      <c r="HL9" s="492"/>
      <c r="HM9" s="492"/>
      <c r="HN9" s="492"/>
      <c r="HO9" s="492"/>
      <c r="HP9" s="492"/>
      <c r="HQ9" s="492"/>
      <c r="HR9" s="492"/>
      <c r="HS9" s="492"/>
      <c r="HT9" s="492"/>
      <c r="HU9" s="492"/>
      <c r="HV9" s="492"/>
      <c r="HW9" s="492"/>
      <c r="HX9" s="492"/>
      <c r="HY9" s="492"/>
      <c r="HZ9" s="492"/>
      <c r="IA9" s="492"/>
      <c r="IB9" s="492"/>
      <c r="IC9" s="492"/>
      <c r="ID9" s="492"/>
      <c r="IE9" s="492"/>
      <c r="IF9" s="492"/>
      <c r="IG9" s="492"/>
      <c r="IH9" s="492"/>
      <c r="II9" s="492"/>
      <c r="IJ9" s="492"/>
      <c r="IK9" s="492"/>
      <c r="IL9" s="492"/>
      <c r="IM9" s="492"/>
      <c r="IN9" s="492"/>
      <c r="IO9" s="492"/>
      <c r="IP9" s="492"/>
      <c r="IQ9" s="492"/>
      <c r="IR9" s="492"/>
      <c r="IS9" s="492"/>
      <c r="IT9" s="492"/>
      <c r="IU9" s="492"/>
      <c r="IV9" s="492"/>
      <c r="IW9" s="492"/>
      <c r="IX9" s="492"/>
      <c r="IY9" s="492"/>
      <c r="IZ9" s="492"/>
      <c r="JA9" s="492"/>
      <c r="JB9" s="492"/>
      <c r="JC9" s="492"/>
      <c r="JD9" s="492"/>
      <c r="JE9" s="492"/>
      <c r="JF9" s="492"/>
      <c r="JG9" s="492"/>
      <c r="JH9" s="492"/>
      <c r="JI9" s="492"/>
      <c r="JJ9" s="492"/>
      <c r="JK9" s="492"/>
      <c r="JL9" s="492"/>
      <c r="JM9" s="492"/>
      <c r="JN9" s="492"/>
      <c r="JO9" s="492"/>
      <c r="JP9" s="492"/>
      <c r="JQ9" s="492"/>
      <c r="JR9" s="492"/>
      <c r="JS9" s="492"/>
      <c r="JT9" s="492"/>
      <c r="JU9" s="492"/>
      <c r="JV9" s="492"/>
      <c r="JW9" s="492"/>
      <c r="JX9" s="492"/>
      <c r="JY9" s="492"/>
      <c r="JZ9" s="492"/>
      <c r="KA9" s="492"/>
      <c r="KB9" s="492"/>
      <c r="KC9" s="492"/>
      <c r="KD9" s="492"/>
      <c r="KE9" s="492"/>
      <c r="KF9" s="492"/>
      <c r="KG9" s="492"/>
      <c r="KH9" s="492"/>
      <c r="KI9" s="492"/>
      <c r="KJ9" s="492"/>
      <c r="KK9" s="492"/>
      <c r="KL9" s="492"/>
      <c r="KM9" s="492"/>
      <c r="KN9" s="492"/>
      <c r="KO9" s="492"/>
      <c r="KP9" s="492"/>
      <c r="KQ9" s="492"/>
      <c r="KR9" s="492"/>
      <c r="KS9" s="492"/>
      <c r="KT9" s="492"/>
      <c r="KU9" s="492"/>
      <c r="KV9" s="492"/>
      <c r="KW9" s="492"/>
      <c r="KX9" s="492"/>
      <c r="KY9" s="492"/>
      <c r="KZ9" s="492"/>
      <c r="LA9" s="492"/>
      <c r="LB9" s="492"/>
      <c r="LC9" s="492"/>
      <c r="LD9" s="492"/>
      <c r="LE9" s="492"/>
      <c r="LF9" s="492"/>
      <c r="LG9" s="492"/>
      <c r="LH9" s="492"/>
      <c r="LI9" s="492"/>
      <c r="LJ9" s="492"/>
      <c r="LK9" s="492"/>
      <c r="LL9" s="492"/>
      <c r="LM9" s="492"/>
      <c r="LN9" s="492"/>
      <c r="LO9" s="492"/>
      <c r="LP9" s="492"/>
      <c r="LQ9" s="492"/>
    </row>
    <row r="10">
      <c r="A10" s="492"/>
      <c r="B10" s="492"/>
      <c r="C10" s="492"/>
      <c r="D10" s="492"/>
      <c r="E10" s="492"/>
      <c r="F10" s="492"/>
      <c r="G10" s="492"/>
      <c r="H10" s="492"/>
      <c r="I10" s="492"/>
      <c r="J10" s="492"/>
      <c r="K10" s="492"/>
      <c r="L10" s="492"/>
      <c r="M10" s="492"/>
      <c r="N10" s="492"/>
      <c r="O10" s="492"/>
      <c r="P10" s="492"/>
      <c r="Q10" s="492"/>
      <c r="R10" s="492"/>
      <c r="S10" s="492"/>
      <c r="T10" s="492"/>
      <c r="U10" s="492"/>
      <c r="V10" s="492"/>
      <c r="W10" s="492"/>
      <c r="X10" s="492"/>
      <c r="Y10" s="492"/>
      <c r="Z10" s="492" t="str">
        <f t="shared" ref="Z10:BD10" si="1">IFNA(Z9,"0")</f>
        <v>0</v>
      </c>
      <c r="AA10" s="492" t="str">
        <f t="shared" si="1"/>
        <v>0</v>
      </c>
      <c r="AB10" s="492" t="str">
        <f t="shared" si="1"/>
        <v>0</v>
      </c>
      <c r="AC10" s="492" t="str">
        <f t="shared" si="1"/>
        <v>0</v>
      </c>
      <c r="AD10" s="492" t="str">
        <f t="shared" si="1"/>
        <v>0</v>
      </c>
      <c r="AE10" s="492" t="str">
        <f t="shared" si="1"/>
        <v>0</v>
      </c>
      <c r="AF10" s="492" t="str">
        <f t="shared" si="1"/>
        <v>0</v>
      </c>
      <c r="AG10" s="492" t="str">
        <f t="shared" si="1"/>
        <v>0</v>
      </c>
      <c r="AH10" s="492" t="str">
        <f t="shared" si="1"/>
        <v>0</v>
      </c>
      <c r="AI10" s="492" t="str">
        <f t="shared" si="1"/>
        <v>0</v>
      </c>
      <c r="AJ10" s="492" t="str">
        <f t="shared" si="1"/>
        <v>0</v>
      </c>
      <c r="AK10" s="492" t="str">
        <f t="shared" si="1"/>
        <v>0</v>
      </c>
      <c r="AL10" s="492" t="str">
        <f t="shared" si="1"/>
        <v>0</v>
      </c>
      <c r="AM10" s="492" t="str">
        <f t="shared" si="1"/>
        <v>0</v>
      </c>
      <c r="AN10" s="492" t="str">
        <f t="shared" si="1"/>
        <v>0</v>
      </c>
      <c r="AO10" s="492" t="str">
        <f t="shared" si="1"/>
        <v>0</v>
      </c>
      <c r="AP10" s="492" t="str">
        <f t="shared" si="1"/>
        <v>0</v>
      </c>
      <c r="AQ10" s="492" t="str">
        <f t="shared" si="1"/>
        <v>0</v>
      </c>
      <c r="AR10" s="492" t="str">
        <f t="shared" si="1"/>
        <v>0</v>
      </c>
      <c r="AS10" s="492" t="str">
        <f t="shared" si="1"/>
        <v>0</v>
      </c>
      <c r="AT10" s="492" t="str">
        <f t="shared" si="1"/>
        <v>0</v>
      </c>
      <c r="AU10" s="492" t="str">
        <f t="shared" si="1"/>
        <v>0</v>
      </c>
      <c r="AV10" s="492" t="str">
        <f t="shared" si="1"/>
        <v>0</v>
      </c>
      <c r="AW10" s="492" t="str">
        <f t="shared" si="1"/>
        <v>0</v>
      </c>
      <c r="AX10" s="492" t="str">
        <f t="shared" si="1"/>
        <v>0</v>
      </c>
      <c r="AY10" s="492" t="str">
        <f t="shared" si="1"/>
        <v>0</v>
      </c>
      <c r="AZ10" s="492" t="str">
        <f t="shared" si="1"/>
        <v>0</v>
      </c>
      <c r="BA10" s="492" t="str">
        <f t="shared" si="1"/>
        <v>0</v>
      </c>
      <c r="BB10" s="492" t="str">
        <f t="shared" si="1"/>
        <v>0</v>
      </c>
      <c r="BC10" s="492" t="str">
        <f t="shared" si="1"/>
        <v>0</v>
      </c>
      <c r="BD10" s="492" t="str">
        <f t="shared" si="1"/>
        <v>0</v>
      </c>
      <c r="BE10" s="492"/>
      <c r="BF10" s="492"/>
      <c r="BG10" s="492"/>
      <c r="BH10" s="492"/>
      <c r="BI10" s="492"/>
      <c r="BJ10" s="492"/>
      <c r="BK10" s="492"/>
      <c r="BL10" s="492"/>
      <c r="BM10" s="492"/>
      <c r="BN10" s="492"/>
      <c r="BO10" s="492"/>
      <c r="BP10" s="492"/>
      <c r="BQ10" s="492"/>
      <c r="BR10" s="492"/>
      <c r="BS10" s="492"/>
      <c r="BT10" s="492"/>
      <c r="BU10" s="492"/>
      <c r="BV10" s="492"/>
      <c r="BW10" s="492"/>
      <c r="BX10" s="492"/>
      <c r="BY10" s="492"/>
      <c r="BZ10" s="492"/>
      <c r="CA10" s="492"/>
      <c r="CB10" s="492"/>
      <c r="CC10" s="492"/>
      <c r="CD10" s="492"/>
      <c r="CE10" s="492"/>
      <c r="CF10" s="492"/>
      <c r="CG10" s="492"/>
      <c r="CH10" s="492"/>
      <c r="CI10" s="492"/>
      <c r="CJ10" s="492"/>
      <c r="CK10" s="492"/>
      <c r="CL10" s="492"/>
      <c r="CM10" s="492"/>
      <c r="CN10" s="492"/>
      <c r="CO10" s="492"/>
      <c r="CP10" s="492"/>
      <c r="CQ10" s="492"/>
      <c r="CR10" s="492"/>
      <c r="CS10" s="492"/>
      <c r="CT10" s="492"/>
      <c r="CU10" s="492"/>
      <c r="CV10" s="492"/>
      <c r="CW10" s="492"/>
      <c r="CX10" s="492"/>
      <c r="CY10" s="492"/>
      <c r="CZ10" s="492"/>
      <c r="DA10" s="492"/>
      <c r="DB10" s="492"/>
      <c r="DC10" s="492"/>
      <c r="DD10" s="492"/>
      <c r="DE10" s="492"/>
      <c r="DF10" s="492"/>
      <c r="DG10" s="492"/>
      <c r="DH10" s="492"/>
      <c r="DI10" s="492"/>
      <c r="DJ10" s="492"/>
      <c r="DK10" s="492"/>
      <c r="DL10" s="492"/>
      <c r="DM10" s="492"/>
      <c r="DN10" s="492"/>
      <c r="DO10" s="492"/>
      <c r="DP10" s="492"/>
      <c r="DQ10" s="492"/>
      <c r="DR10" s="492"/>
      <c r="DS10" s="492" t="str">
        <f t="shared" ref="DS10:EI10" si="2">IFNA(DS8,"0")</f>
        <v>0</v>
      </c>
      <c r="DT10" s="492" t="str">
        <f t="shared" si="2"/>
        <v>0</v>
      </c>
      <c r="DU10" s="492" t="str">
        <f t="shared" si="2"/>
        <v>0</v>
      </c>
      <c r="DV10" s="492" t="str">
        <f t="shared" si="2"/>
        <v>SDRA</v>
      </c>
      <c r="DW10" s="492" t="str">
        <f t="shared" si="2"/>
        <v>BNM</v>
      </c>
      <c r="DX10" s="492" t="str">
        <f t="shared" si="2"/>
        <v>0</v>
      </c>
      <c r="DY10" s="492" t="str">
        <f t="shared" si="2"/>
        <v>0</v>
      </c>
      <c r="DZ10" s="492" t="str">
        <f t="shared" si="2"/>
        <v>0</v>
      </c>
      <c r="EA10" s="492" t="str">
        <f t="shared" si="2"/>
        <v>0</v>
      </c>
      <c r="EB10" s="492" t="str">
        <f t="shared" si="2"/>
        <v>0</v>
      </c>
      <c r="EC10" s="492" t="str">
        <f t="shared" si="2"/>
        <v>DELIRIUM</v>
      </c>
      <c r="ED10" s="492" t="str">
        <f t="shared" si="2"/>
        <v>0</v>
      </c>
      <c r="EE10" s="492" t="str">
        <f t="shared" si="2"/>
        <v>SHOCK/SEPSIS</v>
      </c>
      <c r="EF10" s="492" t="str">
        <f t="shared" si="2"/>
        <v>0</v>
      </c>
      <c r="EG10" s="492" t="str">
        <f t="shared" si="2"/>
        <v>0</v>
      </c>
      <c r="EH10" s="492" t="str">
        <f t="shared" si="2"/>
        <v>0</v>
      </c>
      <c r="EI10" s="492" t="str">
        <f t="shared" si="2"/>
        <v>0</v>
      </c>
      <c r="EJ10" s="492"/>
      <c r="EK10" s="492"/>
      <c r="EL10" s="492"/>
      <c r="EM10" s="492"/>
      <c r="EN10" s="492"/>
      <c r="EO10" s="492"/>
      <c r="EP10" s="492"/>
      <c r="EQ10" s="492"/>
      <c r="ER10" s="492"/>
      <c r="ES10" s="492"/>
      <c r="ET10" s="492"/>
      <c r="EU10" s="492"/>
      <c r="EV10" s="492"/>
      <c r="EW10" s="492"/>
      <c r="EX10" s="492"/>
      <c r="EY10" s="492"/>
      <c r="EZ10" s="492"/>
      <c r="FA10" s="492"/>
      <c r="FB10" s="492"/>
      <c r="FC10" s="492"/>
      <c r="FD10" s="492"/>
      <c r="FE10" s="492"/>
      <c r="FF10" s="492"/>
      <c r="FG10" s="492"/>
      <c r="FH10" s="492"/>
      <c r="FI10" s="492"/>
      <c r="FJ10" s="492"/>
      <c r="FK10" s="492"/>
      <c r="FL10" s="492"/>
      <c r="FM10" s="492"/>
      <c r="FN10" s="492"/>
      <c r="FO10" s="492"/>
      <c r="FP10" s="492"/>
      <c r="FQ10" s="492"/>
      <c r="FR10" s="492"/>
      <c r="FS10" s="492"/>
      <c r="FT10" s="492"/>
      <c r="FU10" s="492"/>
      <c r="FV10" s="492"/>
      <c r="FW10" s="492"/>
      <c r="FX10" s="492"/>
      <c r="FY10" s="492"/>
      <c r="FZ10" s="492"/>
      <c r="GA10" s="492"/>
      <c r="GB10" s="492"/>
      <c r="GC10" s="492"/>
      <c r="GD10" s="492"/>
      <c r="GE10" s="492"/>
      <c r="GF10" s="492"/>
      <c r="GG10" s="492"/>
      <c r="GH10" s="492"/>
      <c r="GI10" s="492"/>
      <c r="GJ10" s="492"/>
      <c r="GK10" s="492"/>
      <c r="GL10" s="492"/>
      <c r="GM10" s="492"/>
      <c r="GN10" s="492"/>
      <c r="GO10" s="492"/>
      <c r="GP10" s="492"/>
      <c r="GQ10" s="492"/>
      <c r="GR10" s="492"/>
      <c r="GS10" s="492"/>
      <c r="GT10" s="492"/>
      <c r="GU10" s="492"/>
      <c r="GV10" s="492"/>
      <c r="GW10" s="492"/>
      <c r="GX10" s="492"/>
      <c r="GY10" s="492"/>
      <c r="GZ10" s="492"/>
      <c r="HA10" s="492"/>
      <c r="HB10" s="492"/>
      <c r="HC10" s="492"/>
      <c r="HD10" s="492"/>
      <c r="HE10" s="492"/>
      <c r="HF10" s="492"/>
      <c r="HG10" s="492"/>
      <c r="HH10" s="492"/>
      <c r="HI10" s="492"/>
      <c r="HJ10" s="492"/>
      <c r="HK10" s="492"/>
      <c r="HL10" s="492"/>
      <c r="HM10" s="492"/>
      <c r="HN10" s="492"/>
      <c r="HO10" s="492"/>
      <c r="HP10" s="492"/>
      <c r="HQ10" s="492"/>
      <c r="HR10" s="492"/>
      <c r="HS10" s="492"/>
      <c r="HT10" s="492"/>
      <c r="HU10" s="492"/>
      <c r="HV10" s="492"/>
      <c r="HW10" s="492"/>
      <c r="HX10" s="492"/>
      <c r="HY10" s="492"/>
      <c r="HZ10" s="492"/>
      <c r="IA10" s="492"/>
      <c r="IB10" s="492"/>
      <c r="IC10" s="492"/>
      <c r="ID10" s="492"/>
      <c r="IE10" s="492"/>
      <c r="IF10" s="492"/>
      <c r="IG10" s="492"/>
      <c r="IH10" s="492"/>
      <c r="II10" s="492"/>
      <c r="IJ10" s="492"/>
      <c r="IK10" s="492"/>
      <c r="IL10" s="492"/>
      <c r="IM10" s="492"/>
      <c r="IN10" s="492"/>
      <c r="IO10" s="492"/>
      <c r="IP10" s="492"/>
      <c r="IQ10" s="492"/>
      <c r="IR10" s="492"/>
      <c r="IS10" s="492"/>
      <c r="IT10" s="492"/>
      <c r="IU10" s="492"/>
      <c r="IV10" s="492"/>
      <c r="IW10" s="492"/>
      <c r="IX10" s="492"/>
      <c r="IY10" s="492"/>
      <c r="IZ10" s="492"/>
      <c r="JA10" s="492"/>
      <c r="JB10" s="492"/>
      <c r="JC10" s="492"/>
      <c r="JD10" s="492"/>
      <c r="JE10" s="492"/>
      <c r="JF10" s="492"/>
      <c r="JG10" s="492"/>
      <c r="JH10" s="492"/>
      <c r="JI10" s="492"/>
      <c r="JJ10" s="492"/>
      <c r="JK10" s="492"/>
      <c r="JL10" s="492"/>
      <c r="JM10" s="492"/>
      <c r="JN10" s="492"/>
      <c r="JO10" s="492"/>
      <c r="JP10" s="492"/>
      <c r="JQ10" s="492"/>
      <c r="JR10" s="492"/>
      <c r="JS10" s="492"/>
      <c r="JT10" s="492"/>
      <c r="JU10" s="492"/>
      <c r="JV10" s="492"/>
      <c r="JW10" s="492"/>
      <c r="JX10" s="492"/>
      <c r="JY10" s="492"/>
      <c r="JZ10" s="492"/>
      <c r="KA10" s="492"/>
      <c r="KB10" s="492"/>
      <c r="KC10" s="492"/>
      <c r="KD10" s="492"/>
      <c r="KE10" s="492"/>
      <c r="KF10" s="492"/>
      <c r="KG10" s="492"/>
      <c r="KH10" s="492"/>
      <c r="KI10" s="492"/>
      <c r="KJ10" s="492"/>
      <c r="KK10" s="492"/>
      <c r="KL10" s="492"/>
      <c r="KM10" s="492"/>
      <c r="KN10" s="492"/>
      <c r="KO10" s="492"/>
      <c r="KP10" s="492"/>
      <c r="KQ10" s="492"/>
      <c r="KR10" s="492"/>
      <c r="KS10" s="492"/>
      <c r="KT10" s="492"/>
      <c r="KU10" s="492"/>
      <c r="KV10" s="492"/>
      <c r="KW10" s="492"/>
      <c r="KX10" s="492"/>
      <c r="KY10" s="492"/>
      <c r="KZ10" s="492"/>
      <c r="LA10" s="492"/>
      <c r="LB10" s="492"/>
      <c r="LC10" s="492"/>
      <c r="LD10" s="492"/>
      <c r="LE10" s="492"/>
      <c r="LF10" s="492"/>
      <c r="LG10" s="492"/>
      <c r="LH10" s="492"/>
      <c r="LI10" s="492"/>
      <c r="LJ10" s="492"/>
      <c r="LK10" s="492"/>
      <c r="LL10" s="492"/>
      <c r="LM10" s="492"/>
      <c r="LN10" s="492"/>
      <c r="LO10" s="492"/>
      <c r="LP10" s="492"/>
      <c r="LQ10" s="492"/>
    </row>
    <row r="11">
      <c r="DS11" s="492" t="str">
        <f t="shared" ref="DS11:EI11" si="3">IFNA(DS9,"0")</f>
        <v>0</v>
      </c>
      <c r="DT11" s="492" t="str">
        <f t="shared" si="3"/>
        <v>0</v>
      </c>
      <c r="DU11" s="492" t="str">
        <f t="shared" si="3"/>
        <v>0</v>
      </c>
      <c r="DV11" s="492" t="str">
        <f t="shared" si="3"/>
        <v>0</v>
      </c>
      <c r="DW11" s="492" t="str">
        <f t="shared" si="3"/>
        <v>BNM</v>
      </c>
      <c r="DX11" s="492" t="str">
        <f t="shared" si="3"/>
        <v>PRONO</v>
      </c>
      <c r="DY11" s="492" t="str">
        <f t="shared" si="3"/>
        <v>0</v>
      </c>
      <c r="DZ11" s="492" t="str">
        <f t="shared" si="3"/>
        <v>0</v>
      </c>
      <c r="EA11" s="492" t="str">
        <f t="shared" si="3"/>
        <v>0</v>
      </c>
      <c r="EB11" s="492" t="str">
        <f t="shared" si="3"/>
        <v>0</v>
      </c>
      <c r="EC11" s="492" t="str">
        <f t="shared" si="3"/>
        <v>0</v>
      </c>
      <c r="ED11" s="492" t="str">
        <f t="shared" si="3"/>
        <v>PAFI&lt;200</v>
      </c>
      <c r="EE11" s="492" t="str">
        <f t="shared" si="3"/>
        <v>0</v>
      </c>
      <c r="EF11" s="492" t="str">
        <f t="shared" si="3"/>
        <v>0</v>
      </c>
      <c r="EG11" s="492" t="str">
        <f t="shared" si="3"/>
        <v>0</v>
      </c>
      <c r="EH11" s="492" t="str">
        <f t="shared" si="3"/>
        <v>0</v>
      </c>
      <c r="EI11" s="492" t="str">
        <f t="shared" si="3"/>
        <v>0</v>
      </c>
    </row>
    <row r="12">
      <c r="A12" s="601">
        <f>+General!D3</f>
        <v>167288</v>
      </c>
      <c r="B12" s="601" t="str">
        <f>+General!B4</f>
        <v>Garcia Atilio Daniel</v>
      </c>
      <c r="C12" s="601">
        <f>+General!B5</f>
        <v>50</v>
      </c>
      <c r="D12" s="601" t="str">
        <f>+General!D5</f>
        <v>Hombre</v>
      </c>
      <c r="E12" s="602">
        <f>+General!B6</f>
        <v>175</v>
      </c>
      <c r="F12" s="601">
        <f>+General!G5</f>
        <v>80</v>
      </c>
      <c r="G12" s="603">
        <f>IF(AND(E12&lt;&gt;"",F12&lt;&gt;""),F12/(E12/100)^2,"")</f>
        <v>26.12244898</v>
      </c>
      <c r="H12" s="602">
        <f>+General!D6</f>
        <v>70.566</v>
      </c>
      <c r="I12" s="604">
        <f>+General!G4</f>
        <v>44303</v>
      </c>
      <c r="J12" s="605">
        <f>+General!D38</f>
        <v>44336</v>
      </c>
      <c r="K12" s="601" t="str">
        <f>+General!B38</f>
        <v>VIVO</v>
      </c>
      <c r="L12" s="601" t="str">
        <f>IF(L6&lt;&gt;"",L6,"N/C")</f>
        <v>PISO</v>
      </c>
      <c r="M12" s="604">
        <f>+General!G3</f>
        <v>44298</v>
      </c>
      <c r="N12" s="601">
        <f>IFS(OR(M12="",I12=""),"",M12=I12,"1",AND(ISDATE(M12),ISDATE(I12)),I12-M12)</f>
        <v>5</v>
      </c>
      <c r="O12" s="601">
        <f>IFS(AND(I12="",J12=""),"",AND(ISDATE(I12),J12=""),"",J12=I12,"1",AND(ISDATE(I12),ISDATE(J12)),J12-I12)</f>
        <v>33</v>
      </c>
      <c r="P12" s="601" t="str">
        <f>IF(P6="SI","SI","NO")</f>
        <v>NO</v>
      </c>
      <c r="Q12" s="601">
        <f>+General!I5</f>
        <v>29</v>
      </c>
      <c r="R12" s="601">
        <f>+General!J5</f>
        <v>9.6</v>
      </c>
      <c r="S12" s="601">
        <f>+General!I4</f>
        <v>16</v>
      </c>
      <c r="T12" s="601">
        <f>+General!J4</f>
        <v>23.4</v>
      </c>
      <c r="U12" s="601">
        <f>+General!I3</f>
        <v>5</v>
      </c>
      <c r="V12" s="601">
        <f>+General!J3</f>
        <v>2</v>
      </c>
      <c r="W12" s="601">
        <f>+General!J6</f>
        <v>0</v>
      </c>
      <c r="X12" s="601" t="str">
        <f>+General!G6</f>
        <v>MÉDICO</v>
      </c>
      <c r="Y12" s="601" t="str">
        <f>IFS(Y6&lt;&gt;"",Y6,Y7&lt;&gt;"",Y7,Y8&lt;&gt;"",Y8,Y9&lt;&gt;"",Y9,Y10="","")</f>
        <v>COVID</v>
      </c>
      <c r="Z12" s="601" t="str">
        <f>IF(Z10="HTA","SI","NO")</f>
        <v>NO</v>
      </c>
      <c r="AA12" s="601" t="str">
        <f>IF(AA10="IAM","SI","NO")</f>
        <v>NO</v>
      </c>
      <c r="AB12" s="601" t="str">
        <f>IF(AB10="IC","SI","NO")</f>
        <v>NO</v>
      </c>
      <c r="AC12" s="601" t="str">
        <f>IF(AC10="PCR","SI","NO")</f>
        <v>NO</v>
      </c>
      <c r="AD12" s="601" t="str">
        <f>IF(AD10="EPOC","SI","NO")</f>
        <v>NO</v>
      </c>
      <c r="AE12" s="601" t="str">
        <f>IF(AE10="TBQ","SI","NO")</f>
        <v>NO</v>
      </c>
      <c r="AF12" s="601" t="str">
        <f>IF(AF10="ExTBQ","SI","NO")</f>
        <v>NO</v>
      </c>
      <c r="AG12" s="601" t="str">
        <f>IF(AG10="ASMA","SI","NO")</f>
        <v>NO</v>
      </c>
      <c r="AH12" s="601" t="str">
        <f>IF(AH10="OCD","SI","NO")</f>
        <v>NO</v>
      </c>
      <c r="AI12" s="601" t="str">
        <f>IF(AI10="NMN","SI","NO")</f>
        <v>NO</v>
      </c>
      <c r="AJ12" s="601" t="str">
        <f>IF(AJ10="VMI PREVIA","SI","NO")</f>
        <v>NO</v>
      </c>
      <c r="AK12" s="601" t="str">
        <f>IF(AK10="VNI DOMIC","SI","NO")</f>
        <v>NO</v>
      </c>
      <c r="AL12" s="601" t="str">
        <f>IF(AL10="ACV","SI","NO")</f>
        <v>NO</v>
      </c>
      <c r="AM12" s="601" t="str">
        <f>IF(AM10="TEC","SI","NO")</f>
        <v>NO</v>
      </c>
      <c r="AN12" s="601" t="str">
        <f>IF(AN10="ASMA","SI","NO")</f>
        <v>NO</v>
      </c>
      <c r="AO12" s="601" t="str">
        <f>IF(AO10="ENF NEUROM","SI","NO")</f>
        <v>NO</v>
      </c>
      <c r="AP12" s="601" t="str">
        <f>IF(AP10="DBT","SI","NO")</f>
        <v>NO</v>
      </c>
      <c r="AQ12" s="601" t="str">
        <f>IF(AQ10="OBESIDAD","SI","NO")</f>
        <v>NO</v>
      </c>
      <c r="AR12" s="601" t="str">
        <f>IF(AR10="HIPOTIR","SI","NO")</f>
        <v>NO</v>
      </c>
      <c r="AS12" s="601" t="str">
        <f>IF(AS10="HIPERTIR","SI","NO")</f>
        <v>NO</v>
      </c>
      <c r="AT12" s="601" t="str">
        <f>IF(AT10="INSUF RENAL","SI","NO")</f>
        <v>NO</v>
      </c>
      <c r="AU12" s="601" t="str">
        <f>IF(AU10="POP","SI","NO")</f>
        <v>NO</v>
      </c>
      <c r="AV12" s="601" t="str">
        <f>IF(AV10="TBC","SI","NO")</f>
        <v>NO</v>
      </c>
      <c r="AW12" s="601" t="str">
        <f>IF(AW10="HIV","SI","NO")</f>
        <v>NO</v>
      </c>
      <c r="AX12" s="601" t="str">
        <f>IF(AX10="HEPATITIS","SI","NO")</f>
        <v>NO</v>
      </c>
      <c r="AY12" s="601" t="str">
        <f>IF(AY10="CHAGAS","SI","NO")</f>
        <v>NO</v>
      </c>
      <c r="AZ12" s="601" t="str">
        <f>IF(AZ10="CONSUMO","SI","NO")</f>
        <v>NO</v>
      </c>
      <c r="BA12" s="601" t="str">
        <f>IF(BA10="REUMATOLOGICOS","SI","NO")</f>
        <v>NO</v>
      </c>
      <c r="BB12" s="601" t="str">
        <f>IF(BB10="PSIQUIATRICOS","SI","NO")</f>
        <v>NO</v>
      </c>
      <c r="BC12" s="601" t="str">
        <f>IF(BC10="ONCOLOGICOS","SI","NO")</f>
        <v>NO</v>
      </c>
      <c r="BD12" s="601" t="str">
        <f>IF(BD10="OTROS","SI","NO")</f>
        <v>NO</v>
      </c>
      <c r="BE12" s="606">
        <f>IF(ISDATE(BE6),BE6,"N/C")</f>
        <v>44304</v>
      </c>
      <c r="BF12" s="606">
        <f>IF(BF6&lt;&gt;"",BF6,"N/C")</f>
        <v>44304</v>
      </c>
      <c r="BG12" s="606">
        <f>IF(ISDATE(BG6),BG6,"N/C")</f>
        <v>44330</v>
      </c>
      <c r="BH12" s="607">
        <f>IFS(OR(BF6="",BG6=""),"N/C",BG6-BF6=0,"1",AND(ISDATE(BF6),ISDATE(BG6)),BG6-BF6)</f>
        <v>26</v>
      </c>
      <c r="BI12" s="601">
        <f>IFS(AND(I6="",BE6=""),"N/C",I6-BE6&lt;0,0,I6&gt;=BE6,I6-BE6)</f>
        <v>0</v>
      </c>
      <c r="BJ12" s="601">
        <f>IF(BJ6&lt;&gt;"",BJ6,"N/C")</f>
        <v>17</v>
      </c>
      <c r="BK12" s="601" t="str">
        <f>IFS(BK6&lt;&gt;"",BK6,AND(BK6="",BK7&lt;&gt;""),"OTRO MOTIVO",AND(BK6="",BK7=""),"N/C")</f>
        <v>NMN</v>
      </c>
      <c r="BL12" s="601" t="str">
        <f>IF(BL6&lt;&gt;"",BL6,"N/C")</f>
        <v>N/C</v>
      </c>
      <c r="BM12" s="601" t="str">
        <f t="shared" ref="BM12:BN12" si="4">IF(BM6="SI","SI","NO")</f>
        <v>NO</v>
      </c>
      <c r="BN12" s="601" t="str">
        <f t="shared" si="4"/>
        <v>NO</v>
      </c>
      <c r="BO12" s="601" t="str">
        <f>IF(BO6&lt;&gt;"",BO6,"N/C")</f>
        <v>N/C</v>
      </c>
      <c r="BP12" s="601">
        <f>+BP6</f>
        <v>2</v>
      </c>
      <c r="BQ12" s="601" t="str">
        <f>IF(BQ6="SI","SI","NO")</f>
        <v>NO</v>
      </c>
      <c r="BR12" s="601" t="str">
        <f t="shared" ref="BR12:BT12" si="5">IF(ISDATE(BR6),BR6,"N/C")</f>
        <v>N/C</v>
      </c>
      <c r="BS12" s="601" t="str">
        <f t="shared" si="5"/>
        <v>N/C</v>
      </c>
      <c r="BT12" s="608">
        <f t="shared" si="5"/>
        <v>44330</v>
      </c>
      <c r="BU12" s="601" t="str">
        <f>IF(BU6&lt;&gt;"",BU6,"N/C")</f>
        <v>TQT-T</v>
      </c>
      <c r="BV12" s="601" t="str">
        <f>IF(BV6&gt;0,BV6,"N/C")</f>
        <v>N/C</v>
      </c>
      <c r="BW12" s="601" t="str">
        <f>IF(ISDATE(BW6),BW6,"N/C")</f>
        <v>N/C</v>
      </c>
      <c r="BX12" s="601" t="str">
        <f>IF(BX6&lt;&gt;"",BX6,"N/C")</f>
        <v>N/C</v>
      </c>
      <c r="BY12" s="601" t="str">
        <f>IFS(BY6="NO","NO",BY6="SI","SI",BY6="","N/C")</f>
        <v>N/C</v>
      </c>
      <c r="BZ12" s="601" t="str">
        <f t="shared" ref="BZ12:CG12" si="6">IF(BZ6&lt;&gt;"",BZ6,"N/C")</f>
        <v>N/C</v>
      </c>
      <c r="CA12" s="601" t="str">
        <f t="shared" si="6"/>
        <v>N/C</v>
      </c>
      <c r="CB12" s="601" t="str">
        <f t="shared" si="6"/>
        <v>N/C</v>
      </c>
      <c r="CC12" s="601" t="str">
        <f t="shared" si="6"/>
        <v>N/C</v>
      </c>
      <c r="CD12" s="601">
        <f t="shared" si="6"/>
        <v>1</v>
      </c>
      <c r="CE12" s="601" t="str">
        <f t="shared" si="6"/>
        <v>DESTETE CORTO</v>
      </c>
      <c r="CF12" s="601" t="str">
        <f t="shared" si="6"/>
        <v>SIMPLE</v>
      </c>
      <c r="CG12" s="601" t="str">
        <f t="shared" si="6"/>
        <v>NO</v>
      </c>
      <c r="CH12" s="601" t="str">
        <f>IF(CH6="SI","SI","NO")</f>
        <v>NO</v>
      </c>
      <c r="CI12" s="605">
        <f>IF(AND(ISDATE(CI6),CH6=""),CI6,"N/C")</f>
        <v>44321</v>
      </c>
      <c r="CJ12" s="601" t="str">
        <f>IFS(AND(CJ6&lt;&gt;"",CI6=""),"N/C",AND(CJ6&lt;&gt;"",ISDATE(CI6)),CJ6,AND(CJ6="",CI6=""),"N/C",AND(CI6&lt;&gt;"",CJ6=""),"DATO PERDIDO")</f>
        <v>Percutánea</v>
      </c>
      <c r="CK12" s="601" t="str">
        <f>IFS(CK6="SI","SI",AND(ISDATE(CI6),CK6=""),"NO",AND(CH6="SI",CK6=""),"NO",CI6="","N/C")</f>
        <v>NO</v>
      </c>
      <c r="CL12" s="601" t="str">
        <f>IFS(AND(CK6="",CL6=""),"N/C", AND(CK6="SI",CL6&lt;&gt;""),CL6,AND(CK6="SI",CL6=""),"0")</f>
        <v>N/C</v>
      </c>
      <c r="CM12" s="601" t="str">
        <f>IFS(OR(CM6="SI",CN6&lt;&gt;""),"SI",CM6="NO","NO",CM6="","N/C")</f>
        <v>NO</v>
      </c>
      <c r="CN12" s="601" t="str">
        <f>IF(ISDATE(CN6),CN6,"N/C")</f>
        <v>N/C</v>
      </c>
      <c r="CO12" s="601">
        <f>IFS(AND(CH6="SI",ISDATE(CN6)),CN6-I6,AND(CH6="SI",CN6=""),J6-I6,AND(ISDATE(CI6),ISDATE(CN6)),CN6-CI6,AND(ISDATE(CI6),CN6=""),J6-CI6,AND(CH6="",AND(CI6="",CN6="")),"N/C")</f>
        <v>15</v>
      </c>
      <c r="CP12" s="601">
        <f>IF(AND(ISDATE(CI6),ISDATE(BE6)),CI6-BE6,"N/C")</f>
        <v>17</v>
      </c>
      <c r="CQ12" s="601" t="str">
        <f>IFS(OR(CR6&lt;&gt;"",ISDATE(CS6)),"SI",AND(CR6="",CS6=""),"NO")</f>
        <v>NO</v>
      </c>
      <c r="CR12" s="601" t="str">
        <f>IF(CR6&lt;&gt;"",CR6,"N/C")</f>
        <v>N/C</v>
      </c>
      <c r="CS12" s="601" t="str">
        <f>IF(ISDATE(CS6),CS6,"N/C")</f>
        <v>N/C</v>
      </c>
      <c r="CT12" s="601" t="str">
        <f>IF(CT6&lt;&gt;"",CT6,"N/C")</f>
        <v>N/C</v>
      </c>
      <c r="CU12" s="601" t="str">
        <f>IFS(CU6&lt;&gt;"",CU6,CU6="","N/C")</f>
        <v>N/C</v>
      </c>
      <c r="CV12" s="601" t="str">
        <f>IF(CV6&lt;&gt;"",CV6,"N/C")</f>
        <v>N/C</v>
      </c>
      <c r="CW12" s="601" t="str">
        <f>IFS(AND(CT6="",CS6=""),"N/C",CT6-CS6=0,"1",AND(ISDATE(CS6),ISDATE(CT6)),CT6-CS6)</f>
        <v>N/C</v>
      </c>
      <c r="CX12" s="601" t="str">
        <f>IFS(OR(CX6&lt;&gt;"",ISDATE(CZ6)),"SI",AND(CX6="",CZ6=""),"NO")</f>
        <v>NO</v>
      </c>
      <c r="CY12" s="601" t="str">
        <f>IF(CX6&lt;&gt;"",CX6,"N/C")</f>
        <v>N/C</v>
      </c>
      <c r="CZ12" s="601" t="str">
        <f t="shared" ref="CZ12:DA12" si="7">IF(ISDATE(CZ6),CZ6,"N/C")</f>
        <v>N/C</v>
      </c>
      <c r="DA12" s="601" t="str">
        <f t="shared" si="7"/>
        <v>N/C</v>
      </c>
      <c r="DB12" s="601" t="str">
        <f t="shared" ref="DB12:DC12" si="8">IF(DB6&lt;&gt;"",DB6,"N/C")</f>
        <v>N/C</v>
      </c>
      <c r="DC12" s="601" t="str">
        <f t="shared" si="8"/>
        <v>N/C</v>
      </c>
      <c r="DD12" s="601" t="str">
        <f>IFS(AND(CZ6="",DA6=""),"N/C",DA6-CZ6=0,"1",AND(ISDATE(CZ6),ISDATE(DA6)),DA6-CZ6)</f>
        <v>N/C</v>
      </c>
      <c r="DE12" s="601" t="str">
        <f>IFS(OR(DE6&lt;&gt;"",ISDATE(DG6)),"SI",AND(DE6="",DG6=""),"NO")</f>
        <v>NO</v>
      </c>
      <c r="DF12" s="601" t="str">
        <f>IF(DE6&lt;&gt;"",DE6,"N/C")</f>
        <v>N/C</v>
      </c>
      <c r="DG12" s="601" t="str">
        <f t="shared" ref="DG12:DH12" si="9">IF(ISDATE(DG6),DG6,"N/C")</f>
        <v>N/C</v>
      </c>
      <c r="DH12" s="601" t="str">
        <f t="shared" si="9"/>
        <v>N/C</v>
      </c>
      <c r="DI12" s="601" t="str">
        <f>IFS(DI6&lt;&gt;"",DI6,AND(ISDATE(DH6),ISDATE(DG6)),"DATO PERDIDO",AND(DG6="",DH6=""),"N/C")</f>
        <v>N/C</v>
      </c>
      <c r="DJ12" s="601" t="str">
        <f>IF(DJ6&lt;&gt;"",DJ6,"N/C")</f>
        <v>N/C</v>
      </c>
      <c r="DK12" s="601" t="str">
        <f>IFS(OR(DH6="",DG6=""),"N/C",DH6-DG6=0,"1",AND(ISDATE(DH6),ISDATE(DG6)),DH6-DG6)</f>
        <v>N/C</v>
      </c>
      <c r="DL12" s="601" t="str">
        <f>IFS(OR(DM6&lt;&gt;"",ISDATE(DN6)),"SI",AND(DM6="",DN6=""),"N/C")</f>
        <v>N/C</v>
      </c>
      <c r="DM12" s="601" t="str">
        <f>IF(DM6&lt;&gt;"",DM6,"N/C")</f>
        <v>N/C</v>
      </c>
      <c r="DN12" s="601" t="str">
        <f t="shared" ref="DN12:DO12" si="10">IF(ISDATE(DN6),DN6,"N/C")</f>
        <v>N/C</v>
      </c>
      <c r="DO12" s="601" t="str">
        <f t="shared" si="10"/>
        <v>N/C</v>
      </c>
      <c r="DP12" s="601" t="str">
        <f>IFS(DP6&lt;&gt;"",DP6,AND(ISDATE(DO6),ISDATE(DN6)),"DATO PERDIDO",AND(DN6="",DO6=""),"N/C")</f>
        <v>N/C</v>
      </c>
      <c r="DQ12" s="601" t="str">
        <f>IF(DQ6&lt;&gt;"",DQ6,"N/C")</f>
        <v>N/C</v>
      </c>
      <c r="DR12" s="601" t="str">
        <f>IFS(AND(DN6="",DO6=""),"N/C",DO6-DN6=0,"1",AND(ISDATE(DN6),ISDATE(DO6)),DO6-DN6)</f>
        <v>N/C</v>
      </c>
      <c r="DS12" s="607" t="str">
        <f>IF(OR(DS10="TEP",DS11="TEP"),"SI","NO")</f>
        <v>NO</v>
      </c>
      <c r="DT12" s="607" t="str">
        <f>IF(OR(DT10="IAM",DT11="IAM"),"SI","NO")</f>
        <v>NO</v>
      </c>
      <c r="DU12" s="607" t="str">
        <f>IF(OR(DU10="PCR",DU11="PCR"),"SI","NO")</f>
        <v>NO</v>
      </c>
      <c r="DV12" s="607" t="str">
        <f>IF(OR(DV10="SDRA",DV11="SDRA"),"SI","NO")</f>
        <v>SI</v>
      </c>
      <c r="DW12" s="607" t="str">
        <f>IF(OR(DW10="BNM",DW11="BNM"),"SI","NO")</f>
        <v>SI</v>
      </c>
      <c r="DX12" s="607" t="str">
        <f>IF(OR(DX10="PRONO",DX11="PRONO"),"SI","NO")</f>
        <v>SI</v>
      </c>
      <c r="DY12" s="607" t="str">
        <f>IF(OR(DY10="DAUCI",DY11="DAUCI"),"SI","NO")</f>
        <v>NO</v>
      </c>
      <c r="DZ12" s="607" t="str">
        <f>IF(OR(DZ10="BAROTRAUMA",DZ11="BAROTRAUMA"),"SI","NO")</f>
        <v>NO</v>
      </c>
      <c r="EA12" s="607" t="str">
        <f>IF(OR(EA10="FMO",EA11="FMO"),"SI","NO")</f>
        <v>NO</v>
      </c>
      <c r="EB12" s="607" t="str">
        <f>IF(OR(EB10="EOT NO PROGRAMADA",EB11="EOT NO PROGRAMADA"),"SI","NO")</f>
        <v>NO</v>
      </c>
      <c r="EC12" s="607" t="str">
        <f>IF(OR(EC10="DELIRIUM",EC11="DELIRIUM"),"SI","NO")</f>
        <v>SI</v>
      </c>
      <c r="ED12" s="607" t="str">
        <f>IF(OR(ED10="PAFI&lt;200",ED11="PAFI&lt;200"),"SI","NO")</f>
        <v>SI</v>
      </c>
      <c r="EE12" s="607" t="str">
        <f>IF(OR(EE10="SHOCK/SEPSIS",EE11="SHOCK/SEPSIS"),"SI","NO")</f>
        <v>SI</v>
      </c>
      <c r="EF12" s="607" t="str">
        <f>IF(OR(EF10="I RENAL",EF11="I RENAL"),"SI","NO")</f>
        <v>NO</v>
      </c>
      <c r="EG12" s="607" t="str">
        <f>IF(OR(EG10="NAVM",EG11="NAVM"),"SI","NO")</f>
        <v>NO</v>
      </c>
      <c r="EH12" s="607" t="str">
        <f>IF(OR(EH10="LESIONES FACIALES",EH11="LESIONES FACIALES"),"SI","NO")</f>
        <v>NO</v>
      </c>
      <c r="EI12" s="607" t="str">
        <f>IF(OR(EI10="CAMBIO DE INTERFAZ POR DISCOMFORT",EI11="CAMBIO DE INTERFAZ POR DISCOMFORT"),"SI","NO")</f>
        <v>NO</v>
      </c>
      <c r="EJ12" s="601">
        <f>COUNTIF(DS12:EI12,"SI")</f>
        <v>6</v>
      </c>
      <c r="EK12" s="609">
        <f>+Monitoreo!C66</f>
        <v>20</v>
      </c>
      <c r="EL12" s="609">
        <f>+Monitoreo!C67</f>
        <v>18</v>
      </c>
      <c r="EM12" s="609">
        <f>+Monitoreo!C68</f>
        <v>0</v>
      </c>
      <c r="EN12" s="609">
        <f>+Monitoreo!C69</f>
        <v>2</v>
      </c>
      <c r="EO12" s="609">
        <f>+Monitoreo!C70</f>
        <v>0</v>
      </c>
      <c r="EP12" s="609">
        <f>+Monitoreo!C71</f>
        <v>0</v>
      </c>
      <c r="EQ12" s="609">
        <f>+Monitoreo!C72</f>
        <v>0</v>
      </c>
      <c r="ER12" s="609">
        <f>+Monitoreo!F66</f>
        <v>24</v>
      </c>
      <c r="ES12" s="609">
        <f>+Monitoreo!F67</f>
        <v>0</v>
      </c>
      <c r="ET12" s="609">
        <f>+Monitoreo!F68</f>
        <v>24</v>
      </c>
      <c r="EU12" s="609">
        <f>+Monitoreo!F69</f>
        <v>0</v>
      </c>
      <c r="EV12" s="609">
        <f>+Monitoreo!F70</f>
        <v>0</v>
      </c>
      <c r="EW12" s="609">
        <f>+Monitoreo!F71</f>
        <v>0</v>
      </c>
      <c r="EX12" s="609">
        <f>+Monitoreo!F72</f>
        <v>0</v>
      </c>
      <c r="EY12" s="609">
        <f>+Monitoreo!I66</f>
        <v>9</v>
      </c>
      <c r="EZ12" s="609">
        <f>+Monitoreo!I67</f>
        <v>5</v>
      </c>
      <c r="FA12" s="609">
        <f>+Monitoreo!I68</f>
        <v>0</v>
      </c>
      <c r="FB12" s="609">
        <f>+Monitoreo!I69</f>
        <v>4</v>
      </c>
      <c r="FC12" s="609">
        <f>+Monitoreo!I70</f>
        <v>0</v>
      </c>
      <c r="FD12" s="609">
        <f>+Monitoreo!I71</f>
        <v>0</v>
      </c>
      <c r="FE12" s="609">
        <f>+Monitoreo!I72</f>
        <v>0</v>
      </c>
      <c r="FF12" s="609">
        <f>+Monitoreo!I73</f>
        <v>0</v>
      </c>
      <c r="FG12" s="609">
        <f>+Monitoreo!M70</f>
        <v>14</v>
      </c>
      <c r="FH12" s="609">
        <f>+Monitoreo!M71</f>
        <v>0</v>
      </c>
      <c r="FI12" s="609">
        <f>+Monitoreo!M72</f>
        <v>0</v>
      </c>
      <c r="FJ12" s="609">
        <f>+Monitoreo!M73</f>
        <v>14</v>
      </c>
      <c r="FK12" s="609">
        <f>+Monitoreo!P70</f>
        <v>3</v>
      </c>
      <c r="FL12" s="609">
        <f>+Monitoreo!P71</f>
        <v>3</v>
      </c>
      <c r="FM12" s="609">
        <f>+Monitoreo!P72</f>
        <v>0</v>
      </c>
      <c r="FN12" s="609">
        <f>+Monitoreo!M66</f>
        <v>0</v>
      </c>
      <c r="FO12" s="609">
        <f>+Monitoreo!M67</f>
        <v>3</v>
      </c>
      <c r="FP12" s="609">
        <f>+Monitoreo!M68</f>
        <v>14</v>
      </c>
      <c r="FQ12" s="610" t="str">
        <f>+Monitoreo!C29</f>
        <v>VC-CMV</v>
      </c>
      <c r="FR12" s="610" t="str">
        <f>+Monitoreo!D29</f>
        <v>VC-CMV</v>
      </c>
      <c r="FS12" s="610" t="str">
        <f>+Monitoreo!E29</f>
        <v>VC-CMV</v>
      </c>
      <c r="FT12" s="610" t="str">
        <f>+Monitoreo!G29</f>
        <v>VC-CMV</v>
      </c>
      <c r="FU12" s="610" t="str">
        <f>+Monitoreo!I29</f>
        <v>VC-CMV</v>
      </c>
      <c r="FV12" s="601">
        <f>+Monitoreo!C30</f>
        <v>400</v>
      </c>
      <c r="FW12" s="601">
        <f>+Monitoreo!D30</f>
        <v>400</v>
      </c>
      <c r="FX12" s="601">
        <f>+Monitoreo!E30</f>
        <v>400</v>
      </c>
      <c r="FY12" s="601">
        <f>+Monitoreo!G30</f>
        <v>490</v>
      </c>
      <c r="FZ12" s="601">
        <f>+Monitoreo!I30</f>
        <v>490</v>
      </c>
      <c r="GA12" s="601">
        <f>+Monitoreo!C31</f>
        <v>16</v>
      </c>
      <c r="GB12" s="601">
        <f>+Monitoreo!D31</f>
        <v>26</v>
      </c>
      <c r="GC12" s="601">
        <f>+Monitoreo!E31</f>
        <v>28</v>
      </c>
      <c r="GD12" s="601">
        <f>+Monitoreo!G31</f>
        <v>22</v>
      </c>
      <c r="GE12" s="601">
        <f>+Monitoreo!I31</f>
        <v>20</v>
      </c>
      <c r="GF12" s="601">
        <f>+Monitoreo!C32</f>
        <v>12</v>
      </c>
      <c r="GG12" s="601">
        <f>+Monitoreo!D32</f>
        <v>12</v>
      </c>
      <c r="GH12" s="601">
        <f>+Monitoreo!E32</f>
        <v>12</v>
      </c>
      <c r="GI12" s="601">
        <f>+Monitoreo!G32</f>
        <v>10</v>
      </c>
      <c r="GJ12" s="601">
        <f>+Monitoreo!I32</f>
        <v>9</v>
      </c>
      <c r="GK12" s="601">
        <f>+Monitoreo!C33</f>
        <v>0.7</v>
      </c>
      <c r="GL12" s="601">
        <f>+Monitoreo!D33</f>
        <v>0.6</v>
      </c>
      <c r="GM12" s="601">
        <f>+Monitoreo!E33</f>
        <v>0.4</v>
      </c>
      <c r="GN12" s="601">
        <f>+Monitoreo!G33</f>
        <v>0.45</v>
      </c>
      <c r="GO12" s="601">
        <f>+Monitoreo!I33</f>
        <v>0.4</v>
      </c>
      <c r="GP12" s="601">
        <f>+Monitoreo!C37</f>
        <v>16</v>
      </c>
      <c r="GQ12" s="601">
        <f>+Monitoreo!D37</f>
        <v>26</v>
      </c>
      <c r="GR12" s="601">
        <f>+Monitoreo!E37</f>
        <v>28</v>
      </c>
      <c r="GS12" s="601">
        <f>+Monitoreo!G37</f>
        <v>22</v>
      </c>
      <c r="GT12" s="601">
        <f>+Monitoreo!I37</f>
        <v>20</v>
      </c>
      <c r="GU12" s="601">
        <f>+Monitoreo!C39</f>
        <v>6.4</v>
      </c>
      <c r="GV12" s="601">
        <f>+Monitoreo!D39</f>
        <v>10.4</v>
      </c>
      <c r="GW12" s="601">
        <f>+Monitoreo!E39</f>
        <v>11.2</v>
      </c>
      <c r="GX12" s="601">
        <f>+Monitoreo!G39</f>
        <v>10.9</v>
      </c>
      <c r="GY12" s="601">
        <f>+Monitoreo!I39</f>
        <v>9.8</v>
      </c>
      <c r="GZ12" s="601">
        <f>+Monitoreo!C40</f>
        <v>35</v>
      </c>
      <c r="HA12" s="601">
        <f>+Monitoreo!D40</f>
        <v>34</v>
      </c>
      <c r="HB12" s="601">
        <f>+Monitoreo!E40</f>
        <v>46</v>
      </c>
      <c r="HC12" s="601">
        <f>+Monitoreo!G40</f>
        <v>40</v>
      </c>
      <c r="HD12" s="601">
        <f>+Monitoreo!I40</f>
        <v>29</v>
      </c>
      <c r="HE12" s="601">
        <f>+Monitoreo!C41</f>
        <v>25</v>
      </c>
      <c r="HF12" s="601">
        <f>+Monitoreo!D41</f>
        <v>23</v>
      </c>
      <c r="HG12" s="601">
        <f>+Monitoreo!E41</f>
        <v>23</v>
      </c>
      <c r="HH12" s="601">
        <f>+Monitoreo!G41</f>
        <v>25</v>
      </c>
      <c r="HI12" s="601">
        <f>+Monitoreo!I41</f>
        <v>21</v>
      </c>
      <c r="HJ12" s="601">
        <f>+Monitoreo!C42</f>
        <v>14</v>
      </c>
      <c r="HK12" s="601">
        <f>+Monitoreo!D42</f>
        <v>12.5</v>
      </c>
      <c r="HL12" s="601">
        <f>+Monitoreo!E42</f>
        <v>12.4</v>
      </c>
      <c r="HM12" s="601">
        <f>+Monitoreo!G42</f>
        <v>10</v>
      </c>
      <c r="HN12" s="601">
        <f>+Monitoreo!I42</f>
        <v>9.7</v>
      </c>
      <c r="HO12" s="601">
        <f>+Monitoreo!C52</f>
        <v>11</v>
      </c>
      <c r="HP12" s="601">
        <f>+Monitoreo!D52</f>
        <v>10.5</v>
      </c>
      <c r="HQ12" s="601">
        <f>+Monitoreo!E52</f>
        <v>10.6</v>
      </c>
      <c r="HR12" s="601">
        <f>+Monitoreo!G52</f>
        <v>15</v>
      </c>
      <c r="HS12" s="601">
        <f>+Monitoreo!I52</f>
        <v>11.3</v>
      </c>
      <c r="HT12" s="603">
        <f>+Monitoreo!C48</f>
        <v>5.668452229</v>
      </c>
      <c r="HU12" s="603">
        <f>+Monitoreo!D48</f>
        <v>5.668452229</v>
      </c>
      <c r="HV12" s="603">
        <f>+Monitoreo!E48</f>
        <v>5.668452229</v>
      </c>
      <c r="HW12" s="603">
        <f>+Monitoreo!G48</f>
        <v>6.943853981</v>
      </c>
      <c r="HX12" s="603">
        <f>+Monitoreo!I48</f>
        <v>6.943853981</v>
      </c>
      <c r="HY12" s="603">
        <f>+Monitoreo!C53</f>
        <v>36.36363636</v>
      </c>
      <c r="HZ12" s="603">
        <f>+Monitoreo!D53</f>
        <v>38.0952381</v>
      </c>
      <c r="IA12" s="603">
        <f>+Monitoreo!E53</f>
        <v>37.73584906</v>
      </c>
      <c r="IB12" s="603">
        <f>+Monitoreo!G53</f>
        <v>32.66666667</v>
      </c>
      <c r="IC12" s="603">
        <f>+Monitoreo!I53</f>
        <v>43.36283186</v>
      </c>
      <c r="ID12" s="611">
        <f>+Monitoreo!C54</f>
        <v>17.64705882</v>
      </c>
      <c r="IE12" s="611">
        <f>+Monitoreo!D54</f>
        <v>19.41176471</v>
      </c>
      <c r="IF12" s="611">
        <f>+Monitoreo!E54</f>
        <v>26.03773585</v>
      </c>
      <c r="IG12" s="611">
        <f>+Monitoreo!G54</f>
        <v>16.07142857</v>
      </c>
      <c r="IH12" s="611">
        <f>+Monitoreo!I54</f>
        <v>12</v>
      </c>
      <c r="II12" s="601">
        <f>+Monitoreo!C51</f>
        <v>21.7</v>
      </c>
      <c r="IJ12" s="601">
        <f>+Monitoreo!D51</f>
        <v>19.85</v>
      </c>
      <c r="IK12" s="601">
        <f>+Monitoreo!E51</f>
        <v>19.82</v>
      </c>
      <c r="IL12" s="601">
        <f>+Monitoreo!G51</f>
        <v>22</v>
      </c>
      <c r="IM12" s="601">
        <f>+Monitoreo!I51</f>
        <v>18.74</v>
      </c>
      <c r="IN12" s="611">
        <f>+Monitoreo!C55</f>
        <v>18.55510588</v>
      </c>
      <c r="IO12" s="611">
        <f>+Monitoreo!D55</f>
        <v>29.39621176</v>
      </c>
      <c r="IP12" s="611">
        <f>+Monitoreo!E55</f>
        <v>35.75838792</v>
      </c>
      <c r="IQ12" s="611">
        <f>+Monitoreo!G55</f>
        <v>28.88703125</v>
      </c>
      <c r="IR12" s="611">
        <f>+Monitoreo!I55</f>
        <v>21.80108</v>
      </c>
      <c r="IS12" s="611">
        <f>+Monitoreo!C56</f>
        <v>0.5102654118</v>
      </c>
      <c r="IT12" s="601" t="str">
        <f>+Monitoreo!D56</f>
        <v/>
      </c>
      <c r="IU12" s="601" t="str">
        <f>+Monitoreo!E56</f>
        <v/>
      </c>
      <c r="IV12" s="601" t="str">
        <f>+Monitoreo!G56</f>
        <v/>
      </c>
      <c r="IW12" s="601" t="str">
        <f>+Monitoreo!I56</f>
        <v/>
      </c>
      <c r="IX12" s="611">
        <f>+Monitoreo!C57</f>
        <v>0.2629468283</v>
      </c>
      <c r="IY12" s="611">
        <f>+Monitoreo!D57</f>
        <v>0.4165775553</v>
      </c>
      <c r="IZ12" s="611">
        <f>+Monitoreo!E57</f>
        <v>0.5067367844</v>
      </c>
      <c r="JA12" s="611">
        <f>+Monitoreo!G57</f>
        <v>0.4093618917</v>
      </c>
      <c r="JB12" s="611">
        <f>+Monitoreo!I57</f>
        <v>0.3089459513</v>
      </c>
      <c r="JC12" s="611">
        <f>+Monitoreo!C62</f>
        <v>176</v>
      </c>
      <c r="JD12" s="611">
        <f>+Monitoreo!D62</f>
        <v>273</v>
      </c>
      <c r="JE12" s="611">
        <f>+Monitoreo!E62</f>
        <v>296.8</v>
      </c>
      <c r="JF12" s="611">
        <f>+Monitoreo!G62</f>
        <v>330</v>
      </c>
      <c r="JG12" s="611">
        <f>+Monitoreo!I62</f>
        <v>226</v>
      </c>
      <c r="JH12" s="611" t="str">
        <f>+Monitoreo!C58</f>
        <v/>
      </c>
      <c r="JI12" s="611">
        <f>+Monitoreo!D58</f>
        <v>1.917901917</v>
      </c>
      <c r="JJ12" s="611">
        <f>+Monitoreo!E58</f>
        <v>1.61256129</v>
      </c>
      <c r="JK12" s="611">
        <f>+Monitoreo!G58</f>
        <v>1.44167635</v>
      </c>
      <c r="JL12" s="611">
        <f>+Monitoreo!I58</f>
        <v>1.399880963</v>
      </c>
      <c r="JM12" s="601" t="str">
        <f>+Monitoreo!C59</f>
        <v/>
      </c>
      <c r="JN12" s="601" t="str">
        <f>+Monitoreo!D59</f>
        <v/>
      </c>
      <c r="JO12" s="601" t="str">
        <f>+Monitoreo!E59</f>
        <v/>
      </c>
      <c r="JP12" s="601" t="str">
        <f>+Monitoreo!G59</f>
        <v/>
      </c>
      <c r="JQ12" s="601" t="str">
        <f>+Monitoreo!I59</f>
        <v/>
      </c>
      <c r="JR12" s="601">
        <f>+Monitoreo!C44</f>
        <v>-0.5</v>
      </c>
      <c r="JS12" s="601" t="str">
        <f>+Monitoreo!D44</f>
        <v/>
      </c>
      <c r="JT12" s="601" t="str">
        <f>+Monitoreo!E44</f>
        <v/>
      </c>
      <c r="JU12" s="601" t="str">
        <f>+Monitoreo!G44</f>
        <v/>
      </c>
      <c r="JV12" s="601" t="str">
        <f>+Monitoreo!I44</f>
        <v/>
      </c>
      <c r="JW12" s="601" t="str">
        <f>+Monitoreo!C45</f>
        <v/>
      </c>
      <c r="JX12" s="601" t="str">
        <f>+Monitoreo!D45</f>
        <v/>
      </c>
      <c r="JY12" s="601" t="str">
        <f>+Monitoreo!E45</f>
        <v/>
      </c>
      <c r="JZ12" s="601" t="str">
        <f>+Monitoreo!G45</f>
        <v/>
      </c>
      <c r="KA12" s="601" t="str">
        <f>+Monitoreo!I45</f>
        <v/>
      </c>
      <c r="KB12" s="601" t="str">
        <f>+Monitoreo!C63</f>
        <v>#N/A</v>
      </c>
      <c r="KC12" s="603">
        <f>+Monitoreo!D63</f>
        <v>12.69722814</v>
      </c>
      <c r="KD12" s="603">
        <f>+Monitoreo!E63</f>
        <v>9.019340159</v>
      </c>
      <c r="KE12" s="603">
        <f>+Monitoreo!G63</f>
        <v>13.58024691</v>
      </c>
      <c r="KF12" s="603">
        <f>+Monitoreo!I63</f>
        <v>9.981358189</v>
      </c>
      <c r="KG12" s="601" t="str">
        <f>+Monitoreo!C20</f>
        <v/>
      </c>
      <c r="KH12" s="601">
        <f>+Monitoreo!D20</f>
        <v>7.29</v>
      </c>
      <c r="KI12" s="601">
        <f>+Monitoreo!E20</f>
        <v>7.42</v>
      </c>
      <c r="KJ12" s="601">
        <f>+Monitoreo!G20</f>
        <v>7.41</v>
      </c>
      <c r="KK12" s="601">
        <f>+Monitoreo!I20</f>
        <v>7.41</v>
      </c>
      <c r="KL12" s="601" t="str">
        <f>+Monitoreo!C22</f>
        <v/>
      </c>
      <c r="KM12" s="601">
        <f>+Monitoreo!D22</f>
        <v>93.8</v>
      </c>
      <c r="KN12" s="601">
        <f>+Monitoreo!E22</f>
        <v>87.9</v>
      </c>
      <c r="KO12" s="601">
        <f>+Monitoreo!G22</f>
        <v>81</v>
      </c>
      <c r="KP12" s="601">
        <f>+Monitoreo!I22</f>
        <v>75.1</v>
      </c>
      <c r="KQ12" s="601" t="str">
        <f>+Monitoreo!C21</f>
        <v/>
      </c>
      <c r="KR12" s="601">
        <f>+Monitoreo!D21</f>
        <v>48.8</v>
      </c>
      <c r="KS12" s="601">
        <f>+Monitoreo!E21</f>
        <v>38.1</v>
      </c>
      <c r="KT12" s="601">
        <f>+Monitoreo!G21</f>
        <v>35</v>
      </c>
      <c r="KU12" s="601">
        <f>+Monitoreo!I21</f>
        <v>37.8</v>
      </c>
      <c r="KV12" s="601" t="str">
        <f>+Monitoreo!C25</f>
        <v/>
      </c>
      <c r="KW12" s="601">
        <f>+Monitoreo!D25</f>
        <v>96.1</v>
      </c>
      <c r="KX12" s="601">
        <f>+Monitoreo!E25</f>
        <v>97</v>
      </c>
      <c r="KY12" s="601">
        <f>+Monitoreo!G25</f>
        <v>96</v>
      </c>
      <c r="KZ12" s="601">
        <f>+Monitoreo!I25</f>
        <v>95.1</v>
      </c>
      <c r="LA12" s="601">
        <f>+Monitoreo!C10</f>
        <v>95</v>
      </c>
      <c r="LB12" s="601">
        <f>+Monitoreo!D10</f>
        <v>95</v>
      </c>
      <c r="LC12" s="601">
        <f>+Monitoreo!E10</f>
        <v>97</v>
      </c>
      <c r="LD12" s="601">
        <f>+Monitoreo!G10</f>
        <v>94</v>
      </c>
      <c r="LE12" s="601">
        <f>+Monitoreo!I10</f>
        <v>95</v>
      </c>
      <c r="LF12" s="603" t="str">
        <f>+Monitoreo!C28</f>
        <v/>
      </c>
      <c r="LG12" s="603">
        <f>+Monitoreo!D28</f>
        <v>156.3333333</v>
      </c>
      <c r="LH12" s="603">
        <f>+Monitoreo!E28</f>
        <v>219.75</v>
      </c>
      <c r="LI12" s="603">
        <f>+Monitoreo!G28</f>
        <v>162</v>
      </c>
      <c r="LJ12" s="603">
        <f>+Monitoreo!I28</f>
        <v>187.75</v>
      </c>
      <c r="LK12" s="603" t="str">
        <f>+Monitoreo!C47</f>
        <v>SUPINO</v>
      </c>
      <c r="LL12" s="603" t="str">
        <f>+Monitoreo!D47</f>
        <v>SUPINO</v>
      </c>
      <c r="LM12" s="603" t="str">
        <f>+Monitoreo!E47</f>
        <v>SUPINO</v>
      </c>
      <c r="LN12" s="603" t="str">
        <f>+Monitoreo!G47</f>
        <v/>
      </c>
      <c r="LO12" s="603" t="str">
        <f>+Monitoreo!I47</f>
        <v>SUPINO</v>
      </c>
      <c r="LP12" s="612">
        <v>0.0</v>
      </c>
      <c r="LQ12" s="601"/>
    </row>
    <row r="14">
      <c r="DW14" s="492">
        <f>+Monitoreo!P70</f>
        <v>3</v>
      </c>
      <c r="DX14" s="28">
        <f>+General!J23</f>
        <v>0</v>
      </c>
      <c r="DY14" s="28" t="str">
        <f>+Monitoreo!P66</f>
        <v>NO</v>
      </c>
      <c r="EB14" s="28" t="str">
        <f>+General!D30</f>
        <v/>
      </c>
      <c r="EC14" s="613">
        <f>+Monitoreo!M66</f>
        <v>0</v>
      </c>
      <c r="ED14" s="492">
        <f>+Monitoreo!T66</f>
        <v>7</v>
      </c>
    </row>
    <row r="15">
      <c r="A15" s="614" t="s">
        <v>380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5"/>
      <c r="N15" s="615"/>
      <c r="O15" s="615"/>
      <c r="P15" s="615"/>
      <c r="Q15" s="616"/>
    </row>
    <row r="16">
      <c r="A16" s="617"/>
      <c r="Q16" s="618"/>
    </row>
    <row r="17">
      <c r="A17" s="617"/>
      <c r="Q17" s="618"/>
    </row>
    <row r="18">
      <c r="A18" s="617"/>
      <c r="Q18" s="618"/>
    </row>
    <row r="19">
      <c r="A19" s="619"/>
      <c r="B19" s="620"/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1"/>
    </row>
  </sheetData>
  <mergeCells count="46">
    <mergeCell ref="BT4:CG4"/>
    <mergeCell ref="CH4:CP4"/>
    <mergeCell ref="A15:Q19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A4:Y4"/>
    <mergeCell ref="Z4:BD4"/>
    <mergeCell ref="BE4:BS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2" t="s">
        <v>381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  <c r="P1" s="623"/>
      <c r="Q1" s="623"/>
      <c r="R1" s="623"/>
      <c r="S1" s="623"/>
      <c r="T1" s="623"/>
      <c r="U1" s="623"/>
      <c r="V1" s="623"/>
      <c r="W1" s="623"/>
      <c r="X1" s="623"/>
      <c r="Y1" s="623"/>
      <c r="Z1" s="623"/>
      <c r="AA1" s="623"/>
      <c r="AB1" s="623"/>
      <c r="AC1" s="623"/>
      <c r="AD1" s="623"/>
      <c r="AE1" s="623"/>
      <c r="AF1" s="623"/>
      <c r="AG1" s="624"/>
      <c r="AH1" s="625"/>
      <c r="AI1" s="625"/>
      <c r="AJ1" s="625"/>
      <c r="AK1" s="625"/>
      <c r="AL1" s="625"/>
      <c r="AM1" s="625"/>
      <c r="AN1" s="625"/>
      <c r="AO1" s="625"/>
      <c r="AP1" s="625"/>
      <c r="AQ1" s="625"/>
      <c r="AR1" s="625"/>
      <c r="AS1" s="625"/>
      <c r="AT1" s="625"/>
      <c r="AU1" s="625"/>
      <c r="AV1" s="625"/>
      <c r="AW1" s="625"/>
      <c r="AX1" s="625"/>
      <c r="AY1" s="625"/>
      <c r="AZ1" s="625"/>
      <c r="BA1" s="625"/>
    </row>
    <row r="2" ht="41.25" customHeight="1">
      <c r="A2" s="626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141"/>
      <c r="AH2" s="625"/>
      <c r="AI2" s="625"/>
      <c r="AJ2" s="625"/>
      <c r="AK2" s="625"/>
      <c r="AL2" s="625"/>
      <c r="AM2" s="625"/>
      <c r="AN2" s="625"/>
      <c r="AO2" s="625"/>
      <c r="AP2" s="625"/>
      <c r="AQ2" s="625"/>
      <c r="AR2" s="625"/>
      <c r="AS2" s="625"/>
      <c r="AT2" s="625"/>
      <c r="AU2" s="625"/>
      <c r="AV2" s="625"/>
      <c r="AW2" s="625"/>
      <c r="AX2" s="625"/>
      <c r="AY2" s="625"/>
      <c r="AZ2" s="625"/>
      <c r="BA2" s="625"/>
    </row>
    <row r="3">
      <c r="A3" s="627"/>
      <c r="B3" s="628" t="s">
        <v>382</v>
      </c>
      <c r="C3" s="21"/>
      <c r="D3" s="21"/>
      <c r="E3" s="22"/>
      <c r="F3" s="629" t="s">
        <v>383</v>
      </c>
      <c r="G3" s="22"/>
      <c r="H3" s="629" t="s">
        <v>384</v>
      </c>
      <c r="I3" s="21"/>
      <c r="J3" s="21"/>
      <c r="K3" s="21"/>
      <c r="L3" s="22"/>
      <c r="M3" s="629" t="s">
        <v>385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9" t="s">
        <v>386</v>
      </c>
      <c r="AA3" s="22"/>
      <c r="AB3" s="629" t="s">
        <v>387</v>
      </c>
      <c r="AC3" s="21"/>
      <c r="AD3" s="21"/>
      <c r="AE3" s="21"/>
      <c r="AF3" s="22"/>
      <c r="AG3" s="630"/>
      <c r="AH3" s="631"/>
      <c r="AI3" s="631"/>
      <c r="AJ3" s="631"/>
      <c r="AK3" s="631"/>
      <c r="AL3" s="631"/>
      <c r="AM3" s="631"/>
      <c r="AN3" s="631"/>
      <c r="AO3" s="631"/>
      <c r="AP3" s="631"/>
      <c r="AQ3" s="631"/>
      <c r="AR3" s="631"/>
      <c r="AS3" s="631"/>
      <c r="AT3" s="631"/>
      <c r="AU3" s="631"/>
      <c r="AV3" s="631"/>
      <c r="AW3" s="631"/>
      <c r="AX3" s="631"/>
      <c r="AY3" s="631"/>
      <c r="AZ3" s="631"/>
      <c r="BA3" s="631"/>
    </row>
    <row r="4">
      <c r="A4" s="632"/>
      <c r="B4" s="633" t="s">
        <v>262</v>
      </c>
      <c r="C4" s="633" t="s">
        <v>264</v>
      </c>
      <c r="D4" s="634" t="s">
        <v>388</v>
      </c>
      <c r="E4" s="635" t="s">
        <v>389</v>
      </c>
      <c r="F4" s="635" t="s">
        <v>390</v>
      </c>
      <c r="G4" s="635" t="s">
        <v>391</v>
      </c>
      <c r="H4" s="636" t="s">
        <v>392</v>
      </c>
      <c r="I4" s="636" t="s">
        <v>393</v>
      </c>
      <c r="J4" s="636" t="s">
        <v>394</v>
      </c>
      <c r="K4" s="636" t="s">
        <v>395</v>
      </c>
      <c r="L4" s="636" t="s">
        <v>396</v>
      </c>
      <c r="M4" s="636" t="s">
        <v>397</v>
      </c>
      <c r="N4" s="636" t="s">
        <v>398</v>
      </c>
      <c r="O4" s="636" t="s">
        <v>399</v>
      </c>
      <c r="P4" s="636" t="s">
        <v>400</v>
      </c>
      <c r="Q4" s="636" t="s">
        <v>401</v>
      </c>
      <c r="R4" s="636" t="s">
        <v>402</v>
      </c>
      <c r="S4" s="637" t="s">
        <v>33</v>
      </c>
      <c r="T4" s="637" t="s">
        <v>403</v>
      </c>
      <c r="U4" s="636" t="s">
        <v>404</v>
      </c>
      <c r="V4" s="636" t="s">
        <v>405</v>
      </c>
      <c r="W4" s="634" t="s">
        <v>406</v>
      </c>
      <c r="X4" s="634" t="s">
        <v>407</v>
      </c>
      <c r="Y4" s="637" t="s">
        <v>408</v>
      </c>
      <c r="Z4" s="635" t="s">
        <v>409</v>
      </c>
      <c r="AA4" s="637" t="s">
        <v>410</v>
      </c>
      <c r="AB4" s="638" t="s">
        <v>411</v>
      </c>
      <c r="AC4" s="638" t="s">
        <v>412</v>
      </c>
      <c r="AD4" s="638" t="s">
        <v>413</v>
      </c>
      <c r="AE4" s="638" t="s">
        <v>414</v>
      </c>
      <c r="AF4" s="638" t="s">
        <v>415</v>
      </c>
      <c r="AG4" s="639" t="s">
        <v>416</v>
      </c>
      <c r="AH4" s="640"/>
      <c r="AI4" s="641"/>
      <c r="AJ4" s="641"/>
      <c r="AK4" s="641"/>
      <c r="AL4" s="641"/>
      <c r="AM4" s="641"/>
      <c r="AN4" s="641"/>
      <c r="AO4" s="641"/>
      <c r="AP4" s="641"/>
      <c r="AQ4" s="641"/>
      <c r="AR4" s="641"/>
      <c r="AS4" s="641"/>
      <c r="AT4" s="641"/>
      <c r="AU4" s="641"/>
      <c r="AV4" s="641"/>
      <c r="AW4" s="641"/>
      <c r="AX4" s="641"/>
      <c r="AY4" s="641"/>
      <c r="AZ4" s="641"/>
      <c r="BA4" s="641"/>
    </row>
    <row r="5">
      <c r="A5" s="492"/>
      <c r="B5" s="492"/>
      <c r="C5" s="492"/>
      <c r="D5" s="492"/>
      <c r="E5" s="492"/>
      <c r="F5" s="492" t="str">
        <f>+General!G6</f>
        <v>MÉDICO</v>
      </c>
      <c r="G5" s="492"/>
      <c r="H5" s="492" t="str">
        <f>+General!B10</f>
        <v>COVID</v>
      </c>
      <c r="I5" s="642">
        <f>+General!H22</f>
        <v>44304</v>
      </c>
      <c r="J5" s="492" t="str">
        <f>+General!F10</f>
        <v/>
      </c>
      <c r="K5" s="492" t="str">
        <f>+General!B11</f>
        <v/>
      </c>
      <c r="L5" s="492" t="str">
        <f>+General!F11</f>
        <v/>
      </c>
      <c r="M5" s="599">
        <f>+General!H26</f>
        <v>3</v>
      </c>
      <c r="N5" s="599">
        <f>+General!J26</f>
        <v>3</v>
      </c>
      <c r="O5" s="492"/>
      <c r="P5" s="492"/>
      <c r="Q5" s="643">
        <f>+General!H27</f>
        <v>0</v>
      </c>
      <c r="R5" s="643">
        <f>+General!F27</f>
        <v>0</v>
      </c>
      <c r="S5" s="644" t="str">
        <f>+General!D20</f>
        <v/>
      </c>
      <c r="T5" s="492" t="str">
        <f>+General!B23</f>
        <v/>
      </c>
      <c r="U5" s="643">
        <f>+General!B27</f>
        <v>1</v>
      </c>
      <c r="V5" s="644" t="str">
        <f>+General!D19</f>
        <v/>
      </c>
      <c r="W5" s="643">
        <f>+General!D27</f>
        <v>0</v>
      </c>
      <c r="X5" s="492"/>
      <c r="Y5" s="492"/>
      <c r="Z5" s="645">
        <f>+General!D38</f>
        <v>44336</v>
      </c>
      <c r="AA5" s="492"/>
      <c r="AB5" s="492" t="str">
        <f>+General!J38</f>
        <v>PISO</v>
      </c>
      <c r="AC5" s="492"/>
      <c r="AD5" s="492"/>
      <c r="AE5" s="492"/>
      <c r="AF5" s="492" t="str">
        <f>+General!B38</f>
        <v>VIVO</v>
      </c>
      <c r="AG5" s="492"/>
      <c r="AH5" s="492"/>
      <c r="AI5" s="492"/>
      <c r="AJ5" s="492"/>
      <c r="AK5" s="492"/>
      <c r="AL5" s="492"/>
      <c r="AM5" s="492"/>
      <c r="AN5" s="492"/>
      <c r="AO5" s="492"/>
      <c r="AP5" s="492"/>
      <c r="AQ5" s="492"/>
      <c r="AR5" s="492"/>
      <c r="AS5" s="492"/>
      <c r="AT5" s="492"/>
      <c r="AU5" s="492"/>
      <c r="AV5" s="492"/>
      <c r="AW5" s="492"/>
      <c r="AX5" s="492"/>
      <c r="AY5" s="492"/>
      <c r="AZ5" s="492"/>
      <c r="BA5" s="492"/>
    </row>
    <row r="6">
      <c r="A6" s="492"/>
      <c r="B6" s="492"/>
      <c r="C6" s="492"/>
      <c r="D6" s="492"/>
      <c r="E6" s="492"/>
      <c r="F6" s="492"/>
      <c r="G6" s="492"/>
      <c r="H6" s="492"/>
      <c r="I6" s="492"/>
      <c r="J6" s="492"/>
      <c r="K6" s="492"/>
      <c r="L6" s="492"/>
      <c r="M6" s="492"/>
      <c r="N6" s="492"/>
      <c r="O6" s="492"/>
      <c r="P6" s="492"/>
      <c r="Q6" s="492"/>
      <c r="R6" s="492"/>
      <c r="S6" s="644" t="str">
        <f>+General!F20</f>
        <v/>
      </c>
      <c r="T6" s="645">
        <f>+General!C35</f>
        <v>44321</v>
      </c>
      <c r="U6" s="492"/>
      <c r="V6" s="644" t="str">
        <f>+General!F19</f>
        <v/>
      </c>
      <c r="W6" s="492"/>
      <c r="X6" s="492"/>
      <c r="Y6" s="492"/>
      <c r="Z6" s="492"/>
      <c r="AA6" s="492"/>
      <c r="AB6" s="492"/>
      <c r="AC6" s="492"/>
      <c r="AD6" s="492"/>
      <c r="AE6" s="492"/>
      <c r="AF6" s="492"/>
      <c r="AG6" s="492"/>
      <c r="AH6" s="492"/>
      <c r="AI6" s="492"/>
      <c r="AJ6" s="492"/>
      <c r="AK6" s="492"/>
      <c r="AL6" s="492"/>
      <c r="AM6" s="492"/>
      <c r="AN6" s="492"/>
      <c r="AO6" s="492"/>
      <c r="AP6" s="492"/>
      <c r="AQ6" s="492"/>
      <c r="AR6" s="492"/>
      <c r="AS6" s="492"/>
      <c r="AT6" s="492"/>
      <c r="AU6" s="492"/>
      <c r="AV6" s="492"/>
      <c r="AW6" s="492"/>
      <c r="AX6" s="492"/>
      <c r="AY6" s="492"/>
      <c r="AZ6" s="492"/>
      <c r="BA6" s="492"/>
    </row>
    <row r="7">
      <c r="A7" s="492"/>
      <c r="B7" s="492"/>
      <c r="C7" s="492"/>
      <c r="D7" s="492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644" t="str">
        <f>+General!D31</f>
        <v/>
      </c>
      <c r="T7" s="644" t="str">
        <f>+General!E36</f>
        <v/>
      </c>
      <c r="U7" s="492"/>
      <c r="V7" s="646" t="str">
        <f>+General!D32</f>
        <v/>
      </c>
      <c r="W7" s="492"/>
      <c r="X7" s="492"/>
      <c r="Y7" s="492"/>
      <c r="Z7" s="492"/>
      <c r="AA7" s="492"/>
      <c r="AB7" s="492"/>
      <c r="AC7" s="492"/>
      <c r="AD7" s="492"/>
      <c r="AE7" s="492"/>
      <c r="AF7" s="492"/>
      <c r="AG7" s="492"/>
      <c r="AH7" s="492"/>
      <c r="AI7" s="492"/>
      <c r="AJ7" s="492"/>
      <c r="AK7" s="492"/>
      <c r="AL7" s="492"/>
      <c r="AM7" s="492"/>
      <c r="AN7" s="492"/>
      <c r="AO7" s="492"/>
      <c r="AP7" s="492"/>
      <c r="AQ7" s="492"/>
      <c r="AR7" s="492"/>
      <c r="AS7" s="492"/>
      <c r="AT7" s="492"/>
      <c r="AU7" s="492"/>
      <c r="AV7" s="492"/>
      <c r="AW7" s="492"/>
      <c r="AX7" s="492"/>
      <c r="AY7" s="492"/>
      <c r="AZ7" s="492"/>
      <c r="BA7" s="492"/>
    </row>
    <row r="8">
      <c r="A8" s="492"/>
      <c r="B8" s="492"/>
      <c r="C8" s="492"/>
      <c r="D8" s="492"/>
      <c r="E8" s="492"/>
      <c r="F8" s="492"/>
      <c r="G8" s="492"/>
      <c r="H8" s="492"/>
      <c r="I8" s="492"/>
      <c r="J8" s="492"/>
      <c r="K8" s="492"/>
      <c r="L8" s="492"/>
      <c r="M8" s="492"/>
      <c r="N8" s="492"/>
      <c r="O8" s="492"/>
      <c r="P8" s="492"/>
      <c r="Q8" s="492"/>
      <c r="R8" s="492"/>
      <c r="S8" s="644" t="str">
        <f>+General!F31</f>
        <v/>
      </c>
      <c r="T8" s="492"/>
      <c r="U8" s="492"/>
      <c r="V8" s="646" t="str">
        <f>+General!F32</f>
        <v/>
      </c>
      <c r="W8" s="492"/>
      <c r="X8" s="492"/>
      <c r="Y8" s="492"/>
      <c r="Z8" s="492"/>
      <c r="AA8" s="492"/>
      <c r="AB8" s="492"/>
      <c r="AC8" s="492"/>
      <c r="AD8" s="492"/>
      <c r="AE8" s="492"/>
      <c r="AF8" s="492"/>
      <c r="AG8" s="492"/>
      <c r="AH8" s="492"/>
      <c r="AI8" s="492"/>
      <c r="AJ8" s="492"/>
      <c r="AK8" s="492"/>
      <c r="AL8" s="492"/>
      <c r="AM8" s="492"/>
      <c r="AN8" s="492"/>
      <c r="AO8" s="492"/>
      <c r="AP8" s="492"/>
      <c r="AQ8" s="492"/>
      <c r="AR8" s="492"/>
      <c r="AS8" s="492"/>
      <c r="AT8" s="492"/>
      <c r="AU8" s="492"/>
      <c r="AV8" s="492"/>
      <c r="AW8" s="492"/>
      <c r="AX8" s="492"/>
      <c r="AY8" s="492"/>
      <c r="AZ8" s="492"/>
      <c r="BA8" s="492"/>
    </row>
    <row r="9">
      <c r="A9" s="492"/>
      <c r="B9" s="492"/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2"/>
      <c r="R9" s="492"/>
      <c r="S9" s="492"/>
      <c r="T9" s="492"/>
      <c r="U9" s="492"/>
      <c r="V9" s="492"/>
      <c r="W9" s="492"/>
      <c r="X9" s="492"/>
      <c r="Y9" s="492"/>
      <c r="Z9" s="492"/>
      <c r="AA9" s="492"/>
      <c r="AB9" s="492"/>
      <c r="AC9" s="492"/>
      <c r="AD9" s="492"/>
      <c r="AE9" s="492"/>
      <c r="AF9" s="492"/>
      <c r="AG9" s="492"/>
      <c r="AH9" s="492"/>
      <c r="AI9" s="492"/>
      <c r="AJ9" s="492"/>
      <c r="AK9" s="492"/>
      <c r="AL9" s="492"/>
      <c r="AM9" s="492"/>
      <c r="AN9" s="492"/>
      <c r="AO9" s="492"/>
      <c r="AP9" s="492"/>
      <c r="AQ9" s="492"/>
      <c r="AR9" s="492"/>
      <c r="AS9" s="492"/>
      <c r="AT9" s="492"/>
      <c r="AU9" s="492"/>
      <c r="AV9" s="492"/>
      <c r="AW9" s="492"/>
      <c r="AX9" s="492"/>
      <c r="AY9" s="492"/>
      <c r="AZ9" s="492"/>
      <c r="BA9" s="492"/>
    </row>
    <row r="10">
      <c r="A10" s="647"/>
      <c r="B10" s="647" t="str">
        <f>+General!B4</f>
        <v>Garcia Atilio Daniel</v>
      </c>
      <c r="C10" s="647" t="str">
        <f>+General!D5</f>
        <v>Hombre</v>
      </c>
      <c r="D10" s="647">
        <f>+General!B5</f>
        <v>50</v>
      </c>
      <c r="E10" s="648">
        <f>+General!G4</f>
        <v>44303</v>
      </c>
      <c r="F10" s="647" t="str">
        <f>IF(F5="MÉDICO","X","")</f>
        <v>X</v>
      </c>
      <c r="G10" s="647" t="str">
        <f>IF(F5="QUIRÚRGICO","X","")</f>
        <v/>
      </c>
      <c r="H10" s="647"/>
      <c r="I10" s="647" t="str">
        <f>IF(ISDATE(I5),"X","")</f>
        <v>X</v>
      </c>
      <c r="J10" s="647"/>
      <c r="K10" s="647"/>
      <c r="L10" s="647"/>
      <c r="M10" s="647" t="str">
        <f t="shared" ref="M10:N10" si="1">IF(M5&lt;&gt;"","1","")</f>
        <v>1</v>
      </c>
      <c r="N10" s="647" t="str">
        <f t="shared" si="1"/>
        <v>1</v>
      </c>
      <c r="O10" s="647">
        <f>IFS(AND(M5="",N5=""),"",M5&gt;N5,M5,M5=N5,M5,M5&lt;N5,N5)</f>
        <v>3</v>
      </c>
      <c r="P10" s="647">
        <f>IF(OR(M10&lt;&gt;"",N10&lt;&gt;""),(O10*M10)+(O10*N10),0)</f>
        <v>6</v>
      </c>
      <c r="Q10" s="647">
        <f t="shared" ref="Q10:R10" si="2">IF(Q5="",0,Q5)</f>
        <v>0</v>
      </c>
      <c r="R10" s="647">
        <f t="shared" si="2"/>
        <v>0</v>
      </c>
      <c r="S10" s="647">
        <f>S12+S13</f>
        <v>0</v>
      </c>
      <c r="T10" s="647">
        <f>IFS(AND(T5="",AND(T6="",T7="")),0,AND(T5="SI",T7&lt;&gt;""),T7-E10,AND(T6&lt;&gt;"",T7&lt;&gt;""),T7-T6,AND(AF5="MUERTO",T6&lt;&gt;""),Z10-T6,AND(AF5="VIVO",T6&lt;&gt;""),Z10-T6)</f>
        <v>15</v>
      </c>
      <c r="U10" s="647">
        <f>IF(U5="",0,U5)</f>
        <v>1</v>
      </c>
      <c r="V10" s="647">
        <f>V12+V13</f>
        <v>0</v>
      </c>
      <c r="W10" s="647">
        <f>IF(W5="",0,W5)</f>
        <v>0</v>
      </c>
      <c r="X10" s="647">
        <f>SUM(Q10:W10)</f>
        <v>16</v>
      </c>
      <c r="Y10" s="647">
        <f>P10+X10</f>
        <v>22</v>
      </c>
      <c r="Z10" s="649">
        <f>+General!D38</f>
        <v>44336</v>
      </c>
      <c r="AA10" s="647">
        <f>+General!J43</f>
        <v>33</v>
      </c>
      <c r="AB10" s="647" t="str">
        <f>IF(AB5="ALTA K","X","")</f>
        <v/>
      </c>
      <c r="AC10" s="647" t="str">
        <f>IF(AB5="ALTA DOMICILIARIA","X","")</f>
        <v/>
      </c>
      <c r="AD10" s="647" t="str">
        <f>IF(AB5="PISO","X","")</f>
        <v>X</v>
      </c>
      <c r="AE10" s="647" t="str">
        <f>IF(AB5="3º NIVEL","X","")</f>
        <v/>
      </c>
      <c r="AF10" s="647" t="str">
        <f>IF(OR(AB5="Muerto",AF5="Muerto"),"X","")</f>
        <v/>
      </c>
      <c r="AG10" s="647"/>
      <c r="AH10" s="647"/>
      <c r="AI10" s="647"/>
      <c r="AJ10" s="647"/>
      <c r="AK10" s="647"/>
      <c r="AL10" s="647"/>
      <c r="AM10" s="647"/>
      <c r="AN10" s="647"/>
      <c r="AO10" s="647"/>
      <c r="AP10" s="647"/>
      <c r="AQ10" s="647"/>
      <c r="AR10" s="647"/>
      <c r="AS10" s="647"/>
      <c r="AT10" s="647"/>
      <c r="AU10" s="647"/>
      <c r="AV10" s="647"/>
      <c r="AW10" s="647"/>
      <c r="AX10" s="647"/>
      <c r="AY10" s="647"/>
      <c r="AZ10" s="647"/>
      <c r="BA10" s="647"/>
    </row>
    <row r="12">
      <c r="S12" s="492">
        <f>IFS(OR(S5="",S6=""),0,AND(S5=S6),1,AND(S5&lt;&gt;"",S6&lt;&gt;""),S6-S5)</f>
        <v>0</v>
      </c>
      <c r="V12" s="492">
        <f>IFS(OR(V5="",V6=""),0,AND(V5=V6),1,AND(V5&lt;&gt;"",V6&lt;&gt;""),V6-V5)</f>
        <v>0</v>
      </c>
    </row>
    <row r="13">
      <c r="A13" s="650" t="s">
        <v>417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2">
        <f>IFS(OR(S7="",S8=""),0,AND(S7=S8),1,AND(S7&lt;&gt;"",S8&lt;&gt;""),S8-S7)</f>
        <v>0</v>
      </c>
      <c r="V13" s="492">
        <f>IFS(OR(V7="",V8=""),0,AND(V7=V8),1,AND(V7&lt;&gt;"",V8&lt;&gt;""),V8-V7)</f>
        <v>0</v>
      </c>
    </row>
    <row r="14">
      <c r="A14" s="278"/>
      <c r="O14" s="7"/>
    </row>
    <row r="15">
      <c r="A15" s="278"/>
      <c r="O15" s="7"/>
    </row>
    <row r="16">
      <c r="A16" s="296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